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30" windowWidth="20115" windowHeight="7755" tabRatio="875"/>
  </bookViews>
  <sheets>
    <sheet name="Sch Name" sheetId="1" r:id="rId1"/>
    <sheet name="Marks" sheetId="11" r:id="rId2"/>
    <sheet name="Paste SD Data" sheetId="2" r:id="rId3"/>
    <sheet name="Students' Data" sheetId="3" r:id="rId4"/>
    <sheet name="11th Data" sheetId="4" r:id="rId5"/>
    <sheet name="Marks Entry" sheetId="5" r:id="rId6"/>
    <sheet name="Statement of Marks" sheetId="6" r:id="rId7"/>
    <sheet name="Subject-Wise Result" sheetId="7" r:id="rId8"/>
    <sheet name="Supplementary" sheetId="8" r:id="rId9"/>
    <sheet name="Caste-Wise Result" sheetId="9" r:id="rId10"/>
    <sheet name="Marksheet" sheetId="10" r:id="rId11"/>
  </sheets>
  <definedNames>
    <definedName name="_xlnm._FilterDatabase" localSheetId="3" hidden="1">'Students'' Data'!$A$4:$K$2251</definedName>
    <definedName name="_xlnm._FilterDatabase" localSheetId="7" hidden="1">'Subject-Wise Result'!$A$4:$R$106</definedName>
    <definedName name="Agriculture">'Sch Name'!$I$3:$I$37</definedName>
    <definedName name="Arts">'Sch Name'!$G$3:$G$37</definedName>
    <definedName name="Commerce">'Sch Name'!$J$3:$J$37</definedName>
    <definedName name="_xlnm.Criteria" localSheetId="4">'11th Data'!$M$1:$N$2</definedName>
    <definedName name="_xlnm.Criteria" localSheetId="7">'Subject-Wise Result'!$L$1:$M$2</definedName>
    <definedName name="_xlnm.Extract" localSheetId="4">'11th Data'!$B$4:$K$4</definedName>
    <definedName name="Marks">Marks!$A$1:$G$368</definedName>
    <definedName name="_xlnm.Print_Area" localSheetId="7">'Subject-Wise Result'!$A$1:$R$118</definedName>
    <definedName name="_xlnm.Print_Area" localSheetId="8">Supplementary!$A$1:$Y$120</definedName>
    <definedName name="_xlnm.Print_Titles" localSheetId="6">'Statement of Marks'!$4:$7</definedName>
    <definedName name="_xlnm.Print_Titles" localSheetId="7">'Subject-Wise Result'!$4:$5</definedName>
    <definedName name="Roll_No">'Marks Entry'!$B$9:$B$109</definedName>
    <definedName name="Science">'Sch Name'!$H$3:$H$37</definedName>
    <definedName name="Statement_of_Marks">'Statement of Marks'!$B$4:$DZ$109</definedName>
    <definedName name="stream_name">Table3[#Headers]</definedName>
    <definedName name="supp_result">Supplementary!$B$7:$Y$108</definedName>
  </definedNames>
  <calcPr calcId="144525"/>
</workbook>
</file>

<file path=xl/calcChain.xml><?xml version="1.0" encoding="utf-8"?>
<calcChain xmlns="http://schemas.openxmlformats.org/spreadsheetml/2006/main">
  <c r="H22" i="10" l="1"/>
  <c r="F22" i="10"/>
  <c r="C22" i="10"/>
  <c r="I19" i="10"/>
  <c r="E19" i="10"/>
  <c r="G19" i="10" s="1"/>
  <c r="J19" i="10"/>
  <c r="F19" i="10"/>
  <c r="K19" i="10" l="1"/>
  <c r="H19" i="10"/>
  <c r="L19" i="10" l="1"/>
  <c r="BB10" i="6" l="1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B65" i="6"/>
  <c r="BB66" i="6"/>
  <c r="BB67" i="6"/>
  <c r="BB68" i="6"/>
  <c r="BB69" i="6"/>
  <c r="BB70" i="6"/>
  <c r="BB71" i="6"/>
  <c r="BB72" i="6"/>
  <c r="BB73" i="6"/>
  <c r="BB74" i="6"/>
  <c r="BB75" i="6"/>
  <c r="BB76" i="6"/>
  <c r="BB77" i="6"/>
  <c r="BB78" i="6"/>
  <c r="BB79" i="6"/>
  <c r="BB80" i="6"/>
  <c r="BB81" i="6"/>
  <c r="BB82" i="6"/>
  <c r="BB83" i="6"/>
  <c r="BB84" i="6"/>
  <c r="BD84" i="6" s="1"/>
  <c r="BB85" i="6"/>
  <c r="BB86" i="6"/>
  <c r="BB87" i="6"/>
  <c r="BB88" i="6"/>
  <c r="BD88" i="6" s="1"/>
  <c r="BB89" i="6"/>
  <c r="BB90" i="6"/>
  <c r="BB91" i="6"/>
  <c r="BB92" i="6"/>
  <c r="BB93" i="6"/>
  <c r="BB94" i="6"/>
  <c r="BB95" i="6"/>
  <c r="BB96" i="6"/>
  <c r="BD96" i="6" s="1"/>
  <c r="BB97" i="6"/>
  <c r="BB98" i="6"/>
  <c r="BB99" i="6"/>
  <c r="BB100" i="6"/>
  <c r="BB101" i="6"/>
  <c r="BB102" i="6"/>
  <c r="BB103" i="6"/>
  <c r="BB104" i="6"/>
  <c r="BB105" i="6"/>
  <c r="BB106" i="6"/>
  <c r="BB107" i="6"/>
  <c r="BB108" i="6"/>
  <c r="BD108" i="6" s="1"/>
  <c r="BB109" i="6"/>
  <c r="BC10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D35" i="6" s="1"/>
  <c r="BC36" i="6"/>
  <c r="BC37" i="6"/>
  <c r="BC38" i="6"/>
  <c r="BC39" i="6"/>
  <c r="BD39" i="6" s="1"/>
  <c r="BC40" i="6"/>
  <c r="BC41" i="6"/>
  <c r="BC42" i="6"/>
  <c r="BC43" i="6"/>
  <c r="BC44" i="6"/>
  <c r="BC45" i="6"/>
  <c r="BC46" i="6"/>
  <c r="BC47" i="6"/>
  <c r="BD47" i="6" s="1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C65" i="6"/>
  <c r="BC66" i="6"/>
  <c r="BC67" i="6"/>
  <c r="BC68" i="6"/>
  <c r="BC69" i="6"/>
  <c r="BC70" i="6"/>
  <c r="BC71" i="6"/>
  <c r="BC72" i="6"/>
  <c r="BC73" i="6"/>
  <c r="BC74" i="6"/>
  <c r="BC75" i="6"/>
  <c r="BC76" i="6"/>
  <c r="BC77" i="6"/>
  <c r="BC78" i="6"/>
  <c r="BC79" i="6"/>
  <c r="BC80" i="6"/>
  <c r="BC81" i="6"/>
  <c r="BC82" i="6"/>
  <c r="BC83" i="6"/>
  <c r="BD83" i="6" s="1"/>
  <c r="BC84" i="6"/>
  <c r="BC85" i="6"/>
  <c r="BC86" i="6"/>
  <c r="BC87" i="6"/>
  <c r="BC88" i="6"/>
  <c r="BC89" i="6"/>
  <c r="BC90" i="6"/>
  <c r="BC91" i="6"/>
  <c r="BD91" i="6" s="1"/>
  <c r="BC92" i="6"/>
  <c r="BC93" i="6"/>
  <c r="BC94" i="6"/>
  <c r="BC95" i="6"/>
  <c r="BD95" i="6" s="1"/>
  <c r="BC96" i="6"/>
  <c r="BC97" i="6"/>
  <c r="BC98" i="6"/>
  <c r="BC99" i="6"/>
  <c r="BD99" i="6" s="1"/>
  <c r="BC100" i="6"/>
  <c r="BC101" i="6"/>
  <c r="BC102" i="6"/>
  <c r="BC103" i="6"/>
  <c r="BC104" i="6"/>
  <c r="BC105" i="6"/>
  <c r="BC106" i="6"/>
  <c r="BC107" i="6"/>
  <c r="BD107" i="6" s="1"/>
  <c r="BC108" i="6"/>
  <c r="BC109" i="6"/>
  <c r="BD15" i="6"/>
  <c r="BD23" i="6"/>
  <c r="BD31" i="6"/>
  <c r="BD51" i="6"/>
  <c r="BD55" i="6"/>
  <c r="BD5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Z65" i="6"/>
  <c r="AZ66" i="6"/>
  <c r="AZ67" i="6"/>
  <c r="AZ68" i="6"/>
  <c r="AZ69" i="6"/>
  <c r="AZ70" i="6"/>
  <c r="AZ71" i="6"/>
  <c r="AZ72" i="6"/>
  <c r="AZ73" i="6"/>
  <c r="AZ74" i="6"/>
  <c r="AZ75" i="6"/>
  <c r="AZ76" i="6"/>
  <c r="AZ77" i="6"/>
  <c r="AZ78" i="6"/>
  <c r="AZ79" i="6"/>
  <c r="AZ80" i="6"/>
  <c r="AZ81" i="6"/>
  <c r="AZ82" i="6"/>
  <c r="AZ83" i="6"/>
  <c r="AZ84" i="6"/>
  <c r="AZ85" i="6"/>
  <c r="AZ86" i="6"/>
  <c r="AZ87" i="6"/>
  <c r="AZ88" i="6"/>
  <c r="AZ89" i="6"/>
  <c r="AZ90" i="6"/>
  <c r="AZ91" i="6"/>
  <c r="AZ92" i="6"/>
  <c r="AZ93" i="6"/>
  <c r="AZ94" i="6"/>
  <c r="AZ95" i="6"/>
  <c r="AZ96" i="6"/>
  <c r="AZ97" i="6"/>
  <c r="AZ98" i="6"/>
  <c r="AZ99" i="6"/>
  <c r="AZ100" i="6"/>
  <c r="AZ101" i="6"/>
  <c r="AZ102" i="6"/>
  <c r="AZ103" i="6"/>
  <c r="AZ104" i="6"/>
  <c r="AZ105" i="6"/>
  <c r="AZ106" i="6"/>
  <c r="AZ107" i="6"/>
  <c r="AZ108" i="6"/>
  <c r="AZ109" i="6"/>
  <c r="BC9" i="6"/>
  <c r="BD43" i="6"/>
  <c r="BD63" i="6"/>
  <c r="BD67" i="6"/>
  <c r="BD68" i="6"/>
  <c r="BD71" i="6"/>
  <c r="BD72" i="6"/>
  <c r="BD75" i="6"/>
  <c r="BD76" i="6"/>
  <c r="BD79" i="6"/>
  <c r="BD80" i="6"/>
  <c r="BD87" i="6"/>
  <c r="BD92" i="6"/>
  <c r="BD100" i="6"/>
  <c r="BD103" i="6"/>
  <c r="BD104" i="6"/>
  <c r="BB9" i="6"/>
  <c r="BD27" i="6" l="1"/>
  <c r="BD19" i="6"/>
  <c r="BD11" i="6"/>
  <c r="BD9" i="6"/>
  <c r="BD106" i="6"/>
  <c r="BD102" i="6"/>
  <c r="BD98" i="6"/>
  <c r="BD94" i="6"/>
  <c r="BD90" i="6"/>
  <c r="BD86" i="6"/>
  <c r="BD82" i="6"/>
  <c r="BD78" i="6"/>
  <c r="BD74" i="6"/>
  <c r="BD70" i="6"/>
  <c r="BD66" i="6"/>
  <c r="BD62" i="6"/>
  <c r="BD58" i="6"/>
  <c r="BD54" i="6"/>
  <c r="BD50" i="6"/>
  <c r="BD46" i="6"/>
  <c r="BD42" i="6"/>
  <c r="BD38" i="6"/>
  <c r="BD34" i="6"/>
  <c r="BD30" i="6"/>
  <c r="BD26" i="6"/>
  <c r="BD22" i="6"/>
  <c r="BD18" i="6"/>
  <c r="BD14" i="6"/>
  <c r="BD10" i="6"/>
  <c r="BD64" i="6"/>
  <c r="BD60" i="6"/>
  <c r="BD56" i="6"/>
  <c r="BD52" i="6"/>
  <c r="BD48" i="6"/>
  <c r="BD44" i="6"/>
  <c r="BD40" i="6"/>
  <c r="BD36" i="6"/>
  <c r="BD32" i="6"/>
  <c r="BD28" i="6"/>
  <c r="BD24" i="6"/>
  <c r="BD20" i="6"/>
  <c r="BD16" i="6"/>
  <c r="BD12" i="6"/>
  <c r="BD21" i="6"/>
  <c r="BD17" i="6"/>
  <c r="BD13" i="6"/>
  <c r="BD109" i="6"/>
  <c r="BD105" i="6"/>
  <c r="BD101" i="6"/>
  <c r="BD97" i="6"/>
  <c r="BD93" i="6"/>
  <c r="BD89" i="6"/>
  <c r="BD85" i="6"/>
  <c r="BD81" i="6"/>
  <c r="BD77" i="6"/>
  <c r="BD73" i="6"/>
  <c r="BD69" i="6"/>
  <c r="BD65" i="6"/>
  <c r="BD61" i="6"/>
  <c r="BD57" i="6"/>
  <c r="BD53" i="6"/>
  <c r="BD49" i="6"/>
  <c r="BD45" i="6"/>
  <c r="BD41" i="6"/>
  <c r="BD37" i="6"/>
  <c r="BD33" i="6"/>
  <c r="BD29" i="6"/>
  <c r="BD25" i="6"/>
  <c r="AZ9" i="6"/>
  <c r="AY10" i="6"/>
  <c r="BA10" i="6" s="1"/>
  <c r="AY11" i="6"/>
  <c r="BA11" i="6" s="1"/>
  <c r="AY12" i="6"/>
  <c r="BA12" i="6" s="1"/>
  <c r="AY13" i="6"/>
  <c r="BA13" i="6" s="1"/>
  <c r="AY14" i="6"/>
  <c r="BA14" i="6" s="1"/>
  <c r="AY15" i="6"/>
  <c r="BA15" i="6" s="1"/>
  <c r="AY16" i="6"/>
  <c r="BA16" i="6" s="1"/>
  <c r="AY17" i="6"/>
  <c r="BA17" i="6" s="1"/>
  <c r="AY18" i="6"/>
  <c r="BA18" i="6" s="1"/>
  <c r="AY19" i="6"/>
  <c r="BA19" i="6" s="1"/>
  <c r="AY20" i="6"/>
  <c r="BA20" i="6" s="1"/>
  <c r="AY21" i="6"/>
  <c r="BA21" i="6" s="1"/>
  <c r="AY22" i="6"/>
  <c r="BA22" i="6" s="1"/>
  <c r="AY23" i="6"/>
  <c r="BA23" i="6" s="1"/>
  <c r="AY24" i="6"/>
  <c r="BA24" i="6" s="1"/>
  <c r="AY25" i="6"/>
  <c r="BA25" i="6" s="1"/>
  <c r="AY26" i="6"/>
  <c r="BA26" i="6" s="1"/>
  <c r="AY27" i="6"/>
  <c r="BA27" i="6" s="1"/>
  <c r="AY28" i="6"/>
  <c r="BA28" i="6" s="1"/>
  <c r="AY29" i="6"/>
  <c r="BA29" i="6" s="1"/>
  <c r="AY30" i="6"/>
  <c r="BA30" i="6" s="1"/>
  <c r="AY31" i="6"/>
  <c r="BA31" i="6" s="1"/>
  <c r="AY32" i="6"/>
  <c r="BA32" i="6" s="1"/>
  <c r="AY33" i="6"/>
  <c r="BA33" i="6" s="1"/>
  <c r="AY34" i="6"/>
  <c r="BA34" i="6" s="1"/>
  <c r="AY35" i="6"/>
  <c r="BA35" i="6" s="1"/>
  <c r="AY36" i="6"/>
  <c r="BA36" i="6" s="1"/>
  <c r="AY37" i="6"/>
  <c r="BA37" i="6" s="1"/>
  <c r="AY38" i="6"/>
  <c r="BA38" i="6" s="1"/>
  <c r="AY39" i="6"/>
  <c r="BA39" i="6" s="1"/>
  <c r="AY40" i="6"/>
  <c r="BA40" i="6" s="1"/>
  <c r="AY41" i="6"/>
  <c r="BA41" i="6" s="1"/>
  <c r="AY42" i="6"/>
  <c r="BA42" i="6" s="1"/>
  <c r="AY43" i="6"/>
  <c r="BA43" i="6" s="1"/>
  <c r="AY44" i="6"/>
  <c r="BA44" i="6" s="1"/>
  <c r="AY45" i="6"/>
  <c r="BA45" i="6" s="1"/>
  <c r="AY46" i="6"/>
  <c r="BA46" i="6" s="1"/>
  <c r="AY47" i="6"/>
  <c r="BA47" i="6" s="1"/>
  <c r="AY48" i="6"/>
  <c r="BA48" i="6" s="1"/>
  <c r="AY49" i="6"/>
  <c r="BA49" i="6" s="1"/>
  <c r="AY50" i="6"/>
  <c r="BA50" i="6" s="1"/>
  <c r="AY51" i="6"/>
  <c r="BA51" i="6" s="1"/>
  <c r="AY52" i="6"/>
  <c r="BA52" i="6" s="1"/>
  <c r="AY53" i="6"/>
  <c r="BA53" i="6" s="1"/>
  <c r="AY54" i="6"/>
  <c r="BA54" i="6" s="1"/>
  <c r="AY55" i="6"/>
  <c r="BA55" i="6" s="1"/>
  <c r="AY56" i="6"/>
  <c r="BA56" i="6" s="1"/>
  <c r="AY57" i="6"/>
  <c r="BA57" i="6" s="1"/>
  <c r="AY58" i="6"/>
  <c r="BA58" i="6" s="1"/>
  <c r="AY59" i="6"/>
  <c r="BA59" i="6" s="1"/>
  <c r="AY60" i="6"/>
  <c r="BA60" i="6" s="1"/>
  <c r="AY61" i="6"/>
  <c r="BA61" i="6" s="1"/>
  <c r="AY62" i="6"/>
  <c r="BA62" i="6" s="1"/>
  <c r="AY63" i="6"/>
  <c r="BA63" i="6" s="1"/>
  <c r="AY64" i="6"/>
  <c r="BA64" i="6" s="1"/>
  <c r="AY65" i="6"/>
  <c r="BA65" i="6" s="1"/>
  <c r="AY66" i="6"/>
  <c r="BA66" i="6" s="1"/>
  <c r="AY67" i="6"/>
  <c r="BA67" i="6" s="1"/>
  <c r="AY68" i="6"/>
  <c r="BA68" i="6" s="1"/>
  <c r="AY69" i="6"/>
  <c r="BA69" i="6" s="1"/>
  <c r="AY70" i="6"/>
  <c r="BA70" i="6" s="1"/>
  <c r="AY71" i="6"/>
  <c r="BA71" i="6" s="1"/>
  <c r="AY72" i="6"/>
  <c r="BA72" i="6" s="1"/>
  <c r="AY73" i="6"/>
  <c r="BA73" i="6" s="1"/>
  <c r="AY74" i="6"/>
  <c r="BA74" i="6" s="1"/>
  <c r="AY75" i="6"/>
  <c r="BA75" i="6" s="1"/>
  <c r="AY76" i="6"/>
  <c r="BA76" i="6" s="1"/>
  <c r="AY77" i="6"/>
  <c r="BA77" i="6" s="1"/>
  <c r="AY78" i="6"/>
  <c r="BA78" i="6" s="1"/>
  <c r="AY79" i="6"/>
  <c r="BA79" i="6" s="1"/>
  <c r="AY80" i="6"/>
  <c r="BA80" i="6" s="1"/>
  <c r="AY81" i="6"/>
  <c r="BA81" i="6" s="1"/>
  <c r="AY82" i="6"/>
  <c r="BA82" i="6" s="1"/>
  <c r="AY83" i="6"/>
  <c r="BA83" i="6" s="1"/>
  <c r="AY84" i="6"/>
  <c r="BA84" i="6" s="1"/>
  <c r="AY85" i="6"/>
  <c r="BA85" i="6" s="1"/>
  <c r="AY86" i="6"/>
  <c r="BA86" i="6" s="1"/>
  <c r="AY87" i="6"/>
  <c r="BA87" i="6" s="1"/>
  <c r="AY88" i="6"/>
  <c r="BA88" i="6" s="1"/>
  <c r="AY89" i="6"/>
  <c r="BA89" i="6" s="1"/>
  <c r="AY90" i="6"/>
  <c r="BA90" i="6" s="1"/>
  <c r="AY91" i="6"/>
  <c r="BA91" i="6" s="1"/>
  <c r="AY92" i="6"/>
  <c r="BA92" i="6" s="1"/>
  <c r="AY93" i="6"/>
  <c r="BA93" i="6" s="1"/>
  <c r="AY94" i="6"/>
  <c r="BA94" i="6" s="1"/>
  <c r="AY95" i="6"/>
  <c r="BA95" i="6" s="1"/>
  <c r="AY96" i="6"/>
  <c r="BA96" i="6" s="1"/>
  <c r="AY97" i="6"/>
  <c r="BA97" i="6" s="1"/>
  <c r="AY98" i="6"/>
  <c r="BA98" i="6" s="1"/>
  <c r="AY99" i="6"/>
  <c r="BA99" i="6" s="1"/>
  <c r="AY100" i="6"/>
  <c r="BA100" i="6" s="1"/>
  <c r="AY101" i="6"/>
  <c r="BA101" i="6" s="1"/>
  <c r="AY102" i="6"/>
  <c r="BA102" i="6" s="1"/>
  <c r="AY103" i="6"/>
  <c r="BA103" i="6" s="1"/>
  <c r="AY104" i="6"/>
  <c r="BA104" i="6" s="1"/>
  <c r="AY105" i="6"/>
  <c r="BA105" i="6" s="1"/>
  <c r="AY106" i="6"/>
  <c r="BA106" i="6" s="1"/>
  <c r="AY107" i="6"/>
  <c r="BA107" i="6" s="1"/>
  <c r="AY108" i="6"/>
  <c r="BA108" i="6" s="1"/>
  <c r="AY109" i="6"/>
  <c r="BA109" i="6" s="1"/>
  <c r="AY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P64" i="6"/>
  <c r="AP65" i="6"/>
  <c r="AP66" i="6"/>
  <c r="AP67" i="6"/>
  <c r="AP68" i="6"/>
  <c r="AP69" i="6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P109" i="6"/>
  <c r="AP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9" i="6"/>
  <c r="BA9" i="6" l="1"/>
  <c r="AO109" i="6"/>
  <c r="AO105" i="6"/>
  <c r="AO101" i="6"/>
  <c r="AO97" i="6"/>
  <c r="AO93" i="6"/>
  <c r="AO89" i="6"/>
  <c r="AO85" i="6"/>
  <c r="AO81" i="6"/>
  <c r="AO77" i="6"/>
  <c r="AO73" i="6"/>
  <c r="AO107" i="6"/>
  <c r="AO103" i="6"/>
  <c r="AO99" i="6"/>
  <c r="AO95" i="6"/>
  <c r="AO91" i="6"/>
  <c r="AO87" i="6"/>
  <c r="AO83" i="6"/>
  <c r="AO79" i="6"/>
  <c r="AO75" i="6"/>
  <c r="AO71" i="6"/>
  <c r="AO67" i="6"/>
  <c r="AO63" i="6"/>
  <c r="AO59" i="6"/>
  <c r="AO55" i="6"/>
  <c r="AO51" i="6"/>
  <c r="AO47" i="6"/>
  <c r="AO43" i="6"/>
  <c r="AO39" i="6"/>
  <c r="AO35" i="6"/>
  <c r="AO31" i="6"/>
  <c r="AO27" i="6"/>
  <c r="AO23" i="6"/>
  <c r="AO19" i="6"/>
  <c r="AO15" i="6"/>
  <c r="AO11" i="6"/>
  <c r="AR109" i="6"/>
  <c r="AR105" i="6"/>
  <c r="AR101" i="6"/>
  <c r="AR97" i="6"/>
  <c r="AR93" i="6"/>
  <c r="AR89" i="6"/>
  <c r="AR85" i="6"/>
  <c r="AR81" i="6"/>
  <c r="AR77" i="6"/>
  <c r="AR73" i="6"/>
  <c r="AR69" i="6"/>
  <c r="AR65" i="6"/>
  <c r="AR61" i="6"/>
  <c r="AR57" i="6"/>
  <c r="AR53" i="6"/>
  <c r="AR49" i="6"/>
  <c r="AR45" i="6"/>
  <c r="AR41" i="6"/>
  <c r="AR37" i="6"/>
  <c r="AR33" i="6"/>
  <c r="AR29" i="6"/>
  <c r="AR25" i="6"/>
  <c r="AR21" i="6"/>
  <c r="AR17" i="6"/>
  <c r="AR13" i="6"/>
  <c r="AO69" i="6"/>
  <c r="AO65" i="6"/>
  <c r="AO61" i="6"/>
  <c r="AO57" i="6"/>
  <c r="AO53" i="6"/>
  <c r="AO49" i="6"/>
  <c r="AO45" i="6"/>
  <c r="AO41" i="6"/>
  <c r="AO37" i="6"/>
  <c r="AO33" i="6"/>
  <c r="AO29" i="6"/>
  <c r="AO25" i="6"/>
  <c r="AO21" i="6"/>
  <c r="AO17" i="6"/>
  <c r="AO13" i="6"/>
  <c r="AR107" i="6"/>
  <c r="AR103" i="6"/>
  <c r="AR99" i="6"/>
  <c r="AR95" i="6"/>
  <c r="AR91" i="6"/>
  <c r="AR87" i="6"/>
  <c r="AR83" i="6"/>
  <c r="AR79" i="6"/>
  <c r="AR75" i="6"/>
  <c r="AR71" i="6"/>
  <c r="AR67" i="6"/>
  <c r="AR63" i="6"/>
  <c r="AR59" i="6"/>
  <c r="AR55" i="6"/>
  <c r="AR51" i="6"/>
  <c r="AR47" i="6"/>
  <c r="AR43" i="6"/>
  <c r="AR39" i="6"/>
  <c r="AR35" i="6"/>
  <c r="AR31" i="6"/>
  <c r="AR27" i="6"/>
  <c r="AR23" i="6"/>
  <c r="AR19" i="6"/>
  <c r="AR15" i="6"/>
  <c r="AR11" i="6"/>
  <c r="AR108" i="6"/>
  <c r="AR104" i="6"/>
  <c r="AR9" i="6"/>
  <c r="AR106" i="6"/>
  <c r="AR102" i="6"/>
  <c r="AR98" i="6"/>
  <c r="AO9" i="6"/>
  <c r="AO106" i="6"/>
  <c r="AO102" i="6"/>
  <c r="AO98" i="6"/>
  <c r="AO94" i="6"/>
  <c r="AO90" i="6"/>
  <c r="AO86" i="6"/>
  <c r="AO82" i="6"/>
  <c r="AO78" i="6"/>
  <c r="AO74" i="6"/>
  <c r="AO70" i="6"/>
  <c r="AO66" i="6"/>
  <c r="AO62" i="6"/>
  <c r="AO58" i="6"/>
  <c r="AO54" i="6"/>
  <c r="AO50" i="6"/>
  <c r="AO46" i="6"/>
  <c r="AO42" i="6"/>
  <c r="AO38" i="6"/>
  <c r="AO34" i="6"/>
  <c r="AO30" i="6"/>
  <c r="AO26" i="6"/>
  <c r="AO22" i="6"/>
  <c r="AO18" i="6"/>
  <c r="AO14" i="6"/>
  <c r="AO10" i="6"/>
  <c r="AR100" i="6"/>
  <c r="AR96" i="6"/>
  <c r="AR92" i="6"/>
  <c r="AR88" i="6"/>
  <c r="AR84" i="6"/>
  <c r="AR80" i="6"/>
  <c r="AR76" i="6"/>
  <c r="AR72" i="6"/>
  <c r="AR68" i="6"/>
  <c r="AR64" i="6"/>
  <c r="AR60" i="6"/>
  <c r="AR56" i="6"/>
  <c r="AR52" i="6"/>
  <c r="AR48" i="6"/>
  <c r="AR44" i="6"/>
  <c r="AR40" i="6"/>
  <c r="AR36" i="6"/>
  <c r="AR32" i="6"/>
  <c r="AR28" i="6"/>
  <c r="AR24" i="6"/>
  <c r="AR20" i="6"/>
  <c r="AR16" i="6"/>
  <c r="AR12" i="6"/>
  <c r="AO108" i="6"/>
  <c r="AO104" i="6"/>
  <c r="AO100" i="6"/>
  <c r="AO96" i="6"/>
  <c r="AO92" i="6"/>
  <c r="AO88" i="6"/>
  <c r="AO84" i="6"/>
  <c r="AO80" i="6"/>
  <c r="AO76" i="6"/>
  <c r="AO72" i="6"/>
  <c r="AO68" i="6"/>
  <c r="AO64" i="6"/>
  <c r="AO60" i="6"/>
  <c r="AO56" i="6"/>
  <c r="AO52" i="6"/>
  <c r="AO48" i="6"/>
  <c r="AO44" i="6"/>
  <c r="AO40" i="6"/>
  <c r="AO36" i="6"/>
  <c r="AO32" i="6"/>
  <c r="AO28" i="6"/>
  <c r="AO24" i="6"/>
  <c r="AO20" i="6"/>
  <c r="AO16" i="6"/>
  <c r="AO12" i="6"/>
  <c r="AR94" i="6"/>
  <c r="AR90" i="6"/>
  <c r="AR86" i="6"/>
  <c r="AR82" i="6"/>
  <c r="AR78" i="6"/>
  <c r="AR74" i="6"/>
  <c r="AR70" i="6"/>
  <c r="AR66" i="6"/>
  <c r="AR62" i="6"/>
  <c r="AR58" i="6"/>
  <c r="AR54" i="6"/>
  <c r="AR50" i="6"/>
  <c r="AR46" i="6"/>
  <c r="AR42" i="6"/>
  <c r="AR38" i="6"/>
  <c r="AR34" i="6"/>
  <c r="AR30" i="6"/>
  <c r="AR26" i="6"/>
  <c r="AR22" i="6"/>
  <c r="AR18" i="6"/>
  <c r="AR14" i="6"/>
  <c r="AR10" i="6"/>
  <c r="AD10" i="6" l="1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E10" i="6"/>
  <c r="AF10" i="6" s="1"/>
  <c r="AE11" i="6"/>
  <c r="AE12" i="6"/>
  <c r="AE13" i="6"/>
  <c r="AE14" i="6"/>
  <c r="AF14" i="6" s="1"/>
  <c r="AE15" i="6"/>
  <c r="AE16" i="6"/>
  <c r="AF16" i="6" s="1"/>
  <c r="AE17" i="6"/>
  <c r="AE18" i="6"/>
  <c r="AF18" i="6" s="1"/>
  <c r="AE19" i="6"/>
  <c r="AE20" i="6"/>
  <c r="AF20" i="6" s="1"/>
  <c r="AE21" i="6"/>
  <c r="AE22" i="6"/>
  <c r="AF22" i="6" s="1"/>
  <c r="AE23" i="6"/>
  <c r="AE24" i="6"/>
  <c r="AF24" i="6" s="1"/>
  <c r="AE25" i="6"/>
  <c r="AE26" i="6"/>
  <c r="AF26" i="6" s="1"/>
  <c r="AE27" i="6"/>
  <c r="AE28" i="6"/>
  <c r="AF28" i="6" s="1"/>
  <c r="AE29" i="6"/>
  <c r="AE30" i="6"/>
  <c r="AF30" i="6" s="1"/>
  <c r="AE31" i="6"/>
  <c r="AE32" i="6"/>
  <c r="AF32" i="6" s="1"/>
  <c r="AE33" i="6"/>
  <c r="AE34" i="6"/>
  <c r="AF34" i="6" s="1"/>
  <c r="AE35" i="6"/>
  <c r="AE36" i="6"/>
  <c r="AF36" i="6" s="1"/>
  <c r="AE37" i="6"/>
  <c r="AE38" i="6"/>
  <c r="AF38" i="6" s="1"/>
  <c r="AE39" i="6"/>
  <c r="AE40" i="6"/>
  <c r="AF40" i="6" s="1"/>
  <c r="AE41" i="6"/>
  <c r="AE42" i="6"/>
  <c r="AF42" i="6" s="1"/>
  <c r="AE43" i="6"/>
  <c r="AE44" i="6"/>
  <c r="AF44" i="6" s="1"/>
  <c r="AE45" i="6"/>
  <c r="AE46" i="6"/>
  <c r="AF46" i="6" s="1"/>
  <c r="AE47" i="6"/>
  <c r="AE48" i="6"/>
  <c r="AF48" i="6" s="1"/>
  <c r="AE49" i="6"/>
  <c r="AE50" i="6"/>
  <c r="AF50" i="6" s="1"/>
  <c r="AE51" i="6"/>
  <c r="AE52" i="6"/>
  <c r="AF52" i="6" s="1"/>
  <c r="AE53" i="6"/>
  <c r="AE54" i="6"/>
  <c r="AF54" i="6" s="1"/>
  <c r="AE55" i="6"/>
  <c r="AE56" i="6"/>
  <c r="AF56" i="6" s="1"/>
  <c r="AE57" i="6"/>
  <c r="AE58" i="6"/>
  <c r="AF58" i="6" s="1"/>
  <c r="AE59" i="6"/>
  <c r="AE60" i="6"/>
  <c r="AF60" i="6" s="1"/>
  <c r="AE61" i="6"/>
  <c r="AE62" i="6"/>
  <c r="AF62" i="6" s="1"/>
  <c r="AE63" i="6"/>
  <c r="AE64" i="6"/>
  <c r="AF64" i="6" s="1"/>
  <c r="AE65" i="6"/>
  <c r="AE66" i="6"/>
  <c r="AF66" i="6" s="1"/>
  <c r="AE67" i="6"/>
  <c r="AE68" i="6"/>
  <c r="AF68" i="6" s="1"/>
  <c r="AE69" i="6"/>
  <c r="AE70" i="6"/>
  <c r="AF70" i="6" s="1"/>
  <c r="AE71" i="6"/>
  <c r="AE72" i="6"/>
  <c r="AF72" i="6" s="1"/>
  <c r="AE73" i="6"/>
  <c r="AE74" i="6"/>
  <c r="AF74" i="6" s="1"/>
  <c r="AE75" i="6"/>
  <c r="AE76" i="6"/>
  <c r="AF76" i="6" s="1"/>
  <c r="AE77" i="6"/>
  <c r="AE78" i="6"/>
  <c r="AF78" i="6" s="1"/>
  <c r="AE79" i="6"/>
  <c r="AE80" i="6"/>
  <c r="AF80" i="6" s="1"/>
  <c r="AE81" i="6"/>
  <c r="AE82" i="6"/>
  <c r="AF82" i="6" s="1"/>
  <c r="AE83" i="6"/>
  <c r="AE84" i="6"/>
  <c r="AF84" i="6" s="1"/>
  <c r="AE85" i="6"/>
  <c r="AE86" i="6"/>
  <c r="AF86" i="6" s="1"/>
  <c r="AE87" i="6"/>
  <c r="AE88" i="6"/>
  <c r="AF88" i="6" s="1"/>
  <c r="AE89" i="6"/>
  <c r="AE90" i="6"/>
  <c r="AF90" i="6" s="1"/>
  <c r="AE91" i="6"/>
  <c r="AE92" i="6"/>
  <c r="AF92" i="6" s="1"/>
  <c r="AE93" i="6"/>
  <c r="AE94" i="6"/>
  <c r="AF94" i="6" s="1"/>
  <c r="AE95" i="6"/>
  <c r="AE96" i="6"/>
  <c r="AF96" i="6" s="1"/>
  <c r="AE97" i="6"/>
  <c r="AE98" i="6"/>
  <c r="AF98" i="6" s="1"/>
  <c r="AE99" i="6"/>
  <c r="AE100" i="6"/>
  <c r="AF100" i="6" s="1"/>
  <c r="AE101" i="6"/>
  <c r="AE102" i="6"/>
  <c r="AF102" i="6" s="1"/>
  <c r="AE103" i="6"/>
  <c r="AE104" i="6"/>
  <c r="AF104" i="6" s="1"/>
  <c r="AE105" i="6"/>
  <c r="AE106" i="6"/>
  <c r="AF106" i="6" s="1"/>
  <c r="AE107" i="6"/>
  <c r="AE108" i="6"/>
  <c r="AF108" i="6" s="1"/>
  <c r="AE109" i="6"/>
  <c r="AF12" i="6" l="1"/>
  <c r="AF107" i="6"/>
  <c r="AF103" i="6"/>
  <c r="AF99" i="6"/>
  <c r="AF95" i="6"/>
  <c r="AF91" i="6"/>
  <c r="AF87" i="6"/>
  <c r="AF83" i="6"/>
  <c r="AF79" i="6"/>
  <c r="AF75" i="6"/>
  <c r="AF71" i="6"/>
  <c r="AF67" i="6"/>
  <c r="AF63" i="6"/>
  <c r="AF59" i="6"/>
  <c r="AF55" i="6"/>
  <c r="AF51" i="6"/>
  <c r="AF47" i="6"/>
  <c r="AF43" i="6"/>
  <c r="AF39" i="6"/>
  <c r="AF35" i="6"/>
  <c r="AF31" i="6"/>
  <c r="AF27" i="6"/>
  <c r="AF23" i="6"/>
  <c r="AF19" i="6"/>
  <c r="AF15" i="6"/>
  <c r="AF11" i="6"/>
  <c r="AF109" i="6"/>
  <c r="AF105" i="6"/>
  <c r="AF101" i="6"/>
  <c r="AF97" i="6"/>
  <c r="AF93" i="6"/>
  <c r="AF89" i="6"/>
  <c r="AF85" i="6"/>
  <c r="AF81" i="6"/>
  <c r="AF77" i="6"/>
  <c r="AF73" i="6"/>
  <c r="AF69" i="6"/>
  <c r="AF65" i="6"/>
  <c r="AF61" i="6"/>
  <c r="AF57" i="6"/>
  <c r="AF53" i="6"/>
  <c r="AF49" i="6"/>
  <c r="AF45" i="6"/>
  <c r="AF41" i="6"/>
  <c r="AF37" i="6"/>
  <c r="AF33" i="6"/>
  <c r="AF29" i="6"/>
  <c r="AF25" i="6"/>
  <c r="AF21" i="6"/>
  <c r="AF17" i="6"/>
  <c r="AF13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E9" i="6"/>
  <c r="AB9" i="6"/>
  <c r="AD9" i="6"/>
  <c r="Z9" i="6"/>
  <c r="AA10" i="6"/>
  <c r="AC10" i="6" s="1"/>
  <c r="AA11" i="6"/>
  <c r="AA12" i="6"/>
  <c r="AA13" i="6"/>
  <c r="AA14" i="6"/>
  <c r="AC14" i="6" s="1"/>
  <c r="AA15" i="6"/>
  <c r="AA16" i="6"/>
  <c r="AA17" i="6"/>
  <c r="AA18" i="6"/>
  <c r="AC18" i="6" s="1"/>
  <c r="AA19" i="6"/>
  <c r="AA20" i="6"/>
  <c r="AA21" i="6"/>
  <c r="AA22" i="6"/>
  <c r="AC22" i="6" s="1"/>
  <c r="AA23" i="6"/>
  <c r="AA24" i="6"/>
  <c r="AA25" i="6"/>
  <c r="AA26" i="6"/>
  <c r="AC26" i="6" s="1"/>
  <c r="AA27" i="6"/>
  <c r="AA28" i="6"/>
  <c r="AA29" i="6"/>
  <c r="AA30" i="6"/>
  <c r="AC30" i="6" s="1"/>
  <c r="AA31" i="6"/>
  <c r="AA32" i="6"/>
  <c r="AA33" i="6"/>
  <c r="AA34" i="6"/>
  <c r="AC34" i="6" s="1"/>
  <c r="AA35" i="6"/>
  <c r="AA36" i="6"/>
  <c r="AA37" i="6"/>
  <c r="AA38" i="6"/>
  <c r="AC38" i="6" s="1"/>
  <c r="AA39" i="6"/>
  <c r="AA40" i="6"/>
  <c r="AA41" i="6"/>
  <c r="AA42" i="6"/>
  <c r="AC42" i="6" s="1"/>
  <c r="AA43" i="6"/>
  <c r="AA44" i="6"/>
  <c r="AA45" i="6"/>
  <c r="AA46" i="6"/>
  <c r="AC46" i="6" s="1"/>
  <c r="AA47" i="6"/>
  <c r="AA48" i="6"/>
  <c r="AA49" i="6"/>
  <c r="AA50" i="6"/>
  <c r="AC50" i="6" s="1"/>
  <c r="AA51" i="6"/>
  <c r="AA52" i="6"/>
  <c r="AA53" i="6"/>
  <c r="AA54" i="6"/>
  <c r="AC54" i="6" s="1"/>
  <c r="AA55" i="6"/>
  <c r="AA56" i="6"/>
  <c r="AA57" i="6"/>
  <c r="AA58" i="6"/>
  <c r="AC58" i="6" s="1"/>
  <c r="AA59" i="6"/>
  <c r="AA60" i="6"/>
  <c r="AA61" i="6"/>
  <c r="AA62" i="6"/>
  <c r="AC62" i="6" s="1"/>
  <c r="AA63" i="6"/>
  <c r="AA64" i="6"/>
  <c r="AA65" i="6"/>
  <c r="AA66" i="6"/>
  <c r="AC66" i="6" s="1"/>
  <c r="AA67" i="6"/>
  <c r="AA68" i="6"/>
  <c r="AA69" i="6"/>
  <c r="AA70" i="6"/>
  <c r="AC70" i="6" s="1"/>
  <c r="AA71" i="6"/>
  <c r="AA72" i="6"/>
  <c r="AA73" i="6"/>
  <c r="AA74" i="6"/>
  <c r="AC74" i="6" s="1"/>
  <c r="AA75" i="6"/>
  <c r="AA76" i="6"/>
  <c r="AA77" i="6"/>
  <c r="AA78" i="6"/>
  <c r="AC78" i="6" s="1"/>
  <c r="AA79" i="6"/>
  <c r="AA80" i="6"/>
  <c r="AA81" i="6"/>
  <c r="AA82" i="6"/>
  <c r="AC82" i="6" s="1"/>
  <c r="AA83" i="6"/>
  <c r="AA84" i="6"/>
  <c r="AA85" i="6"/>
  <c r="AA86" i="6"/>
  <c r="AC86" i="6" s="1"/>
  <c r="AA87" i="6"/>
  <c r="AA88" i="6"/>
  <c r="AA89" i="6"/>
  <c r="AA90" i="6"/>
  <c r="AC90" i="6" s="1"/>
  <c r="AA91" i="6"/>
  <c r="AA92" i="6"/>
  <c r="AA93" i="6"/>
  <c r="AA94" i="6"/>
  <c r="AC94" i="6" s="1"/>
  <c r="AA95" i="6"/>
  <c r="AA96" i="6"/>
  <c r="AA97" i="6"/>
  <c r="AA98" i="6"/>
  <c r="AC98" i="6" s="1"/>
  <c r="AA99" i="6"/>
  <c r="AA100" i="6"/>
  <c r="AA101" i="6"/>
  <c r="AA102" i="6"/>
  <c r="AC102" i="6" s="1"/>
  <c r="AA103" i="6"/>
  <c r="AA104" i="6"/>
  <c r="AA105" i="6"/>
  <c r="AA106" i="6"/>
  <c r="AC106" i="6" s="1"/>
  <c r="AA107" i="6"/>
  <c r="AA108" i="6"/>
  <c r="AA109" i="6"/>
  <c r="AA9" i="6"/>
  <c r="AC9" i="6" s="1"/>
  <c r="AC109" i="6" l="1"/>
  <c r="AC108" i="6"/>
  <c r="AC104" i="6"/>
  <c r="AC100" i="6"/>
  <c r="AC96" i="6"/>
  <c r="AC92" i="6"/>
  <c r="AC88" i="6"/>
  <c r="AC84" i="6"/>
  <c r="AC80" i="6"/>
  <c r="AC76" i="6"/>
  <c r="AC72" i="6"/>
  <c r="AC68" i="6"/>
  <c r="AC64" i="6"/>
  <c r="AC60" i="6"/>
  <c r="AC56" i="6"/>
  <c r="AC52" i="6"/>
  <c r="AC48" i="6"/>
  <c r="AC44" i="6"/>
  <c r="AC40" i="6"/>
  <c r="AC36" i="6"/>
  <c r="AC32" i="6"/>
  <c r="AC28" i="6"/>
  <c r="AC24" i="6"/>
  <c r="AC20" i="6"/>
  <c r="AC16" i="6"/>
  <c r="AC12" i="6"/>
  <c r="AF9" i="6"/>
  <c r="AC107" i="6"/>
  <c r="AC103" i="6"/>
  <c r="AC99" i="6"/>
  <c r="AC95" i="6"/>
  <c r="AC91" i="6"/>
  <c r="AC87" i="6"/>
  <c r="AC83" i="6"/>
  <c r="AC79" i="6"/>
  <c r="AC75" i="6"/>
  <c r="AC71" i="6"/>
  <c r="AC67" i="6"/>
  <c r="AC63" i="6"/>
  <c r="AC59" i="6"/>
  <c r="AC55" i="6"/>
  <c r="AC51" i="6"/>
  <c r="AC47" i="6"/>
  <c r="AC43" i="6"/>
  <c r="AC39" i="6"/>
  <c r="AC35" i="6"/>
  <c r="AC31" i="6"/>
  <c r="AC27" i="6"/>
  <c r="AC23" i="6"/>
  <c r="AC19" i="6"/>
  <c r="AC15" i="6"/>
  <c r="AC11" i="6"/>
  <c r="AC105" i="6"/>
  <c r="AC101" i="6"/>
  <c r="AC97" i="6"/>
  <c r="AC93" i="6"/>
  <c r="AC89" i="6"/>
  <c r="AC85" i="6"/>
  <c r="AC81" i="6"/>
  <c r="AC77" i="6"/>
  <c r="AC73" i="6"/>
  <c r="AC69" i="6"/>
  <c r="AC65" i="6"/>
  <c r="AC61" i="6"/>
  <c r="AC57" i="6"/>
  <c r="AC53" i="6"/>
  <c r="AC49" i="6"/>
  <c r="AC45" i="6"/>
  <c r="AC41" i="6"/>
  <c r="AC37" i="6"/>
  <c r="AC33" i="6"/>
  <c r="AC29" i="6"/>
  <c r="AC25" i="6"/>
  <c r="AC21" i="6"/>
  <c r="AC17" i="6"/>
  <c r="AC13" i="6"/>
  <c r="CF7" i="6" l="1"/>
  <c r="BY7" i="6"/>
  <c r="BR7" i="6"/>
  <c r="T7" i="6"/>
  <c r="M7" i="6"/>
  <c r="CF10" i="6" l="1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61" i="6"/>
  <c r="CF62" i="6"/>
  <c r="CF63" i="6"/>
  <c r="CF64" i="6"/>
  <c r="CF65" i="6"/>
  <c r="CF66" i="6"/>
  <c r="CF67" i="6"/>
  <c r="CF68" i="6"/>
  <c r="CF69" i="6"/>
  <c r="CF70" i="6"/>
  <c r="CF71" i="6"/>
  <c r="CF72" i="6"/>
  <c r="CF73" i="6"/>
  <c r="CF74" i="6"/>
  <c r="CF75" i="6"/>
  <c r="CF76" i="6"/>
  <c r="CF77" i="6"/>
  <c r="CF78" i="6"/>
  <c r="CF79" i="6"/>
  <c r="CF80" i="6"/>
  <c r="CF81" i="6"/>
  <c r="CF82" i="6"/>
  <c r="CF83" i="6"/>
  <c r="CF84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CF97" i="6"/>
  <c r="CF98" i="6"/>
  <c r="CF99" i="6"/>
  <c r="CF100" i="6"/>
  <c r="CF101" i="6"/>
  <c r="CF102" i="6"/>
  <c r="CF103" i="6"/>
  <c r="CF104" i="6"/>
  <c r="CF105" i="6"/>
  <c r="CF106" i="6"/>
  <c r="CF107" i="6"/>
  <c r="CF108" i="6"/>
  <c r="CF109" i="6"/>
  <c r="CF9" i="6"/>
  <c r="BY10" i="6"/>
  <c r="BY11" i="6"/>
  <c r="BY12" i="6"/>
  <c r="BY13" i="6"/>
  <c r="BY14" i="6"/>
  <c r="BY15" i="6"/>
  <c r="BY16" i="6"/>
  <c r="BY17" i="6"/>
  <c r="BY18" i="6"/>
  <c r="BY19" i="6"/>
  <c r="BY20" i="6"/>
  <c r="BY21" i="6"/>
  <c r="BY22" i="6"/>
  <c r="BY23" i="6"/>
  <c r="BY24" i="6"/>
  <c r="BY25" i="6"/>
  <c r="BY26" i="6"/>
  <c r="BY27" i="6"/>
  <c r="BY28" i="6"/>
  <c r="BY29" i="6"/>
  <c r="BY30" i="6"/>
  <c r="BY31" i="6"/>
  <c r="BY32" i="6"/>
  <c r="BY33" i="6"/>
  <c r="BY34" i="6"/>
  <c r="BY35" i="6"/>
  <c r="BY36" i="6"/>
  <c r="BY37" i="6"/>
  <c r="BY38" i="6"/>
  <c r="BY39" i="6"/>
  <c r="BY40" i="6"/>
  <c r="BY41" i="6"/>
  <c r="BY42" i="6"/>
  <c r="BY43" i="6"/>
  <c r="BY44" i="6"/>
  <c r="BY45" i="6"/>
  <c r="BY46" i="6"/>
  <c r="BY47" i="6"/>
  <c r="BY48" i="6"/>
  <c r="BY49" i="6"/>
  <c r="BY50" i="6"/>
  <c r="BY51" i="6"/>
  <c r="BY52" i="6"/>
  <c r="BY53" i="6"/>
  <c r="BY54" i="6"/>
  <c r="BY55" i="6"/>
  <c r="BY56" i="6"/>
  <c r="BY57" i="6"/>
  <c r="BY58" i="6"/>
  <c r="BY59" i="6"/>
  <c r="BY60" i="6"/>
  <c r="BY61" i="6"/>
  <c r="BY62" i="6"/>
  <c r="BY63" i="6"/>
  <c r="BY64" i="6"/>
  <c r="BY65" i="6"/>
  <c r="BY66" i="6"/>
  <c r="BY67" i="6"/>
  <c r="BY68" i="6"/>
  <c r="BY69" i="6"/>
  <c r="BY70" i="6"/>
  <c r="BY71" i="6"/>
  <c r="BY72" i="6"/>
  <c r="BY73" i="6"/>
  <c r="BY74" i="6"/>
  <c r="BY75" i="6"/>
  <c r="BY76" i="6"/>
  <c r="BY77" i="6"/>
  <c r="BY78" i="6"/>
  <c r="BY79" i="6"/>
  <c r="BY80" i="6"/>
  <c r="BY81" i="6"/>
  <c r="BY82" i="6"/>
  <c r="BY83" i="6"/>
  <c r="BY84" i="6"/>
  <c r="BY85" i="6"/>
  <c r="BY86" i="6"/>
  <c r="BY87" i="6"/>
  <c r="BY88" i="6"/>
  <c r="BY89" i="6"/>
  <c r="BY90" i="6"/>
  <c r="BY91" i="6"/>
  <c r="BY92" i="6"/>
  <c r="BY93" i="6"/>
  <c r="BY94" i="6"/>
  <c r="BY95" i="6"/>
  <c r="BY96" i="6"/>
  <c r="BY97" i="6"/>
  <c r="BY98" i="6"/>
  <c r="BY99" i="6"/>
  <c r="BY100" i="6"/>
  <c r="BY101" i="6"/>
  <c r="BY102" i="6"/>
  <c r="BY103" i="6"/>
  <c r="BY104" i="6"/>
  <c r="BY105" i="6"/>
  <c r="BY106" i="6"/>
  <c r="BY107" i="6"/>
  <c r="BY108" i="6"/>
  <c r="BY109" i="6"/>
  <c r="BY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26" i="6"/>
  <c r="BR27" i="6"/>
  <c r="BR28" i="6"/>
  <c r="BR29" i="6"/>
  <c r="BR30" i="6"/>
  <c r="BR31" i="6"/>
  <c r="BR32" i="6"/>
  <c r="BR33" i="6"/>
  <c r="BR34" i="6"/>
  <c r="BR35" i="6"/>
  <c r="BR36" i="6"/>
  <c r="BR37" i="6"/>
  <c r="BR38" i="6"/>
  <c r="BR39" i="6"/>
  <c r="BR40" i="6"/>
  <c r="BR41" i="6"/>
  <c r="BR42" i="6"/>
  <c r="BR43" i="6"/>
  <c r="BR44" i="6"/>
  <c r="BR45" i="6"/>
  <c r="BR46" i="6"/>
  <c r="BR47" i="6"/>
  <c r="BR48" i="6"/>
  <c r="BR49" i="6"/>
  <c r="BR50" i="6"/>
  <c r="BR51" i="6"/>
  <c r="BR52" i="6"/>
  <c r="BR53" i="6"/>
  <c r="BR54" i="6"/>
  <c r="BR55" i="6"/>
  <c r="BR56" i="6"/>
  <c r="BR57" i="6"/>
  <c r="BR58" i="6"/>
  <c r="BR59" i="6"/>
  <c r="BR60" i="6"/>
  <c r="BR61" i="6"/>
  <c r="BR62" i="6"/>
  <c r="BR63" i="6"/>
  <c r="BR64" i="6"/>
  <c r="BR65" i="6"/>
  <c r="BR66" i="6"/>
  <c r="BR67" i="6"/>
  <c r="BR68" i="6"/>
  <c r="BR69" i="6"/>
  <c r="BR70" i="6"/>
  <c r="BR71" i="6"/>
  <c r="BR72" i="6"/>
  <c r="BR73" i="6"/>
  <c r="BR74" i="6"/>
  <c r="BR75" i="6"/>
  <c r="BR76" i="6"/>
  <c r="BR77" i="6"/>
  <c r="BR78" i="6"/>
  <c r="BR79" i="6"/>
  <c r="BR80" i="6"/>
  <c r="BR81" i="6"/>
  <c r="BR82" i="6"/>
  <c r="BR83" i="6"/>
  <c r="BR84" i="6"/>
  <c r="BR85" i="6"/>
  <c r="BR86" i="6"/>
  <c r="BR87" i="6"/>
  <c r="BR88" i="6"/>
  <c r="BR89" i="6"/>
  <c r="BR90" i="6"/>
  <c r="BR91" i="6"/>
  <c r="BR92" i="6"/>
  <c r="BR93" i="6"/>
  <c r="BR94" i="6"/>
  <c r="BR95" i="6"/>
  <c r="BR96" i="6"/>
  <c r="BR97" i="6"/>
  <c r="BR98" i="6"/>
  <c r="BR99" i="6"/>
  <c r="BR100" i="6"/>
  <c r="BR101" i="6"/>
  <c r="BR102" i="6"/>
  <c r="BR103" i="6"/>
  <c r="BR104" i="6"/>
  <c r="BR105" i="6"/>
  <c r="BR106" i="6"/>
  <c r="BR107" i="6"/>
  <c r="BR108" i="6"/>
  <c r="BR109" i="6"/>
  <c r="BR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9" i="6"/>
  <c r="A3" i="10" l="1"/>
  <c r="L5" i="10"/>
  <c r="H5" i="10"/>
  <c r="B5" i="10"/>
  <c r="E32" i="10" l="1"/>
  <c r="C10" i="5" l="1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B10" i="5"/>
  <c r="B10" i="6" s="1"/>
  <c r="B11" i="5"/>
  <c r="B11" i="6" s="1"/>
  <c r="B12" i="5"/>
  <c r="B12" i="6" s="1"/>
  <c r="B13" i="5"/>
  <c r="B13" i="6" s="1"/>
  <c r="B14" i="5"/>
  <c r="B14" i="6" s="1"/>
  <c r="B15" i="5"/>
  <c r="B15" i="6" s="1"/>
  <c r="B16" i="5"/>
  <c r="B16" i="6" s="1"/>
  <c r="B17" i="5"/>
  <c r="B17" i="6" s="1"/>
  <c r="B18" i="5"/>
  <c r="B18" i="6" s="1"/>
  <c r="B19" i="5"/>
  <c r="B19" i="6" s="1"/>
  <c r="B20" i="5"/>
  <c r="B20" i="6" s="1"/>
  <c r="B21" i="5"/>
  <c r="B21" i="6" s="1"/>
  <c r="B22" i="5"/>
  <c r="B22" i="6" s="1"/>
  <c r="B23" i="5"/>
  <c r="B23" i="6" s="1"/>
  <c r="B24" i="5"/>
  <c r="B24" i="6" s="1"/>
  <c r="B25" i="5"/>
  <c r="B25" i="6" s="1"/>
  <c r="B26" i="5"/>
  <c r="B26" i="6" s="1"/>
  <c r="B27" i="5"/>
  <c r="B27" i="6" s="1"/>
  <c r="B28" i="5"/>
  <c r="B28" i="6" s="1"/>
  <c r="B29" i="5"/>
  <c r="B30" i="5"/>
  <c r="B30" i="6" s="1"/>
  <c r="B31" i="5"/>
  <c r="B31" i="6" s="1"/>
  <c r="B32" i="5"/>
  <c r="B32" i="6" s="1"/>
  <c r="B33" i="5"/>
  <c r="B33" i="6" s="1"/>
  <c r="B34" i="5"/>
  <c r="B34" i="6" s="1"/>
  <c r="B35" i="5"/>
  <c r="B35" i="6" s="1"/>
  <c r="B36" i="5"/>
  <c r="B36" i="6" s="1"/>
  <c r="B37" i="5"/>
  <c r="B37" i="6" s="1"/>
  <c r="B38" i="5"/>
  <c r="B38" i="6" s="1"/>
  <c r="B39" i="5"/>
  <c r="B39" i="6" s="1"/>
  <c r="B40" i="5"/>
  <c r="B40" i="6" s="1"/>
  <c r="B41" i="5"/>
  <c r="B41" i="6" s="1"/>
  <c r="B42" i="5"/>
  <c r="B42" i="6" s="1"/>
  <c r="B43" i="5"/>
  <c r="B43" i="6" s="1"/>
  <c r="B44" i="5"/>
  <c r="B44" i="6" s="1"/>
  <c r="B45" i="5"/>
  <c r="B45" i="6" s="1"/>
  <c r="B46" i="5"/>
  <c r="B46" i="6" s="1"/>
  <c r="B47" i="5"/>
  <c r="B47" i="6" s="1"/>
  <c r="B48" i="5"/>
  <c r="B48" i="6" s="1"/>
  <c r="B49" i="5"/>
  <c r="B49" i="6" s="1"/>
  <c r="B50" i="5"/>
  <c r="B50" i="6" s="1"/>
  <c r="B51" i="5"/>
  <c r="B51" i="6" s="1"/>
  <c r="B52" i="5"/>
  <c r="B52" i="6" s="1"/>
  <c r="B53" i="5"/>
  <c r="B53" i="6" s="1"/>
  <c r="B54" i="5"/>
  <c r="B54" i="6" s="1"/>
  <c r="B55" i="5"/>
  <c r="B55" i="6" s="1"/>
  <c r="B56" i="5"/>
  <c r="B56" i="6" s="1"/>
  <c r="B57" i="5"/>
  <c r="B57" i="6" s="1"/>
  <c r="B58" i="5"/>
  <c r="B58" i="6" s="1"/>
  <c r="B59" i="5"/>
  <c r="B59" i="6" s="1"/>
  <c r="B60" i="5"/>
  <c r="B60" i="6" s="1"/>
  <c r="B61" i="5"/>
  <c r="B61" i="6" s="1"/>
  <c r="B62" i="5"/>
  <c r="B62" i="6" s="1"/>
  <c r="B63" i="5"/>
  <c r="B63" i="6" s="1"/>
  <c r="B64" i="5"/>
  <c r="B64" i="6" s="1"/>
  <c r="B65" i="5"/>
  <c r="B65" i="6" s="1"/>
  <c r="B66" i="5"/>
  <c r="B66" i="6" s="1"/>
  <c r="B67" i="5"/>
  <c r="B67" i="6" s="1"/>
  <c r="B68" i="5"/>
  <c r="B68" i="6" s="1"/>
  <c r="B69" i="5"/>
  <c r="B69" i="6" s="1"/>
  <c r="BH69" i="6" s="1"/>
  <c r="B70" i="5"/>
  <c r="B70" i="6" s="1"/>
  <c r="BH70" i="6" s="1"/>
  <c r="B71" i="5"/>
  <c r="B71" i="6" s="1"/>
  <c r="BH71" i="6" s="1"/>
  <c r="B72" i="5"/>
  <c r="B72" i="6" s="1"/>
  <c r="BH72" i="6" s="1"/>
  <c r="B73" i="5"/>
  <c r="B73" i="6" s="1"/>
  <c r="BH73" i="6" s="1"/>
  <c r="B74" i="5"/>
  <c r="B74" i="6" s="1"/>
  <c r="BH74" i="6" s="1"/>
  <c r="B75" i="5"/>
  <c r="B75" i="6" s="1"/>
  <c r="BH75" i="6" s="1"/>
  <c r="B76" i="5"/>
  <c r="B76" i="6" s="1"/>
  <c r="BH76" i="6" s="1"/>
  <c r="B77" i="5"/>
  <c r="B77" i="6" s="1"/>
  <c r="BH77" i="6" s="1"/>
  <c r="B78" i="5"/>
  <c r="B78" i="6" s="1"/>
  <c r="BH78" i="6" s="1"/>
  <c r="B79" i="5"/>
  <c r="B79" i="6" s="1"/>
  <c r="BH79" i="6" s="1"/>
  <c r="B80" i="5"/>
  <c r="B80" i="6" s="1"/>
  <c r="BH80" i="6" s="1"/>
  <c r="B81" i="5"/>
  <c r="B81" i="6" s="1"/>
  <c r="BH81" i="6" s="1"/>
  <c r="B82" i="5"/>
  <c r="B82" i="6" s="1"/>
  <c r="BH82" i="6" s="1"/>
  <c r="B83" i="5"/>
  <c r="B83" i="6" s="1"/>
  <c r="BH83" i="6" s="1"/>
  <c r="B84" i="5"/>
  <c r="B84" i="6" s="1"/>
  <c r="BH84" i="6" s="1"/>
  <c r="B85" i="5"/>
  <c r="B85" i="6" s="1"/>
  <c r="BH85" i="6" s="1"/>
  <c r="B86" i="5"/>
  <c r="B86" i="6" s="1"/>
  <c r="BH86" i="6" s="1"/>
  <c r="B87" i="5"/>
  <c r="B87" i="6" s="1"/>
  <c r="BH87" i="6" s="1"/>
  <c r="B88" i="5"/>
  <c r="B88" i="6" s="1"/>
  <c r="BH88" i="6" s="1"/>
  <c r="B89" i="5"/>
  <c r="B90" i="5"/>
  <c r="B90" i="6" s="1"/>
  <c r="BH90" i="6" s="1"/>
  <c r="B91" i="5"/>
  <c r="B91" i="6" s="1"/>
  <c r="BH91" i="6" s="1"/>
  <c r="B92" i="5"/>
  <c r="B92" i="6" s="1"/>
  <c r="BH92" i="6" s="1"/>
  <c r="B93" i="5"/>
  <c r="B93" i="6" s="1"/>
  <c r="BH93" i="6" s="1"/>
  <c r="B94" i="5"/>
  <c r="B94" i="6" s="1"/>
  <c r="BH94" i="6" s="1"/>
  <c r="B95" i="5"/>
  <c r="B95" i="6" s="1"/>
  <c r="BH95" i="6" s="1"/>
  <c r="B96" i="5"/>
  <c r="B96" i="6" s="1"/>
  <c r="BH96" i="6" s="1"/>
  <c r="B97" i="5"/>
  <c r="B97" i="6" s="1"/>
  <c r="BH97" i="6" s="1"/>
  <c r="B98" i="5"/>
  <c r="B98" i="6" s="1"/>
  <c r="BH98" i="6" s="1"/>
  <c r="B99" i="5"/>
  <c r="B99" i="6" s="1"/>
  <c r="BH99" i="6" s="1"/>
  <c r="B100" i="5"/>
  <c r="B100" i="6" s="1"/>
  <c r="BH100" i="6" s="1"/>
  <c r="B101" i="5"/>
  <c r="B101" i="6" s="1"/>
  <c r="BH101" i="6" s="1"/>
  <c r="B102" i="5"/>
  <c r="B102" i="6" s="1"/>
  <c r="BH102" i="6" s="1"/>
  <c r="B103" i="5"/>
  <c r="B103" i="6" s="1"/>
  <c r="BH103" i="6" s="1"/>
  <c r="B104" i="5"/>
  <c r="B104" i="6" s="1"/>
  <c r="BH104" i="6" s="1"/>
  <c r="B105" i="5"/>
  <c r="B105" i="6" s="1"/>
  <c r="BH105" i="6" s="1"/>
  <c r="B106" i="5"/>
  <c r="B106" i="6" s="1"/>
  <c r="BH106" i="6" s="1"/>
  <c r="B107" i="5"/>
  <c r="B107" i="6" s="1"/>
  <c r="BH107" i="6" s="1"/>
  <c r="B108" i="5"/>
  <c r="B108" i="6" s="1"/>
  <c r="BH108" i="6" s="1"/>
  <c r="B109" i="5"/>
  <c r="B109" i="6" s="1"/>
  <c r="BH109" i="6" s="1"/>
  <c r="B9" i="5"/>
  <c r="B9" i="6" s="1"/>
  <c r="C9" i="5"/>
  <c r="B29" i="6"/>
  <c r="B89" i="6"/>
  <c r="BH89" i="6" s="1"/>
  <c r="F23" i="10" l="1"/>
  <c r="H23" i="10"/>
  <c r="C23" i="10"/>
  <c r="BJ106" i="6"/>
  <c r="BJ89" i="6"/>
  <c r="BJ109" i="6"/>
  <c r="BJ105" i="6"/>
  <c r="BJ101" i="6"/>
  <c r="BJ97" i="6"/>
  <c r="BJ93" i="6"/>
  <c r="BJ85" i="6"/>
  <c r="BJ81" i="6"/>
  <c r="BJ77" i="6"/>
  <c r="BJ73" i="6"/>
  <c r="BJ69" i="6"/>
  <c r="BJ108" i="6"/>
  <c r="BJ104" i="6"/>
  <c r="BJ100" i="6"/>
  <c r="BJ96" i="6"/>
  <c r="BJ92" i="6"/>
  <c r="BJ88" i="6"/>
  <c r="BJ84" i="6"/>
  <c r="BJ80" i="6"/>
  <c r="BJ76" i="6"/>
  <c r="BJ72" i="6"/>
  <c r="BJ107" i="6"/>
  <c r="BJ103" i="6"/>
  <c r="BJ99" i="6"/>
  <c r="BJ95" i="6"/>
  <c r="BJ91" i="6"/>
  <c r="BJ87" i="6"/>
  <c r="BJ83" i="6"/>
  <c r="BJ79" i="6"/>
  <c r="BJ75" i="6"/>
  <c r="BJ71" i="6"/>
  <c r="I17" i="10"/>
  <c r="E16" i="10"/>
  <c r="I15" i="10"/>
  <c r="F17" i="10"/>
  <c r="J16" i="10"/>
  <c r="F15" i="10"/>
  <c r="E17" i="10"/>
  <c r="I16" i="10"/>
  <c r="E15" i="10"/>
  <c r="J17" i="10"/>
  <c r="F16" i="10"/>
  <c r="J15" i="10"/>
  <c r="BJ102" i="6"/>
  <c r="BJ98" i="6"/>
  <c r="BJ94" i="6"/>
  <c r="BJ90" i="6"/>
  <c r="BJ86" i="6"/>
  <c r="BJ82" i="6"/>
  <c r="BJ78" i="6"/>
  <c r="BJ74" i="6"/>
  <c r="BJ70" i="6"/>
  <c r="X109" i="6"/>
  <c r="AJ109" i="6"/>
  <c r="AV109" i="6"/>
  <c r="X97" i="6"/>
  <c r="AJ97" i="6"/>
  <c r="AV97" i="6"/>
  <c r="X77" i="6"/>
  <c r="AJ77" i="6"/>
  <c r="AV77" i="6"/>
  <c r="X108" i="6"/>
  <c r="AV108" i="6"/>
  <c r="AJ108" i="6"/>
  <c r="X104" i="6"/>
  <c r="AV104" i="6"/>
  <c r="AJ104" i="6"/>
  <c r="X100" i="6"/>
  <c r="AV100" i="6"/>
  <c r="AJ100" i="6"/>
  <c r="X96" i="6"/>
  <c r="AV96" i="6"/>
  <c r="AJ96" i="6"/>
  <c r="X92" i="6"/>
  <c r="AV92" i="6"/>
  <c r="AJ92" i="6"/>
  <c r="X88" i="6"/>
  <c r="AV88" i="6"/>
  <c r="AJ88" i="6"/>
  <c r="X84" i="6"/>
  <c r="AV84" i="6"/>
  <c r="AJ84" i="6"/>
  <c r="X80" i="6"/>
  <c r="AV80" i="6"/>
  <c r="AJ80" i="6"/>
  <c r="X76" i="6"/>
  <c r="AV76" i="6"/>
  <c r="AJ76" i="6"/>
  <c r="X72" i="6"/>
  <c r="AV72" i="6"/>
  <c r="AJ72" i="6"/>
  <c r="X89" i="6"/>
  <c r="AJ89" i="6"/>
  <c r="AV89" i="6"/>
  <c r="X101" i="6"/>
  <c r="AJ101" i="6"/>
  <c r="AV101" i="6"/>
  <c r="X85" i="6"/>
  <c r="AJ85" i="6"/>
  <c r="AV85" i="6"/>
  <c r="X73" i="6"/>
  <c r="AJ73" i="6"/>
  <c r="AV73" i="6"/>
  <c r="X107" i="6"/>
  <c r="AV107" i="6"/>
  <c r="AJ107" i="6"/>
  <c r="X103" i="6"/>
  <c r="AV103" i="6"/>
  <c r="AJ103" i="6"/>
  <c r="X99" i="6"/>
  <c r="AV99" i="6"/>
  <c r="AJ99" i="6"/>
  <c r="X95" i="6"/>
  <c r="AV95" i="6"/>
  <c r="AJ95" i="6"/>
  <c r="X91" i="6"/>
  <c r="AV91" i="6"/>
  <c r="AJ91" i="6"/>
  <c r="X87" i="6"/>
  <c r="AV87" i="6"/>
  <c r="AJ87" i="6"/>
  <c r="X83" i="6"/>
  <c r="AV83" i="6"/>
  <c r="AJ83" i="6"/>
  <c r="X79" i="6"/>
  <c r="AV79" i="6"/>
  <c r="AJ79" i="6"/>
  <c r="X75" i="6"/>
  <c r="AV75" i="6"/>
  <c r="AJ75" i="6"/>
  <c r="X71" i="6"/>
  <c r="AV71" i="6"/>
  <c r="AJ71" i="6"/>
  <c r="X105" i="6"/>
  <c r="AJ105" i="6"/>
  <c r="AV105" i="6"/>
  <c r="X93" i="6"/>
  <c r="AJ93" i="6"/>
  <c r="AV93" i="6"/>
  <c r="X81" i="6"/>
  <c r="AJ81" i="6"/>
  <c r="AV81" i="6"/>
  <c r="X69" i="6"/>
  <c r="AJ69" i="6"/>
  <c r="AV69" i="6"/>
  <c r="X106" i="6"/>
  <c r="AV106" i="6"/>
  <c r="AJ106" i="6"/>
  <c r="X102" i="6"/>
  <c r="AV102" i="6"/>
  <c r="AJ102" i="6"/>
  <c r="X98" i="6"/>
  <c r="AV98" i="6"/>
  <c r="AJ98" i="6"/>
  <c r="X94" i="6"/>
  <c r="AV94" i="6"/>
  <c r="AJ94" i="6"/>
  <c r="X90" i="6"/>
  <c r="AV90" i="6"/>
  <c r="AJ90" i="6"/>
  <c r="X86" i="6"/>
  <c r="AV86" i="6"/>
  <c r="AJ86" i="6"/>
  <c r="X82" i="6"/>
  <c r="AV82" i="6"/>
  <c r="AJ82" i="6"/>
  <c r="X78" i="6"/>
  <c r="AV78" i="6"/>
  <c r="AJ78" i="6"/>
  <c r="X74" i="6"/>
  <c r="AV74" i="6"/>
  <c r="AJ74" i="6"/>
  <c r="X70" i="6"/>
  <c r="AV70" i="6"/>
  <c r="AJ70" i="6"/>
  <c r="F116" i="6"/>
  <c r="BN103" i="6"/>
  <c r="BI103" i="6"/>
  <c r="BN95" i="6"/>
  <c r="BI95" i="6"/>
  <c r="BK95" i="6" s="1"/>
  <c r="BN91" i="6"/>
  <c r="BI91" i="6"/>
  <c r="BN83" i="6"/>
  <c r="BI83" i="6"/>
  <c r="BK83" i="6" s="1"/>
  <c r="BN79" i="6"/>
  <c r="BI79" i="6"/>
  <c r="BN71" i="6"/>
  <c r="BI71" i="6"/>
  <c r="BK71" i="6" s="1"/>
  <c r="BN63" i="6"/>
  <c r="BN59" i="6"/>
  <c r="BN51" i="6"/>
  <c r="BN43" i="6"/>
  <c r="BN35" i="6"/>
  <c r="BN27" i="6"/>
  <c r="BN15" i="6"/>
  <c r="BN106" i="6"/>
  <c r="BI106" i="6"/>
  <c r="BK106" i="6" s="1"/>
  <c r="BN102" i="6"/>
  <c r="BI102" i="6"/>
  <c r="BN98" i="6"/>
  <c r="BI98" i="6"/>
  <c r="BK98" i="6" s="1"/>
  <c r="BN94" i="6"/>
  <c r="BI94" i="6"/>
  <c r="BN90" i="6"/>
  <c r="BI90" i="6"/>
  <c r="BK90" i="6" s="1"/>
  <c r="BN86" i="6"/>
  <c r="BI86" i="6"/>
  <c r="BN82" i="6"/>
  <c r="BI82" i="6"/>
  <c r="BK82" i="6" s="1"/>
  <c r="BN78" i="6"/>
  <c r="BI78" i="6"/>
  <c r="BN74" i="6"/>
  <c r="BI74" i="6"/>
  <c r="BK74" i="6" s="1"/>
  <c r="BN70" i="6"/>
  <c r="BN66" i="6"/>
  <c r="BN62" i="6"/>
  <c r="BN58" i="6"/>
  <c r="BN54" i="6"/>
  <c r="BN50" i="6"/>
  <c r="BN46" i="6"/>
  <c r="BN42" i="6"/>
  <c r="BN38" i="6"/>
  <c r="BN34" i="6"/>
  <c r="BN30" i="6"/>
  <c r="BN26" i="6"/>
  <c r="BN22" i="6"/>
  <c r="BN18" i="6"/>
  <c r="BN14" i="6"/>
  <c r="BN10" i="6"/>
  <c r="BN101" i="6"/>
  <c r="BI101" i="6"/>
  <c r="BK101" i="6" s="1"/>
  <c r="BN77" i="6"/>
  <c r="BI77" i="6"/>
  <c r="BK77" i="6" s="1"/>
  <c r="BN65" i="6"/>
  <c r="BN57" i="6"/>
  <c r="BN49" i="6"/>
  <c r="BN41" i="6"/>
  <c r="BN33" i="6"/>
  <c r="BN29" i="6"/>
  <c r="BN25" i="6"/>
  <c r="BN21" i="6"/>
  <c r="BN17" i="6"/>
  <c r="BN13" i="6"/>
  <c r="BN107" i="6"/>
  <c r="BI107" i="6"/>
  <c r="BK107" i="6" s="1"/>
  <c r="BN109" i="6"/>
  <c r="BI109" i="6"/>
  <c r="BK109" i="6" s="1"/>
  <c r="BN105" i="6"/>
  <c r="BI105" i="6"/>
  <c r="BK105" i="6" s="1"/>
  <c r="BN97" i="6"/>
  <c r="BI97" i="6"/>
  <c r="BK97" i="6" s="1"/>
  <c r="BN93" i="6"/>
  <c r="BI93" i="6"/>
  <c r="BK93" i="6" s="1"/>
  <c r="BN89" i="6"/>
  <c r="BI89" i="6"/>
  <c r="BK89" i="6" s="1"/>
  <c r="BN85" i="6"/>
  <c r="BI85" i="6"/>
  <c r="BK85" i="6" s="1"/>
  <c r="BN81" i="6"/>
  <c r="BI81" i="6"/>
  <c r="BK81" i="6" s="1"/>
  <c r="BN73" i="6"/>
  <c r="BI73" i="6"/>
  <c r="BK73" i="6" s="1"/>
  <c r="BN69" i="6"/>
  <c r="BN61" i="6"/>
  <c r="BN53" i="6"/>
  <c r="BN45" i="6"/>
  <c r="BN37" i="6"/>
  <c r="BN108" i="6"/>
  <c r="BI108" i="6"/>
  <c r="BK108" i="6" s="1"/>
  <c r="BN104" i="6"/>
  <c r="BI104" i="6"/>
  <c r="BK104" i="6" s="1"/>
  <c r="BN100" i="6"/>
  <c r="BI100" i="6"/>
  <c r="BK100" i="6" s="1"/>
  <c r="BN96" i="6"/>
  <c r="BI96" i="6"/>
  <c r="BK96" i="6" s="1"/>
  <c r="BN92" i="6"/>
  <c r="BI92" i="6"/>
  <c r="BK92" i="6" s="1"/>
  <c r="BN88" i="6"/>
  <c r="BI88" i="6"/>
  <c r="BK88" i="6" s="1"/>
  <c r="BN84" i="6"/>
  <c r="BI84" i="6"/>
  <c r="BK84" i="6" s="1"/>
  <c r="BN80" i="6"/>
  <c r="BI80" i="6"/>
  <c r="BK80" i="6" s="1"/>
  <c r="BN76" i="6"/>
  <c r="BI76" i="6"/>
  <c r="BK76" i="6" s="1"/>
  <c r="BN72" i="6"/>
  <c r="BI72" i="6"/>
  <c r="BK72" i="6" s="1"/>
  <c r="BN68" i="6"/>
  <c r="BN64" i="6"/>
  <c r="BN60" i="6"/>
  <c r="BN56" i="6"/>
  <c r="BN52" i="6"/>
  <c r="BN48" i="6"/>
  <c r="BN44" i="6"/>
  <c r="BN40" i="6"/>
  <c r="BN36" i="6"/>
  <c r="BN32" i="6"/>
  <c r="BN28" i="6"/>
  <c r="BN24" i="6"/>
  <c r="BN20" i="6"/>
  <c r="BN16" i="6"/>
  <c r="BN12" i="6"/>
  <c r="BN9" i="6"/>
  <c r="M24" i="10" s="1"/>
  <c r="BN99" i="6"/>
  <c r="BI99" i="6"/>
  <c r="BK99" i="6" s="1"/>
  <c r="BN87" i="6"/>
  <c r="BI87" i="6"/>
  <c r="BK87" i="6" s="1"/>
  <c r="BN75" i="6"/>
  <c r="BI75" i="6"/>
  <c r="BK75" i="6" s="1"/>
  <c r="BN67" i="6"/>
  <c r="BN55" i="6"/>
  <c r="BN47" i="6"/>
  <c r="BN39" i="6"/>
  <c r="BN31" i="6"/>
  <c r="BN23" i="6"/>
  <c r="BN19" i="6"/>
  <c r="BN11" i="6"/>
  <c r="F18" i="10" l="1"/>
  <c r="F20" i="10" s="1"/>
  <c r="J18" i="10"/>
  <c r="J20" i="10" s="1"/>
  <c r="G17" i="10"/>
  <c r="BK78" i="6"/>
  <c r="BK86" i="6"/>
  <c r="BK94" i="6"/>
  <c r="BK102" i="6"/>
  <c r="K16" i="10"/>
  <c r="BK79" i="6"/>
  <c r="BK91" i="6"/>
  <c r="BK103" i="6"/>
  <c r="G16" i="10"/>
  <c r="G15" i="10"/>
  <c r="K17" i="10"/>
  <c r="K15" i="10"/>
  <c r="P9" i="8"/>
  <c r="W9" i="8" l="1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8" i="8"/>
  <c r="O9" i="8"/>
  <c r="Q9" i="8"/>
  <c r="R9" i="8"/>
  <c r="S9" i="8"/>
  <c r="T9" i="8"/>
  <c r="U9" i="8"/>
  <c r="V9" i="8"/>
  <c r="O10" i="8"/>
  <c r="P10" i="8"/>
  <c r="Q10" i="8"/>
  <c r="R10" i="8"/>
  <c r="S10" i="8"/>
  <c r="T10" i="8"/>
  <c r="U10" i="8"/>
  <c r="V10" i="8"/>
  <c r="O11" i="8"/>
  <c r="P11" i="8"/>
  <c r="Q11" i="8"/>
  <c r="R11" i="8"/>
  <c r="S11" i="8"/>
  <c r="T11" i="8"/>
  <c r="U11" i="8"/>
  <c r="V11" i="8"/>
  <c r="O12" i="8"/>
  <c r="P12" i="8"/>
  <c r="Q12" i="8"/>
  <c r="R12" i="8"/>
  <c r="S12" i="8"/>
  <c r="T12" i="8"/>
  <c r="U12" i="8"/>
  <c r="V12" i="8"/>
  <c r="O13" i="8"/>
  <c r="P13" i="8"/>
  <c r="Q13" i="8"/>
  <c r="R13" i="8"/>
  <c r="S13" i="8"/>
  <c r="T13" i="8"/>
  <c r="U13" i="8"/>
  <c r="V13" i="8"/>
  <c r="O14" i="8"/>
  <c r="P14" i="8"/>
  <c r="Q14" i="8"/>
  <c r="R14" i="8"/>
  <c r="S14" i="8"/>
  <c r="T14" i="8"/>
  <c r="U14" i="8"/>
  <c r="V14" i="8"/>
  <c r="O15" i="8"/>
  <c r="P15" i="8"/>
  <c r="Q15" i="8"/>
  <c r="R15" i="8"/>
  <c r="S15" i="8"/>
  <c r="T15" i="8"/>
  <c r="U15" i="8"/>
  <c r="V15" i="8"/>
  <c r="O16" i="8"/>
  <c r="P16" i="8"/>
  <c r="Q16" i="8"/>
  <c r="R16" i="8"/>
  <c r="S16" i="8"/>
  <c r="T16" i="8"/>
  <c r="U16" i="8"/>
  <c r="V16" i="8"/>
  <c r="O17" i="8"/>
  <c r="P17" i="8"/>
  <c r="Q17" i="8"/>
  <c r="R17" i="8"/>
  <c r="S17" i="8"/>
  <c r="T17" i="8"/>
  <c r="U17" i="8"/>
  <c r="V17" i="8"/>
  <c r="O18" i="8"/>
  <c r="P18" i="8"/>
  <c r="Q18" i="8"/>
  <c r="R18" i="8"/>
  <c r="S18" i="8"/>
  <c r="T18" i="8"/>
  <c r="U18" i="8"/>
  <c r="V18" i="8"/>
  <c r="O19" i="8"/>
  <c r="P19" i="8"/>
  <c r="Q19" i="8"/>
  <c r="R19" i="8"/>
  <c r="S19" i="8"/>
  <c r="T19" i="8"/>
  <c r="U19" i="8"/>
  <c r="V19" i="8"/>
  <c r="O20" i="8"/>
  <c r="P20" i="8"/>
  <c r="Q20" i="8"/>
  <c r="R20" i="8"/>
  <c r="S20" i="8"/>
  <c r="T20" i="8"/>
  <c r="U20" i="8"/>
  <c r="V20" i="8"/>
  <c r="O21" i="8"/>
  <c r="P21" i="8"/>
  <c r="Q21" i="8"/>
  <c r="R21" i="8"/>
  <c r="S21" i="8"/>
  <c r="T21" i="8"/>
  <c r="U21" i="8"/>
  <c r="V21" i="8"/>
  <c r="O22" i="8"/>
  <c r="P22" i="8"/>
  <c r="Q22" i="8"/>
  <c r="R22" i="8"/>
  <c r="S22" i="8"/>
  <c r="T22" i="8"/>
  <c r="U22" i="8"/>
  <c r="V22" i="8"/>
  <c r="O23" i="8"/>
  <c r="P23" i="8"/>
  <c r="Q23" i="8"/>
  <c r="R23" i="8"/>
  <c r="S23" i="8"/>
  <c r="T23" i="8"/>
  <c r="U23" i="8"/>
  <c r="V23" i="8"/>
  <c r="O24" i="8"/>
  <c r="P24" i="8"/>
  <c r="Q24" i="8"/>
  <c r="R24" i="8"/>
  <c r="S24" i="8"/>
  <c r="T24" i="8"/>
  <c r="U24" i="8"/>
  <c r="V24" i="8"/>
  <c r="O25" i="8"/>
  <c r="P25" i="8"/>
  <c r="Q25" i="8"/>
  <c r="R25" i="8"/>
  <c r="S25" i="8"/>
  <c r="T25" i="8"/>
  <c r="U25" i="8"/>
  <c r="V25" i="8"/>
  <c r="O26" i="8"/>
  <c r="P26" i="8"/>
  <c r="Q26" i="8"/>
  <c r="R26" i="8"/>
  <c r="S26" i="8"/>
  <c r="T26" i="8"/>
  <c r="U26" i="8"/>
  <c r="V26" i="8"/>
  <c r="O27" i="8"/>
  <c r="P27" i="8"/>
  <c r="Q27" i="8"/>
  <c r="R27" i="8"/>
  <c r="S27" i="8"/>
  <c r="T27" i="8"/>
  <c r="U27" i="8"/>
  <c r="V27" i="8"/>
  <c r="O28" i="8"/>
  <c r="P28" i="8"/>
  <c r="Q28" i="8"/>
  <c r="R28" i="8"/>
  <c r="S28" i="8"/>
  <c r="T28" i="8"/>
  <c r="U28" i="8"/>
  <c r="V28" i="8"/>
  <c r="O29" i="8"/>
  <c r="P29" i="8"/>
  <c r="Q29" i="8"/>
  <c r="R29" i="8"/>
  <c r="S29" i="8"/>
  <c r="T29" i="8"/>
  <c r="U29" i="8"/>
  <c r="V29" i="8"/>
  <c r="O30" i="8"/>
  <c r="P30" i="8"/>
  <c r="Q30" i="8"/>
  <c r="R30" i="8"/>
  <c r="S30" i="8"/>
  <c r="T30" i="8"/>
  <c r="U30" i="8"/>
  <c r="V30" i="8"/>
  <c r="O31" i="8"/>
  <c r="P31" i="8"/>
  <c r="Q31" i="8"/>
  <c r="R31" i="8"/>
  <c r="S31" i="8"/>
  <c r="T31" i="8"/>
  <c r="U31" i="8"/>
  <c r="V31" i="8"/>
  <c r="O32" i="8"/>
  <c r="P32" i="8"/>
  <c r="Q32" i="8"/>
  <c r="R32" i="8"/>
  <c r="S32" i="8"/>
  <c r="T32" i="8"/>
  <c r="U32" i="8"/>
  <c r="V32" i="8"/>
  <c r="O33" i="8"/>
  <c r="P33" i="8"/>
  <c r="Q33" i="8"/>
  <c r="R33" i="8"/>
  <c r="S33" i="8"/>
  <c r="T33" i="8"/>
  <c r="U33" i="8"/>
  <c r="V33" i="8"/>
  <c r="O34" i="8"/>
  <c r="P34" i="8"/>
  <c r="Q34" i="8"/>
  <c r="R34" i="8"/>
  <c r="S34" i="8"/>
  <c r="T34" i="8"/>
  <c r="U34" i="8"/>
  <c r="V34" i="8"/>
  <c r="O35" i="8"/>
  <c r="P35" i="8"/>
  <c r="Q35" i="8"/>
  <c r="R35" i="8"/>
  <c r="S35" i="8"/>
  <c r="T35" i="8"/>
  <c r="U35" i="8"/>
  <c r="V35" i="8"/>
  <c r="O36" i="8"/>
  <c r="P36" i="8"/>
  <c r="Q36" i="8"/>
  <c r="R36" i="8"/>
  <c r="S36" i="8"/>
  <c r="T36" i="8"/>
  <c r="U36" i="8"/>
  <c r="V36" i="8"/>
  <c r="O37" i="8"/>
  <c r="P37" i="8"/>
  <c r="Q37" i="8"/>
  <c r="R37" i="8"/>
  <c r="S37" i="8"/>
  <c r="T37" i="8"/>
  <c r="U37" i="8"/>
  <c r="V37" i="8"/>
  <c r="O38" i="8"/>
  <c r="P38" i="8"/>
  <c r="Q38" i="8"/>
  <c r="R38" i="8"/>
  <c r="S38" i="8"/>
  <c r="T38" i="8"/>
  <c r="U38" i="8"/>
  <c r="V38" i="8"/>
  <c r="O39" i="8"/>
  <c r="P39" i="8"/>
  <c r="Q39" i="8"/>
  <c r="R39" i="8"/>
  <c r="S39" i="8"/>
  <c r="T39" i="8"/>
  <c r="U39" i="8"/>
  <c r="V39" i="8"/>
  <c r="O40" i="8"/>
  <c r="P40" i="8"/>
  <c r="Q40" i="8"/>
  <c r="R40" i="8"/>
  <c r="S40" i="8"/>
  <c r="T40" i="8"/>
  <c r="U40" i="8"/>
  <c r="V40" i="8"/>
  <c r="O41" i="8"/>
  <c r="P41" i="8"/>
  <c r="Q41" i="8"/>
  <c r="R41" i="8"/>
  <c r="S41" i="8"/>
  <c r="T41" i="8"/>
  <c r="U41" i="8"/>
  <c r="V41" i="8"/>
  <c r="O42" i="8"/>
  <c r="P42" i="8"/>
  <c r="Q42" i="8"/>
  <c r="R42" i="8"/>
  <c r="S42" i="8"/>
  <c r="T42" i="8"/>
  <c r="U42" i="8"/>
  <c r="V42" i="8"/>
  <c r="O43" i="8"/>
  <c r="P43" i="8"/>
  <c r="Q43" i="8"/>
  <c r="R43" i="8"/>
  <c r="S43" i="8"/>
  <c r="T43" i="8"/>
  <c r="U43" i="8"/>
  <c r="V43" i="8"/>
  <c r="O44" i="8"/>
  <c r="P44" i="8"/>
  <c r="Q44" i="8"/>
  <c r="R44" i="8"/>
  <c r="S44" i="8"/>
  <c r="T44" i="8"/>
  <c r="U44" i="8"/>
  <c r="V44" i="8"/>
  <c r="O45" i="8"/>
  <c r="P45" i="8"/>
  <c r="Q45" i="8"/>
  <c r="R45" i="8"/>
  <c r="S45" i="8"/>
  <c r="T45" i="8"/>
  <c r="U45" i="8"/>
  <c r="V45" i="8"/>
  <c r="O46" i="8"/>
  <c r="P46" i="8"/>
  <c r="Q46" i="8"/>
  <c r="R46" i="8"/>
  <c r="S46" i="8"/>
  <c r="T46" i="8"/>
  <c r="U46" i="8"/>
  <c r="V46" i="8"/>
  <c r="O47" i="8"/>
  <c r="P47" i="8"/>
  <c r="Q47" i="8"/>
  <c r="R47" i="8"/>
  <c r="S47" i="8"/>
  <c r="T47" i="8"/>
  <c r="U47" i="8"/>
  <c r="V47" i="8"/>
  <c r="O48" i="8"/>
  <c r="P48" i="8"/>
  <c r="Q48" i="8"/>
  <c r="R48" i="8"/>
  <c r="S48" i="8"/>
  <c r="T48" i="8"/>
  <c r="U48" i="8"/>
  <c r="V48" i="8"/>
  <c r="O49" i="8"/>
  <c r="P49" i="8"/>
  <c r="Q49" i="8"/>
  <c r="R49" i="8"/>
  <c r="S49" i="8"/>
  <c r="T49" i="8"/>
  <c r="U49" i="8"/>
  <c r="V49" i="8"/>
  <c r="O50" i="8"/>
  <c r="P50" i="8"/>
  <c r="Q50" i="8"/>
  <c r="R50" i="8"/>
  <c r="S50" i="8"/>
  <c r="T50" i="8"/>
  <c r="U50" i="8"/>
  <c r="V50" i="8"/>
  <c r="O51" i="8"/>
  <c r="P51" i="8"/>
  <c r="Q51" i="8"/>
  <c r="R51" i="8"/>
  <c r="S51" i="8"/>
  <c r="T51" i="8"/>
  <c r="U51" i="8"/>
  <c r="V51" i="8"/>
  <c r="O52" i="8"/>
  <c r="P52" i="8"/>
  <c r="Q52" i="8"/>
  <c r="R52" i="8"/>
  <c r="S52" i="8"/>
  <c r="T52" i="8"/>
  <c r="U52" i="8"/>
  <c r="V52" i="8"/>
  <c r="O53" i="8"/>
  <c r="P53" i="8"/>
  <c r="Q53" i="8"/>
  <c r="R53" i="8"/>
  <c r="S53" i="8"/>
  <c r="T53" i="8"/>
  <c r="U53" i="8"/>
  <c r="V53" i="8"/>
  <c r="O54" i="8"/>
  <c r="P54" i="8"/>
  <c r="Q54" i="8"/>
  <c r="R54" i="8"/>
  <c r="S54" i="8"/>
  <c r="T54" i="8"/>
  <c r="U54" i="8"/>
  <c r="V54" i="8"/>
  <c r="O55" i="8"/>
  <c r="P55" i="8"/>
  <c r="Q55" i="8"/>
  <c r="R55" i="8"/>
  <c r="S55" i="8"/>
  <c r="T55" i="8"/>
  <c r="U55" i="8"/>
  <c r="V55" i="8"/>
  <c r="O56" i="8"/>
  <c r="P56" i="8"/>
  <c r="Q56" i="8"/>
  <c r="R56" i="8"/>
  <c r="S56" i="8"/>
  <c r="T56" i="8"/>
  <c r="U56" i="8"/>
  <c r="V56" i="8"/>
  <c r="O57" i="8"/>
  <c r="P57" i="8"/>
  <c r="Q57" i="8"/>
  <c r="R57" i="8"/>
  <c r="S57" i="8"/>
  <c r="T57" i="8"/>
  <c r="U57" i="8"/>
  <c r="V57" i="8"/>
  <c r="O58" i="8"/>
  <c r="P58" i="8"/>
  <c r="Q58" i="8"/>
  <c r="R58" i="8"/>
  <c r="S58" i="8"/>
  <c r="T58" i="8"/>
  <c r="U58" i="8"/>
  <c r="V58" i="8"/>
  <c r="O59" i="8"/>
  <c r="P59" i="8"/>
  <c r="Q59" i="8"/>
  <c r="R59" i="8"/>
  <c r="S59" i="8"/>
  <c r="T59" i="8"/>
  <c r="U59" i="8"/>
  <c r="V59" i="8"/>
  <c r="O60" i="8"/>
  <c r="P60" i="8"/>
  <c r="Q60" i="8"/>
  <c r="R60" i="8"/>
  <c r="S60" i="8"/>
  <c r="T60" i="8"/>
  <c r="U60" i="8"/>
  <c r="V60" i="8"/>
  <c r="O61" i="8"/>
  <c r="P61" i="8"/>
  <c r="Q61" i="8"/>
  <c r="R61" i="8"/>
  <c r="S61" i="8"/>
  <c r="T61" i="8"/>
  <c r="U61" i="8"/>
  <c r="V61" i="8"/>
  <c r="O62" i="8"/>
  <c r="P62" i="8"/>
  <c r="Q62" i="8"/>
  <c r="R62" i="8"/>
  <c r="S62" i="8"/>
  <c r="T62" i="8"/>
  <c r="U62" i="8"/>
  <c r="V62" i="8"/>
  <c r="O63" i="8"/>
  <c r="P63" i="8"/>
  <c r="Q63" i="8"/>
  <c r="R63" i="8"/>
  <c r="S63" i="8"/>
  <c r="T63" i="8"/>
  <c r="U63" i="8"/>
  <c r="V63" i="8"/>
  <c r="O64" i="8"/>
  <c r="P64" i="8"/>
  <c r="Q64" i="8"/>
  <c r="R64" i="8"/>
  <c r="S64" i="8"/>
  <c r="T64" i="8"/>
  <c r="U64" i="8"/>
  <c r="V64" i="8"/>
  <c r="O65" i="8"/>
  <c r="P65" i="8"/>
  <c r="Q65" i="8"/>
  <c r="R65" i="8"/>
  <c r="S65" i="8"/>
  <c r="T65" i="8"/>
  <c r="U65" i="8"/>
  <c r="V65" i="8"/>
  <c r="O66" i="8"/>
  <c r="P66" i="8"/>
  <c r="Q66" i="8"/>
  <c r="R66" i="8"/>
  <c r="S66" i="8"/>
  <c r="T66" i="8"/>
  <c r="U66" i="8"/>
  <c r="V66" i="8"/>
  <c r="O67" i="8"/>
  <c r="P67" i="8"/>
  <c r="Q67" i="8"/>
  <c r="R67" i="8"/>
  <c r="S67" i="8"/>
  <c r="T67" i="8"/>
  <c r="U67" i="8"/>
  <c r="V67" i="8"/>
  <c r="O68" i="8"/>
  <c r="P68" i="8"/>
  <c r="Q68" i="8"/>
  <c r="R68" i="8"/>
  <c r="S68" i="8"/>
  <c r="T68" i="8"/>
  <c r="U68" i="8"/>
  <c r="V68" i="8"/>
  <c r="O69" i="8"/>
  <c r="P69" i="8"/>
  <c r="Q69" i="8"/>
  <c r="R69" i="8"/>
  <c r="S69" i="8"/>
  <c r="T69" i="8"/>
  <c r="U69" i="8"/>
  <c r="V69" i="8"/>
  <c r="O70" i="8"/>
  <c r="P70" i="8"/>
  <c r="Q70" i="8"/>
  <c r="R70" i="8"/>
  <c r="S70" i="8"/>
  <c r="T70" i="8"/>
  <c r="U70" i="8"/>
  <c r="V70" i="8"/>
  <c r="O71" i="8"/>
  <c r="P71" i="8"/>
  <c r="Q71" i="8"/>
  <c r="R71" i="8"/>
  <c r="S71" i="8"/>
  <c r="T71" i="8"/>
  <c r="U71" i="8"/>
  <c r="V71" i="8"/>
  <c r="O72" i="8"/>
  <c r="P72" i="8"/>
  <c r="Q72" i="8"/>
  <c r="R72" i="8"/>
  <c r="S72" i="8"/>
  <c r="T72" i="8"/>
  <c r="U72" i="8"/>
  <c r="V72" i="8"/>
  <c r="O73" i="8"/>
  <c r="P73" i="8"/>
  <c r="Q73" i="8"/>
  <c r="R73" i="8"/>
  <c r="S73" i="8"/>
  <c r="T73" i="8"/>
  <c r="U73" i="8"/>
  <c r="V73" i="8"/>
  <c r="O74" i="8"/>
  <c r="P74" i="8"/>
  <c r="Q74" i="8"/>
  <c r="R74" i="8"/>
  <c r="S74" i="8"/>
  <c r="T74" i="8"/>
  <c r="U74" i="8"/>
  <c r="V74" i="8"/>
  <c r="O75" i="8"/>
  <c r="P75" i="8"/>
  <c r="Q75" i="8"/>
  <c r="R75" i="8"/>
  <c r="S75" i="8"/>
  <c r="T75" i="8"/>
  <c r="U75" i="8"/>
  <c r="V75" i="8"/>
  <c r="O76" i="8"/>
  <c r="P76" i="8"/>
  <c r="Q76" i="8"/>
  <c r="R76" i="8"/>
  <c r="S76" i="8"/>
  <c r="T76" i="8"/>
  <c r="U76" i="8"/>
  <c r="V76" i="8"/>
  <c r="O77" i="8"/>
  <c r="P77" i="8"/>
  <c r="Q77" i="8"/>
  <c r="R77" i="8"/>
  <c r="S77" i="8"/>
  <c r="T77" i="8"/>
  <c r="U77" i="8"/>
  <c r="V77" i="8"/>
  <c r="O78" i="8"/>
  <c r="P78" i="8"/>
  <c r="Q78" i="8"/>
  <c r="R78" i="8"/>
  <c r="S78" i="8"/>
  <c r="T78" i="8"/>
  <c r="U78" i="8"/>
  <c r="V78" i="8"/>
  <c r="O79" i="8"/>
  <c r="P79" i="8"/>
  <c r="Q79" i="8"/>
  <c r="R79" i="8"/>
  <c r="S79" i="8"/>
  <c r="T79" i="8"/>
  <c r="U79" i="8"/>
  <c r="V79" i="8"/>
  <c r="O80" i="8"/>
  <c r="P80" i="8"/>
  <c r="Q80" i="8"/>
  <c r="R80" i="8"/>
  <c r="S80" i="8"/>
  <c r="T80" i="8"/>
  <c r="U80" i="8"/>
  <c r="V80" i="8"/>
  <c r="O81" i="8"/>
  <c r="P81" i="8"/>
  <c r="Q81" i="8"/>
  <c r="R81" i="8"/>
  <c r="S81" i="8"/>
  <c r="T81" i="8"/>
  <c r="U81" i="8"/>
  <c r="V81" i="8"/>
  <c r="O82" i="8"/>
  <c r="P82" i="8"/>
  <c r="Q82" i="8"/>
  <c r="R82" i="8"/>
  <c r="S82" i="8"/>
  <c r="T82" i="8"/>
  <c r="U82" i="8"/>
  <c r="V82" i="8"/>
  <c r="O83" i="8"/>
  <c r="P83" i="8"/>
  <c r="Q83" i="8"/>
  <c r="R83" i="8"/>
  <c r="S83" i="8"/>
  <c r="T83" i="8"/>
  <c r="U83" i="8"/>
  <c r="V83" i="8"/>
  <c r="O84" i="8"/>
  <c r="P84" i="8"/>
  <c r="Q84" i="8"/>
  <c r="R84" i="8"/>
  <c r="S84" i="8"/>
  <c r="T84" i="8"/>
  <c r="U84" i="8"/>
  <c r="V84" i="8"/>
  <c r="O85" i="8"/>
  <c r="P85" i="8"/>
  <c r="Q85" i="8"/>
  <c r="R85" i="8"/>
  <c r="S85" i="8"/>
  <c r="T85" i="8"/>
  <c r="U85" i="8"/>
  <c r="V85" i="8"/>
  <c r="O86" i="8"/>
  <c r="P86" i="8"/>
  <c r="Q86" i="8"/>
  <c r="R86" i="8"/>
  <c r="S86" i="8"/>
  <c r="T86" i="8"/>
  <c r="U86" i="8"/>
  <c r="V86" i="8"/>
  <c r="O87" i="8"/>
  <c r="P87" i="8"/>
  <c r="Q87" i="8"/>
  <c r="R87" i="8"/>
  <c r="S87" i="8"/>
  <c r="T87" i="8"/>
  <c r="U87" i="8"/>
  <c r="V87" i="8"/>
  <c r="O88" i="8"/>
  <c r="P88" i="8"/>
  <c r="Q88" i="8"/>
  <c r="R88" i="8"/>
  <c r="S88" i="8"/>
  <c r="T88" i="8"/>
  <c r="U88" i="8"/>
  <c r="V88" i="8"/>
  <c r="O89" i="8"/>
  <c r="P89" i="8"/>
  <c r="Q89" i="8"/>
  <c r="R89" i="8"/>
  <c r="S89" i="8"/>
  <c r="T89" i="8"/>
  <c r="U89" i="8"/>
  <c r="V89" i="8"/>
  <c r="O90" i="8"/>
  <c r="P90" i="8"/>
  <c r="Q90" i="8"/>
  <c r="R90" i="8"/>
  <c r="S90" i="8"/>
  <c r="T90" i="8"/>
  <c r="U90" i="8"/>
  <c r="V90" i="8"/>
  <c r="O91" i="8"/>
  <c r="P91" i="8"/>
  <c r="Q91" i="8"/>
  <c r="R91" i="8"/>
  <c r="S91" i="8"/>
  <c r="T91" i="8"/>
  <c r="U91" i="8"/>
  <c r="V91" i="8"/>
  <c r="O92" i="8"/>
  <c r="P92" i="8"/>
  <c r="Q92" i="8"/>
  <c r="R92" i="8"/>
  <c r="S92" i="8"/>
  <c r="T92" i="8"/>
  <c r="U92" i="8"/>
  <c r="V92" i="8"/>
  <c r="O93" i="8"/>
  <c r="P93" i="8"/>
  <c r="Q93" i="8"/>
  <c r="R93" i="8"/>
  <c r="S93" i="8"/>
  <c r="T93" i="8"/>
  <c r="U93" i="8"/>
  <c r="V93" i="8"/>
  <c r="O94" i="8"/>
  <c r="P94" i="8"/>
  <c r="Q94" i="8"/>
  <c r="R94" i="8"/>
  <c r="S94" i="8"/>
  <c r="T94" i="8"/>
  <c r="U94" i="8"/>
  <c r="V94" i="8"/>
  <c r="O95" i="8"/>
  <c r="P95" i="8"/>
  <c r="Q95" i="8"/>
  <c r="R95" i="8"/>
  <c r="S95" i="8"/>
  <c r="T95" i="8"/>
  <c r="U95" i="8"/>
  <c r="V95" i="8"/>
  <c r="O96" i="8"/>
  <c r="P96" i="8"/>
  <c r="Q96" i="8"/>
  <c r="R96" i="8"/>
  <c r="S96" i="8"/>
  <c r="T96" i="8"/>
  <c r="U96" i="8"/>
  <c r="V96" i="8"/>
  <c r="O97" i="8"/>
  <c r="P97" i="8"/>
  <c r="Q97" i="8"/>
  <c r="R97" i="8"/>
  <c r="S97" i="8"/>
  <c r="T97" i="8"/>
  <c r="U97" i="8"/>
  <c r="V97" i="8"/>
  <c r="O98" i="8"/>
  <c r="P98" i="8"/>
  <c r="Q98" i="8"/>
  <c r="R98" i="8"/>
  <c r="S98" i="8"/>
  <c r="T98" i="8"/>
  <c r="U98" i="8"/>
  <c r="V98" i="8"/>
  <c r="O99" i="8"/>
  <c r="P99" i="8"/>
  <c r="Q99" i="8"/>
  <c r="R99" i="8"/>
  <c r="S99" i="8"/>
  <c r="T99" i="8"/>
  <c r="U99" i="8"/>
  <c r="V99" i="8"/>
  <c r="O100" i="8"/>
  <c r="P100" i="8"/>
  <c r="Q100" i="8"/>
  <c r="R100" i="8"/>
  <c r="S100" i="8"/>
  <c r="T100" i="8"/>
  <c r="U100" i="8"/>
  <c r="V100" i="8"/>
  <c r="O101" i="8"/>
  <c r="P101" i="8"/>
  <c r="Q101" i="8"/>
  <c r="R101" i="8"/>
  <c r="S101" i="8"/>
  <c r="T101" i="8"/>
  <c r="U101" i="8"/>
  <c r="V101" i="8"/>
  <c r="O102" i="8"/>
  <c r="P102" i="8"/>
  <c r="Q102" i="8"/>
  <c r="R102" i="8"/>
  <c r="S102" i="8"/>
  <c r="T102" i="8"/>
  <c r="U102" i="8"/>
  <c r="V102" i="8"/>
  <c r="O103" i="8"/>
  <c r="P103" i="8"/>
  <c r="Q103" i="8"/>
  <c r="R103" i="8"/>
  <c r="S103" i="8"/>
  <c r="T103" i="8"/>
  <c r="U103" i="8"/>
  <c r="V103" i="8"/>
  <c r="O104" i="8"/>
  <c r="P104" i="8"/>
  <c r="Q104" i="8"/>
  <c r="R104" i="8"/>
  <c r="S104" i="8"/>
  <c r="T104" i="8"/>
  <c r="U104" i="8"/>
  <c r="V104" i="8"/>
  <c r="O105" i="8"/>
  <c r="P105" i="8"/>
  <c r="Q105" i="8"/>
  <c r="R105" i="8"/>
  <c r="S105" i="8"/>
  <c r="T105" i="8"/>
  <c r="U105" i="8"/>
  <c r="V105" i="8"/>
  <c r="O106" i="8"/>
  <c r="P106" i="8"/>
  <c r="Q106" i="8"/>
  <c r="R106" i="8"/>
  <c r="S106" i="8"/>
  <c r="T106" i="8"/>
  <c r="U106" i="8"/>
  <c r="V106" i="8"/>
  <c r="O107" i="8"/>
  <c r="P107" i="8"/>
  <c r="Q107" i="8"/>
  <c r="R107" i="8"/>
  <c r="S107" i="8"/>
  <c r="T107" i="8"/>
  <c r="U107" i="8"/>
  <c r="V107" i="8"/>
  <c r="O108" i="8"/>
  <c r="P108" i="8"/>
  <c r="Q108" i="8"/>
  <c r="R108" i="8"/>
  <c r="S108" i="8"/>
  <c r="T108" i="8"/>
  <c r="U108" i="8"/>
  <c r="V108" i="8"/>
  <c r="P8" i="8"/>
  <c r="Q8" i="8"/>
  <c r="R8" i="8"/>
  <c r="S8" i="8"/>
  <c r="T8" i="8"/>
  <c r="U8" i="8"/>
  <c r="V8" i="8"/>
  <c r="O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8" i="8"/>
  <c r="A2" i="8"/>
  <c r="P14" i="10" l="1"/>
  <c r="P16" i="10"/>
  <c r="P13" i="10"/>
  <c r="P17" i="10"/>
  <c r="P15" i="10"/>
  <c r="X107" i="8"/>
  <c r="X103" i="8"/>
  <c r="X95" i="8"/>
  <c r="X93" i="8"/>
  <c r="X99" i="8"/>
  <c r="X101" i="8"/>
  <c r="X89" i="8"/>
  <c r="X87" i="8"/>
  <c r="X85" i="8"/>
  <c r="X83" i="8"/>
  <c r="X80" i="8"/>
  <c r="X79" i="8"/>
  <c r="X77" i="8"/>
  <c r="X75" i="8"/>
  <c r="X72" i="8"/>
  <c r="X105" i="8"/>
  <c r="X97" i="8"/>
  <c r="X91" i="8"/>
  <c r="X76" i="8"/>
  <c r="X108" i="8"/>
  <c r="X104" i="8"/>
  <c r="X100" i="8"/>
  <c r="X96" i="8"/>
  <c r="X92" i="8"/>
  <c r="X88" i="8"/>
  <c r="X106" i="8"/>
  <c r="X94" i="8"/>
  <c r="X90" i="8"/>
  <c r="X86" i="8"/>
  <c r="X82" i="8"/>
  <c r="X78" i="8"/>
  <c r="X74" i="8"/>
  <c r="X70" i="8"/>
  <c r="X66" i="8"/>
  <c r="X62" i="8"/>
  <c r="X58" i="8"/>
  <c r="X54" i="8"/>
  <c r="X50" i="8"/>
  <c r="X46" i="8"/>
  <c r="X42" i="8"/>
  <c r="X38" i="8"/>
  <c r="X34" i="8"/>
  <c r="X30" i="8"/>
  <c r="X26" i="8"/>
  <c r="X22" i="8"/>
  <c r="X14" i="8"/>
  <c r="X102" i="8"/>
  <c r="X98" i="8"/>
  <c r="X28" i="8"/>
  <c r="X24" i="8"/>
  <c r="X20" i="8"/>
  <c r="X11" i="8"/>
  <c r="X9" i="8"/>
  <c r="X84" i="8"/>
  <c r="X81" i="8"/>
  <c r="X73" i="8"/>
  <c r="X71" i="8"/>
  <c r="X69" i="8"/>
  <c r="X68" i="8"/>
  <c r="X67" i="8"/>
  <c r="X65" i="8"/>
  <c r="X64" i="8"/>
  <c r="X63" i="8"/>
  <c r="X61" i="8"/>
  <c r="X60" i="8"/>
  <c r="X59" i="8"/>
  <c r="X57" i="8"/>
  <c r="X56" i="8"/>
  <c r="X55" i="8"/>
  <c r="X53" i="8"/>
  <c r="X52" i="8"/>
  <c r="X51" i="8"/>
  <c r="X49" i="8"/>
  <c r="X48" i="8"/>
  <c r="X47" i="8"/>
  <c r="X45" i="8"/>
  <c r="X44" i="8"/>
  <c r="X43" i="8"/>
  <c r="X41" i="8"/>
  <c r="X40" i="8"/>
  <c r="X39" i="8"/>
  <c r="X37" i="8"/>
  <c r="X36" i="8"/>
  <c r="X35" i="8"/>
  <c r="X33" i="8"/>
  <c r="X32" i="8"/>
  <c r="X31" i="8"/>
  <c r="X29" i="8"/>
  <c r="X27" i="8"/>
  <c r="X25" i="8"/>
  <c r="X23" i="8"/>
  <c r="X21" i="8"/>
  <c r="X19" i="8"/>
  <c r="X17" i="8"/>
  <c r="X15" i="8"/>
  <c r="O16" i="10"/>
  <c r="O15" i="10"/>
  <c r="O14" i="10"/>
  <c r="O17" i="10"/>
  <c r="O13" i="10"/>
  <c r="F112" i="8"/>
  <c r="K118" i="8" s="1"/>
  <c r="X16" i="8"/>
  <c r="X18" i="8"/>
  <c r="X13" i="8"/>
  <c r="X10" i="8"/>
  <c r="X8" i="8"/>
  <c r="X12" i="8"/>
  <c r="O19" i="10" l="1"/>
  <c r="P19" i="10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  <c r="CE30" i="6"/>
  <c r="CE31" i="6"/>
  <c r="CE32" i="6"/>
  <c r="CE33" i="6"/>
  <c r="CE34" i="6"/>
  <c r="CE35" i="6"/>
  <c r="CE36" i="6"/>
  <c r="CE37" i="6"/>
  <c r="CE38" i="6"/>
  <c r="CE39" i="6"/>
  <c r="CE40" i="6"/>
  <c r="CE41" i="6"/>
  <c r="CE42" i="6"/>
  <c r="CE43" i="6"/>
  <c r="CE44" i="6"/>
  <c r="CE45" i="6"/>
  <c r="CE46" i="6"/>
  <c r="CE47" i="6"/>
  <c r="CE48" i="6"/>
  <c r="CE49" i="6"/>
  <c r="CE50" i="6"/>
  <c r="CE51" i="6"/>
  <c r="CE52" i="6"/>
  <c r="CE53" i="6"/>
  <c r="CE54" i="6"/>
  <c r="CE55" i="6"/>
  <c r="CE56" i="6"/>
  <c r="CE57" i="6"/>
  <c r="CE58" i="6"/>
  <c r="CE59" i="6"/>
  <c r="CE60" i="6"/>
  <c r="CE61" i="6"/>
  <c r="CE62" i="6"/>
  <c r="CE63" i="6"/>
  <c r="CE64" i="6"/>
  <c r="CE65" i="6"/>
  <c r="CE66" i="6"/>
  <c r="CE67" i="6"/>
  <c r="CE68" i="6"/>
  <c r="CE69" i="6"/>
  <c r="CE70" i="6"/>
  <c r="CE71" i="6"/>
  <c r="CE72" i="6"/>
  <c r="CE73" i="6"/>
  <c r="CE74" i="6"/>
  <c r="CE75" i="6"/>
  <c r="CE76" i="6"/>
  <c r="CE77" i="6"/>
  <c r="CE78" i="6"/>
  <c r="CE79" i="6"/>
  <c r="CE80" i="6"/>
  <c r="CE81" i="6"/>
  <c r="CE82" i="6"/>
  <c r="CE83" i="6"/>
  <c r="CE84" i="6"/>
  <c r="CE85" i="6"/>
  <c r="CE86" i="6"/>
  <c r="CE87" i="6"/>
  <c r="CE88" i="6"/>
  <c r="CE89" i="6"/>
  <c r="CE90" i="6"/>
  <c r="CE91" i="6"/>
  <c r="CE92" i="6"/>
  <c r="CE93" i="6"/>
  <c r="CE94" i="6"/>
  <c r="CE95" i="6"/>
  <c r="CE96" i="6"/>
  <c r="CE97" i="6"/>
  <c r="CE98" i="6"/>
  <c r="CE99" i="6"/>
  <c r="CE100" i="6"/>
  <c r="CE101" i="6"/>
  <c r="CE102" i="6"/>
  <c r="CE103" i="6"/>
  <c r="CE104" i="6"/>
  <c r="CE105" i="6"/>
  <c r="CE106" i="6"/>
  <c r="CE107" i="6"/>
  <c r="CE108" i="6"/>
  <c r="CE109" i="6"/>
  <c r="CE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4" i="6"/>
  <c r="CD25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39" i="6"/>
  <c r="CD40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3" i="6"/>
  <c r="CD54" i="6"/>
  <c r="CD55" i="6"/>
  <c r="CD56" i="6"/>
  <c r="CD57" i="6"/>
  <c r="CD58" i="6"/>
  <c r="CD59" i="6"/>
  <c r="CD60" i="6"/>
  <c r="CD61" i="6"/>
  <c r="CD62" i="6"/>
  <c r="CD63" i="6"/>
  <c r="CD64" i="6"/>
  <c r="CD65" i="6"/>
  <c r="CD66" i="6"/>
  <c r="CD67" i="6"/>
  <c r="CD68" i="6"/>
  <c r="CD69" i="6"/>
  <c r="CD70" i="6"/>
  <c r="CD71" i="6"/>
  <c r="CD72" i="6"/>
  <c r="CD73" i="6"/>
  <c r="CD74" i="6"/>
  <c r="CD75" i="6"/>
  <c r="CD76" i="6"/>
  <c r="CD77" i="6"/>
  <c r="CD78" i="6"/>
  <c r="CD79" i="6"/>
  <c r="CD80" i="6"/>
  <c r="CD81" i="6"/>
  <c r="CD82" i="6"/>
  <c r="CD83" i="6"/>
  <c r="CD84" i="6"/>
  <c r="CD85" i="6"/>
  <c r="CD86" i="6"/>
  <c r="CD87" i="6"/>
  <c r="CD88" i="6"/>
  <c r="CD89" i="6"/>
  <c r="CD90" i="6"/>
  <c r="CD91" i="6"/>
  <c r="CD92" i="6"/>
  <c r="CD93" i="6"/>
  <c r="CD94" i="6"/>
  <c r="CD95" i="6"/>
  <c r="CD96" i="6"/>
  <c r="CD97" i="6"/>
  <c r="CD98" i="6"/>
  <c r="CD99" i="6"/>
  <c r="CD100" i="6"/>
  <c r="CD101" i="6"/>
  <c r="CD102" i="6"/>
  <c r="CD103" i="6"/>
  <c r="CD104" i="6"/>
  <c r="CD105" i="6"/>
  <c r="CD106" i="6"/>
  <c r="CD107" i="6"/>
  <c r="CD108" i="6"/>
  <c r="CD109" i="6"/>
  <c r="CD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4" i="6"/>
  <c r="CC25" i="6"/>
  <c r="CC26" i="6"/>
  <c r="CC27" i="6"/>
  <c r="CC28" i="6"/>
  <c r="CC29" i="6"/>
  <c r="CC30" i="6"/>
  <c r="CC31" i="6"/>
  <c r="CC32" i="6"/>
  <c r="CC33" i="6"/>
  <c r="CC34" i="6"/>
  <c r="CC35" i="6"/>
  <c r="CC36" i="6"/>
  <c r="CC37" i="6"/>
  <c r="CC38" i="6"/>
  <c r="CC39" i="6"/>
  <c r="CC40" i="6"/>
  <c r="CC41" i="6"/>
  <c r="CC42" i="6"/>
  <c r="CC43" i="6"/>
  <c r="CC44" i="6"/>
  <c r="CC45" i="6"/>
  <c r="CC46" i="6"/>
  <c r="CC47" i="6"/>
  <c r="CC48" i="6"/>
  <c r="CC49" i="6"/>
  <c r="CC50" i="6"/>
  <c r="CC51" i="6"/>
  <c r="CC52" i="6"/>
  <c r="CC53" i="6"/>
  <c r="CC54" i="6"/>
  <c r="CC55" i="6"/>
  <c r="CC56" i="6"/>
  <c r="CC57" i="6"/>
  <c r="CC58" i="6"/>
  <c r="CC59" i="6"/>
  <c r="CC60" i="6"/>
  <c r="CC61" i="6"/>
  <c r="CC62" i="6"/>
  <c r="CC63" i="6"/>
  <c r="CC64" i="6"/>
  <c r="CC65" i="6"/>
  <c r="CC66" i="6"/>
  <c r="CC67" i="6"/>
  <c r="CC68" i="6"/>
  <c r="CC69" i="6"/>
  <c r="CC70" i="6"/>
  <c r="CC71" i="6"/>
  <c r="CC72" i="6"/>
  <c r="CC73" i="6"/>
  <c r="CC74" i="6"/>
  <c r="CC75" i="6"/>
  <c r="CC76" i="6"/>
  <c r="CC77" i="6"/>
  <c r="CC78" i="6"/>
  <c r="CC79" i="6"/>
  <c r="CC80" i="6"/>
  <c r="CC81" i="6"/>
  <c r="CC82" i="6"/>
  <c r="CC83" i="6"/>
  <c r="CC84" i="6"/>
  <c r="CC85" i="6"/>
  <c r="CC86" i="6"/>
  <c r="CC87" i="6"/>
  <c r="CC88" i="6"/>
  <c r="CC89" i="6"/>
  <c r="CC90" i="6"/>
  <c r="CC91" i="6"/>
  <c r="CC92" i="6"/>
  <c r="CC93" i="6"/>
  <c r="CC94" i="6"/>
  <c r="CC95" i="6"/>
  <c r="CC96" i="6"/>
  <c r="CC97" i="6"/>
  <c r="CC98" i="6"/>
  <c r="CC99" i="6"/>
  <c r="CC100" i="6"/>
  <c r="CC101" i="6"/>
  <c r="CC102" i="6"/>
  <c r="CC103" i="6"/>
  <c r="CC104" i="6"/>
  <c r="CC105" i="6"/>
  <c r="CC106" i="6"/>
  <c r="CC107" i="6"/>
  <c r="CC108" i="6"/>
  <c r="CC109" i="6"/>
  <c r="CC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X22" i="6"/>
  <c r="BX23" i="6"/>
  <c r="BX24" i="6"/>
  <c r="BX25" i="6"/>
  <c r="BX26" i="6"/>
  <c r="BX27" i="6"/>
  <c r="BX28" i="6"/>
  <c r="BX29" i="6"/>
  <c r="BX30" i="6"/>
  <c r="BX31" i="6"/>
  <c r="BX32" i="6"/>
  <c r="BX33" i="6"/>
  <c r="BX34" i="6"/>
  <c r="BX35" i="6"/>
  <c r="BX36" i="6"/>
  <c r="BX37" i="6"/>
  <c r="BX38" i="6"/>
  <c r="BX39" i="6"/>
  <c r="BX40" i="6"/>
  <c r="BX41" i="6"/>
  <c r="BX42" i="6"/>
  <c r="BX43" i="6"/>
  <c r="BX44" i="6"/>
  <c r="BX45" i="6"/>
  <c r="BX46" i="6"/>
  <c r="BX47" i="6"/>
  <c r="BX48" i="6"/>
  <c r="BX49" i="6"/>
  <c r="BX50" i="6"/>
  <c r="BX51" i="6"/>
  <c r="BX52" i="6"/>
  <c r="BX53" i="6"/>
  <c r="BX54" i="6"/>
  <c r="BX55" i="6"/>
  <c r="BX56" i="6"/>
  <c r="BX57" i="6"/>
  <c r="BX58" i="6"/>
  <c r="BX59" i="6"/>
  <c r="BX60" i="6"/>
  <c r="BX61" i="6"/>
  <c r="BX62" i="6"/>
  <c r="BX63" i="6"/>
  <c r="BX64" i="6"/>
  <c r="BX65" i="6"/>
  <c r="BX66" i="6"/>
  <c r="BX67" i="6"/>
  <c r="BX68" i="6"/>
  <c r="BX69" i="6"/>
  <c r="BX70" i="6"/>
  <c r="BX71" i="6"/>
  <c r="BX72" i="6"/>
  <c r="BX73" i="6"/>
  <c r="BX74" i="6"/>
  <c r="BX75" i="6"/>
  <c r="BX76" i="6"/>
  <c r="BX77" i="6"/>
  <c r="BX78" i="6"/>
  <c r="BX79" i="6"/>
  <c r="BX80" i="6"/>
  <c r="BX81" i="6"/>
  <c r="BX82" i="6"/>
  <c r="BX83" i="6"/>
  <c r="BX84" i="6"/>
  <c r="BX85" i="6"/>
  <c r="BX86" i="6"/>
  <c r="BX87" i="6"/>
  <c r="BX88" i="6"/>
  <c r="BX89" i="6"/>
  <c r="BX90" i="6"/>
  <c r="BX91" i="6"/>
  <c r="BX92" i="6"/>
  <c r="BX93" i="6"/>
  <c r="BX94" i="6"/>
  <c r="BX95" i="6"/>
  <c r="BX96" i="6"/>
  <c r="BX97" i="6"/>
  <c r="BX98" i="6"/>
  <c r="BX99" i="6"/>
  <c r="BX100" i="6"/>
  <c r="BX101" i="6"/>
  <c r="BX102" i="6"/>
  <c r="BX103" i="6"/>
  <c r="BX104" i="6"/>
  <c r="BX105" i="6"/>
  <c r="BX106" i="6"/>
  <c r="BX107" i="6"/>
  <c r="BX108" i="6"/>
  <c r="BX109" i="6"/>
  <c r="BX9" i="6"/>
  <c r="BW10" i="6"/>
  <c r="BW11" i="6"/>
  <c r="BW12" i="6"/>
  <c r="BW13" i="6"/>
  <c r="BW14" i="6"/>
  <c r="BW15" i="6"/>
  <c r="BW16" i="6"/>
  <c r="BW17" i="6"/>
  <c r="BW18" i="6"/>
  <c r="BW19" i="6"/>
  <c r="BW20" i="6"/>
  <c r="BW21" i="6"/>
  <c r="BW22" i="6"/>
  <c r="BW23" i="6"/>
  <c r="BW24" i="6"/>
  <c r="BW25" i="6"/>
  <c r="BW26" i="6"/>
  <c r="BW27" i="6"/>
  <c r="BW28" i="6"/>
  <c r="BW29" i="6"/>
  <c r="BW30" i="6"/>
  <c r="BW31" i="6"/>
  <c r="BW32" i="6"/>
  <c r="BW33" i="6"/>
  <c r="BW34" i="6"/>
  <c r="BW35" i="6"/>
  <c r="BW36" i="6"/>
  <c r="BW37" i="6"/>
  <c r="BW38" i="6"/>
  <c r="BW39" i="6"/>
  <c r="BW40" i="6"/>
  <c r="BW41" i="6"/>
  <c r="BW42" i="6"/>
  <c r="BW43" i="6"/>
  <c r="BW44" i="6"/>
  <c r="BW45" i="6"/>
  <c r="BW46" i="6"/>
  <c r="BW47" i="6"/>
  <c r="BW48" i="6"/>
  <c r="BW49" i="6"/>
  <c r="BW50" i="6"/>
  <c r="BW51" i="6"/>
  <c r="BW52" i="6"/>
  <c r="BW53" i="6"/>
  <c r="BW54" i="6"/>
  <c r="BW55" i="6"/>
  <c r="BW56" i="6"/>
  <c r="BW57" i="6"/>
  <c r="BW58" i="6"/>
  <c r="BW59" i="6"/>
  <c r="BW60" i="6"/>
  <c r="BW61" i="6"/>
  <c r="BW62" i="6"/>
  <c r="BW63" i="6"/>
  <c r="BW64" i="6"/>
  <c r="BW65" i="6"/>
  <c r="BW66" i="6"/>
  <c r="BW67" i="6"/>
  <c r="BW68" i="6"/>
  <c r="BW69" i="6"/>
  <c r="BW70" i="6"/>
  <c r="BW71" i="6"/>
  <c r="BW72" i="6"/>
  <c r="BW73" i="6"/>
  <c r="BW74" i="6"/>
  <c r="BW75" i="6"/>
  <c r="BW76" i="6"/>
  <c r="BW77" i="6"/>
  <c r="BW78" i="6"/>
  <c r="BW79" i="6"/>
  <c r="BW80" i="6"/>
  <c r="BW81" i="6"/>
  <c r="BW82" i="6"/>
  <c r="BW83" i="6"/>
  <c r="BW84" i="6"/>
  <c r="BW85" i="6"/>
  <c r="BW86" i="6"/>
  <c r="BW87" i="6"/>
  <c r="BW88" i="6"/>
  <c r="BW89" i="6"/>
  <c r="BW90" i="6"/>
  <c r="BW91" i="6"/>
  <c r="BW92" i="6"/>
  <c r="BW93" i="6"/>
  <c r="BW94" i="6"/>
  <c r="BW95" i="6"/>
  <c r="BW96" i="6"/>
  <c r="BW97" i="6"/>
  <c r="BW98" i="6"/>
  <c r="BW99" i="6"/>
  <c r="BW100" i="6"/>
  <c r="BW101" i="6"/>
  <c r="BW102" i="6"/>
  <c r="BW103" i="6"/>
  <c r="BW104" i="6"/>
  <c r="BW105" i="6"/>
  <c r="BW106" i="6"/>
  <c r="BW107" i="6"/>
  <c r="BW108" i="6"/>
  <c r="BW109" i="6"/>
  <c r="BW9" i="6"/>
  <c r="BV10" i="6"/>
  <c r="BV11" i="6"/>
  <c r="BV12" i="6"/>
  <c r="BV13" i="6"/>
  <c r="BV14" i="6"/>
  <c r="BV15" i="6"/>
  <c r="BV16" i="6"/>
  <c r="BV17" i="6"/>
  <c r="BV18" i="6"/>
  <c r="BV19" i="6"/>
  <c r="BV20" i="6"/>
  <c r="BV21" i="6"/>
  <c r="BV22" i="6"/>
  <c r="BV23" i="6"/>
  <c r="BV24" i="6"/>
  <c r="BV25" i="6"/>
  <c r="BV26" i="6"/>
  <c r="BV27" i="6"/>
  <c r="BV28" i="6"/>
  <c r="BV29" i="6"/>
  <c r="BV30" i="6"/>
  <c r="BV31" i="6"/>
  <c r="BV32" i="6"/>
  <c r="BV33" i="6"/>
  <c r="BV34" i="6"/>
  <c r="BV35" i="6"/>
  <c r="BV36" i="6"/>
  <c r="BV37" i="6"/>
  <c r="BV38" i="6"/>
  <c r="BV39" i="6"/>
  <c r="BV40" i="6"/>
  <c r="BV41" i="6"/>
  <c r="BV42" i="6"/>
  <c r="BV43" i="6"/>
  <c r="BV44" i="6"/>
  <c r="BV45" i="6"/>
  <c r="BV46" i="6"/>
  <c r="BV47" i="6"/>
  <c r="BV48" i="6"/>
  <c r="BV49" i="6"/>
  <c r="BV50" i="6"/>
  <c r="BV51" i="6"/>
  <c r="BV52" i="6"/>
  <c r="BV53" i="6"/>
  <c r="BV54" i="6"/>
  <c r="BV55" i="6"/>
  <c r="BV56" i="6"/>
  <c r="BV57" i="6"/>
  <c r="BV58" i="6"/>
  <c r="BV59" i="6"/>
  <c r="BV60" i="6"/>
  <c r="BV61" i="6"/>
  <c r="BV62" i="6"/>
  <c r="BV63" i="6"/>
  <c r="BV64" i="6"/>
  <c r="BV65" i="6"/>
  <c r="BV66" i="6"/>
  <c r="BV67" i="6"/>
  <c r="BV68" i="6"/>
  <c r="BV69" i="6"/>
  <c r="BV70" i="6"/>
  <c r="BV71" i="6"/>
  <c r="BV72" i="6"/>
  <c r="BV73" i="6"/>
  <c r="BV74" i="6"/>
  <c r="BV75" i="6"/>
  <c r="BV76" i="6"/>
  <c r="BV77" i="6"/>
  <c r="BV78" i="6"/>
  <c r="BV79" i="6"/>
  <c r="BV80" i="6"/>
  <c r="BV81" i="6"/>
  <c r="BV82" i="6"/>
  <c r="BV83" i="6"/>
  <c r="BV84" i="6"/>
  <c r="BV85" i="6"/>
  <c r="BV86" i="6"/>
  <c r="BV87" i="6"/>
  <c r="BV88" i="6"/>
  <c r="BV89" i="6"/>
  <c r="BV90" i="6"/>
  <c r="BV91" i="6"/>
  <c r="BV92" i="6"/>
  <c r="BV93" i="6"/>
  <c r="BV94" i="6"/>
  <c r="BV95" i="6"/>
  <c r="BV96" i="6"/>
  <c r="BV97" i="6"/>
  <c r="BV98" i="6"/>
  <c r="BV99" i="6"/>
  <c r="BV100" i="6"/>
  <c r="BV101" i="6"/>
  <c r="BV102" i="6"/>
  <c r="BV103" i="6"/>
  <c r="BV104" i="6"/>
  <c r="BV105" i="6"/>
  <c r="BV106" i="6"/>
  <c r="BV107" i="6"/>
  <c r="BV108" i="6"/>
  <c r="BV109" i="6"/>
  <c r="BV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Q48" i="6"/>
  <c r="BQ49" i="6"/>
  <c r="BQ50" i="6"/>
  <c r="BQ51" i="6"/>
  <c r="BQ52" i="6"/>
  <c r="BQ53" i="6"/>
  <c r="BQ54" i="6"/>
  <c r="BQ55" i="6"/>
  <c r="BQ56" i="6"/>
  <c r="BQ57" i="6"/>
  <c r="BQ58" i="6"/>
  <c r="BQ59" i="6"/>
  <c r="BQ60" i="6"/>
  <c r="BQ61" i="6"/>
  <c r="BQ62" i="6"/>
  <c r="BQ63" i="6"/>
  <c r="BQ64" i="6"/>
  <c r="BQ65" i="6"/>
  <c r="BQ66" i="6"/>
  <c r="BQ67" i="6"/>
  <c r="BQ68" i="6"/>
  <c r="BQ69" i="6"/>
  <c r="BQ70" i="6"/>
  <c r="BQ71" i="6"/>
  <c r="BQ72" i="6"/>
  <c r="BQ73" i="6"/>
  <c r="BQ74" i="6"/>
  <c r="BQ75" i="6"/>
  <c r="BQ76" i="6"/>
  <c r="BQ77" i="6"/>
  <c r="BQ78" i="6"/>
  <c r="BQ79" i="6"/>
  <c r="BQ80" i="6"/>
  <c r="BQ81" i="6"/>
  <c r="BQ82" i="6"/>
  <c r="BQ83" i="6"/>
  <c r="BQ84" i="6"/>
  <c r="BQ85" i="6"/>
  <c r="BQ86" i="6"/>
  <c r="BQ87" i="6"/>
  <c r="BQ88" i="6"/>
  <c r="BQ89" i="6"/>
  <c r="BQ90" i="6"/>
  <c r="BQ91" i="6"/>
  <c r="BQ92" i="6"/>
  <c r="BQ93" i="6"/>
  <c r="BQ94" i="6"/>
  <c r="BQ95" i="6"/>
  <c r="BQ96" i="6"/>
  <c r="BQ97" i="6"/>
  <c r="BQ98" i="6"/>
  <c r="BQ99" i="6"/>
  <c r="BQ100" i="6"/>
  <c r="BQ101" i="6"/>
  <c r="BQ102" i="6"/>
  <c r="BQ103" i="6"/>
  <c r="BQ104" i="6"/>
  <c r="BQ105" i="6"/>
  <c r="BQ106" i="6"/>
  <c r="BQ107" i="6"/>
  <c r="BQ108" i="6"/>
  <c r="BQ109" i="6"/>
  <c r="BQ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P33" i="6"/>
  <c r="BP34" i="6"/>
  <c r="BP35" i="6"/>
  <c r="BP36" i="6"/>
  <c r="BP37" i="6"/>
  <c r="BP38" i="6"/>
  <c r="BP39" i="6"/>
  <c r="BP40" i="6"/>
  <c r="BP41" i="6"/>
  <c r="BP42" i="6"/>
  <c r="BP43" i="6"/>
  <c r="BP44" i="6"/>
  <c r="BP45" i="6"/>
  <c r="BP46" i="6"/>
  <c r="BP47" i="6"/>
  <c r="BP48" i="6"/>
  <c r="BP49" i="6"/>
  <c r="BP50" i="6"/>
  <c r="BP51" i="6"/>
  <c r="BP52" i="6"/>
  <c r="BP53" i="6"/>
  <c r="BP54" i="6"/>
  <c r="BP55" i="6"/>
  <c r="BP56" i="6"/>
  <c r="BP57" i="6"/>
  <c r="BP58" i="6"/>
  <c r="BP59" i="6"/>
  <c r="BP60" i="6"/>
  <c r="BP61" i="6"/>
  <c r="BP62" i="6"/>
  <c r="BP63" i="6"/>
  <c r="BP64" i="6"/>
  <c r="BP65" i="6"/>
  <c r="BP66" i="6"/>
  <c r="BP67" i="6"/>
  <c r="BP68" i="6"/>
  <c r="BP69" i="6"/>
  <c r="BP70" i="6"/>
  <c r="BP71" i="6"/>
  <c r="BP72" i="6"/>
  <c r="BP73" i="6"/>
  <c r="BP74" i="6"/>
  <c r="BP75" i="6"/>
  <c r="BP76" i="6"/>
  <c r="BP77" i="6"/>
  <c r="BP78" i="6"/>
  <c r="BP79" i="6"/>
  <c r="BP80" i="6"/>
  <c r="BP81" i="6"/>
  <c r="BP82" i="6"/>
  <c r="BP83" i="6"/>
  <c r="BP84" i="6"/>
  <c r="BP85" i="6"/>
  <c r="BP86" i="6"/>
  <c r="BP87" i="6"/>
  <c r="BP88" i="6"/>
  <c r="BP89" i="6"/>
  <c r="BP90" i="6"/>
  <c r="BP91" i="6"/>
  <c r="BP92" i="6"/>
  <c r="BP93" i="6"/>
  <c r="BP94" i="6"/>
  <c r="BP95" i="6"/>
  <c r="BP96" i="6"/>
  <c r="BP97" i="6"/>
  <c r="BP98" i="6"/>
  <c r="BP99" i="6"/>
  <c r="BP100" i="6"/>
  <c r="BP101" i="6"/>
  <c r="BP102" i="6"/>
  <c r="BP103" i="6"/>
  <c r="BP104" i="6"/>
  <c r="BP105" i="6"/>
  <c r="BP106" i="6"/>
  <c r="BP107" i="6"/>
  <c r="BP108" i="6"/>
  <c r="BP109" i="6"/>
  <c r="BP9" i="6"/>
  <c r="BO10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O48" i="6"/>
  <c r="BO49" i="6"/>
  <c r="BO50" i="6"/>
  <c r="BO51" i="6"/>
  <c r="BO52" i="6"/>
  <c r="BO53" i="6"/>
  <c r="BO54" i="6"/>
  <c r="BO55" i="6"/>
  <c r="BO56" i="6"/>
  <c r="BO57" i="6"/>
  <c r="BO58" i="6"/>
  <c r="BO59" i="6"/>
  <c r="BO60" i="6"/>
  <c r="BO61" i="6"/>
  <c r="BO62" i="6"/>
  <c r="BO63" i="6"/>
  <c r="BO64" i="6"/>
  <c r="BO65" i="6"/>
  <c r="BO66" i="6"/>
  <c r="BO67" i="6"/>
  <c r="BO68" i="6"/>
  <c r="BO69" i="6"/>
  <c r="BO70" i="6"/>
  <c r="BO71" i="6"/>
  <c r="BO72" i="6"/>
  <c r="BO73" i="6"/>
  <c r="BO74" i="6"/>
  <c r="BO75" i="6"/>
  <c r="BO76" i="6"/>
  <c r="BO77" i="6"/>
  <c r="BO78" i="6"/>
  <c r="BO79" i="6"/>
  <c r="BO80" i="6"/>
  <c r="BO81" i="6"/>
  <c r="BO82" i="6"/>
  <c r="BO83" i="6"/>
  <c r="BO84" i="6"/>
  <c r="BO85" i="6"/>
  <c r="BO86" i="6"/>
  <c r="BO87" i="6"/>
  <c r="BO88" i="6"/>
  <c r="BO89" i="6"/>
  <c r="BO90" i="6"/>
  <c r="BO91" i="6"/>
  <c r="BO92" i="6"/>
  <c r="BO93" i="6"/>
  <c r="BO94" i="6"/>
  <c r="BO95" i="6"/>
  <c r="BO96" i="6"/>
  <c r="BO97" i="6"/>
  <c r="BO98" i="6"/>
  <c r="BO99" i="6"/>
  <c r="BO100" i="6"/>
  <c r="BO101" i="6"/>
  <c r="BO102" i="6"/>
  <c r="BO103" i="6"/>
  <c r="BO104" i="6"/>
  <c r="BO105" i="6"/>
  <c r="BO106" i="6"/>
  <c r="BO107" i="6"/>
  <c r="BO108" i="6"/>
  <c r="BO109" i="6"/>
  <c r="BO9" i="6"/>
  <c r="CE7" i="6"/>
  <c r="CD7" i="6"/>
  <c r="CC7" i="6"/>
  <c r="CC5" i="6"/>
  <c r="CC112" i="6" s="1"/>
  <c r="BX7" i="6"/>
  <c r="BW7" i="6"/>
  <c r="BV7" i="6"/>
  <c r="BV5" i="6"/>
  <c r="BV112" i="6" s="1"/>
  <c r="BQ7" i="6"/>
  <c r="BP7" i="6"/>
  <c r="BO7" i="6"/>
  <c r="BO5" i="6"/>
  <c r="BO112" i="6" s="1"/>
  <c r="Q14" i="10" l="1"/>
  <c r="O12" i="10"/>
  <c r="Q12" i="10"/>
  <c r="BZ75" i="6"/>
  <c r="CA75" i="6" s="1"/>
  <c r="BZ55" i="6"/>
  <c r="CA55" i="6" s="1"/>
  <c r="BZ39" i="6"/>
  <c r="CA39" i="6" s="1"/>
  <c r="BZ27" i="6"/>
  <c r="CA27" i="6" s="1"/>
  <c r="BZ19" i="6"/>
  <c r="CA19" i="6" s="1"/>
  <c r="BZ11" i="6"/>
  <c r="CA11" i="6" s="1"/>
  <c r="CG18" i="6"/>
  <c r="CH18" i="6" s="1"/>
  <c r="CG14" i="6"/>
  <c r="CH14" i="6" s="1"/>
  <c r="CG10" i="6"/>
  <c r="CH10" i="6" s="1"/>
  <c r="CG95" i="6"/>
  <c r="CH95" i="6" s="1"/>
  <c r="CG91" i="6"/>
  <c r="CH91" i="6" s="1"/>
  <c r="CG87" i="6"/>
  <c r="CH87" i="6" s="1"/>
  <c r="CG83" i="6"/>
  <c r="CH83" i="6" s="1"/>
  <c r="CG79" i="6"/>
  <c r="CH79" i="6" s="1"/>
  <c r="CG75" i="6"/>
  <c r="CH75" i="6" s="1"/>
  <c r="CG71" i="6"/>
  <c r="CH71" i="6" s="1"/>
  <c r="CG67" i="6"/>
  <c r="CH67" i="6" s="1"/>
  <c r="CG63" i="6"/>
  <c r="CH63" i="6" s="1"/>
  <c r="CG59" i="6"/>
  <c r="CH59" i="6" s="1"/>
  <c r="CG55" i="6"/>
  <c r="CH55" i="6" s="1"/>
  <c r="CG51" i="6"/>
  <c r="CH51" i="6" s="1"/>
  <c r="CG47" i="6"/>
  <c r="CH47" i="6" s="1"/>
  <c r="CG43" i="6"/>
  <c r="CH43" i="6" s="1"/>
  <c r="CG39" i="6"/>
  <c r="CH39" i="6" s="1"/>
  <c r="CG35" i="6"/>
  <c r="CH35" i="6" s="1"/>
  <c r="CG31" i="6"/>
  <c r="CH31" i="6" s="1"/>
  <c r="CG27" i="6"/>
  <c r="CH27" i="6" s="1"/>
  <c r="CG23" i="6"/>
  <c r="CH23" i="6" s="1"/>
  <c r="CG20" i="6"/>
  <c r="CH20" i="6" s="1"/>
  <c r="CG16" i="6"/>
  <c r="CH16" i="6" s="1"/>
  <c r="CG12" i="6"/>
  <c r="CH12" i="6" s="1"/>
  <c r="BZ94" i="6"/>
  <c r="CA94" i="6" s="1"/>
  <c r="BZ67" i="6"/>
  <c r="CA67" i="6" s="1"/>
  <c r="BZ47" i="6"/>
  <c r="CA47" i="6" s="1"/>
  <c r="BZ31" i="6"/>
  <c r="CA31" i="6" s="1"/>
  <c r="BZ23" i="6"/>
  <c r="CA23" i="6" s="1"/>
  <c r="BZ15" i="6"/>
  <c r="CA15" i="6" s="1"/>
  <c r="BZ29" i="6"/>
  <c r="CA29" i="6" s="1"/>
  <c r="BZ21" i="6"/>
  <c r="CA21" i="6" s="1"/>
  <c r="BZ13" i="6"/>
  <c r="CA13" i="6" s="1"/>
  <c r="BZ62" i="6"/>
  <c r="CA62" i="6" s="1"/>
  <c r="BZ46" i="6"/>
  <c r="CA46" i="6" s="1"/>
  <c r="BZ26" i="6"/>
  <c r="CA26" i="6" s="1"/>
  <c r="BZ18" i="6"/>
  <c r="CA18" i="6" s="1"/>
  <c r="BZ10" i="6"/>
  <c r="CA10" i="6" s="1"/>
  <c r="BZ71" i="6"/>
  <c r="CA71" i="6" s="1"/>
  <c r="BZ35" i="6"/>
  <c r="CA35" i="6" s="1"/>
  <c r="BZ80" i="6"/>
  <c r="CA80" i="6" s="1"/>
  <c r="BZ48" i="6"/>
  <c r="CA48" i="6" s="1"/>
  <c r="BZ108" i="6"/>
  <c r="CA108" i="6" s="1"/>
  <c r="BZ104" i="6"/>
  <c r="CA104" i="6" s="1"/>
  <c r="BZ100" i="6"/>
  <c r="CA100" i="6" s="1"/>
  <c r="BZ92" i="6"/>
  <c r="CA92" i="6" s="1"/>
  <c r="BZ88" i="6"/>
  <c r="CA88" i="6" s="1"/>
  <c r="BZ84" i="6"/>
  <c r="CA84" i="6" s="1"/>
  <c r="BZ72" i="6"/>
  <c r="CA72" i="6" s="1"/>
  <c r="BZ64" i="6"/>
  <c r="CA64" i="6" s="1"/>
  <c r="BZ56" i="6"/>
  <c r="CA56" i="6" s="1"/>
  <c r="BZ40" i="6"/>
  <c r="CA40" i="6" s="1"/>
  <c r="BZ33" i="6"/>
  <c r="CA33" i="6" s="1"/>
  <c r="BZ25" i="6"/>
  <c r="CA25" i="6" s="1"/>
  <c r="BZ17" i="6"/>
  <c r="CA17" i="6" s="1"/>
  <c r="CG105" i="6"/>
  <c r="CH105" i="6" s="1"/>
  <c r="BZ86" i="6"/>
  <c r="CA86" i="6" s="1"/>
  <c r="BZ78" i="6"/>
  <c r="CA78" i="6" s="1"/>
  <c r="BZ70" i="6"/>
  <c r="CA70" i="6" s="1"/>
  <c r="BZ54" i="6"/>
  <c r="CA54" i="6" s="1"/>
  <c r="BZ38" i="6"/>
  <c r="CA38" i="6" s="1"/>
  <c r="BZ30" i="6"/>
  <c r="CA30" i="6" s="1"/>
  <c r="BZ22" i="6"/>
  <c r="CA22" i="6" s="1"/>
  <c r="BZ14" i="6"/>
  <c r="CA14" i="6" s="1"/>
  <c r="BZ99" i="6"/>
  <c r="CA99" i="6" s="1"/>
  <c r="BZ91" i="6"/>
  <c r="CA91" i="6" s="1"/>
  <c r="BS7" i="6"/>
  <c r="BS108" i="6"/>
  <c r="BT108" i="6" s="1"/>
  <c r="BS104" i="6"/>
  <c r="BT104" i="6" s="1"/>
  <c r="BS100" i="6"/>
  <c r="BT100" i="6" s="1"/>
  <c r="BS96" i="6"/>
  <c r="BT96" i="6" s="1"/>
  <c r="BS92" i="6"/>
  <c r="BT92" i="6" s="1"/>
  <c r="BS88" i="6"/>
  <c r="BT88" i="6" s="1"/>
  <c r="BS84" i="6"/>
  <c r="BT84" i="6" s="1"/>
  <c r="BS80" i="6"/>
  <c r="BT80" i="6" s="1"/>
  <c r="BS76" i="6"/>
  <c r="BT76" i="6" s="1"/>
  <c r="BS72" i="6"/>
  <c r="BT72" i="6" s="1"/>
  <c r="BS68" i="6"/>
  <c r="BT68" i="6" s="1"/>
  <c r="BS64" i="6"/>
  <c r="BT64" i="6" s="1"/>
  <c r="BS60" i="6"/>
  <c r="BT60" i="6" s="1"/>
  <c r="BS56" i="6"/>
  <c r="BT56" i="6" s="1"/>
  <c r="BS52" i="6"/>
  <c r="BT52" i="6" s="1"/>
  <c r="BS48" i="6"/>
  <c r="BT48" i="6" s="1"/>
  <c r="BS44" i="6"/>
  <c r="BT44" i="6" s="1"/>
  <c r="BS40" i="6"/>
  <c r="BT40" i="6" s="1"/>
  <c r="BS36" i="6"/>
  <c r="BT36" i="6" s="1"/>
  <c r="BS32" i="6"/>
  <c r="BT32" i="6" s="1"/>
  <c r="BS28" i="6"/>
  <c r="BT28" i="6" s="1"/>
  <c r="BS24" i="6"/>
  <c r="BT24" i="6" s="1"/>
  <c r="BS20" i="6"/>
  <c r="BT20" i="6" s="1"/>
  <c r="BS16" i="6"/>
  <c r="BT16" i="6" s="1"/>
  <c r="BS12" i="6"/>
  <c r="BT12" i="6" s="1"/>
  <c r="BZ83" i="6"/>
  <c r="CA83" i="6" s="1"/>
  <c r="BZ59" i="6"/>
  <c r="CA59" i="6" s="1"/>
  <c r="BZ51" i="6"/>
  <c r="CA51" i="6" s="1"/>
  <c r="BZ43" i="6"/>
  <c r="CA43" i="6" s="1"/>
  <c r="CG97" i="6"/>
  <c r="CH97" i="6" s="1"/>
  <c r="CG93" i="6"/>
  <c r="CH93" i="6" s="1"/>
  <c r="CG89" i="6"/>
  <c r="CH89" i="6" s="1"/>
  <c r="CG85" i="6"/>
  <c r="CH85" i="6" s="1"/>
  <c r="CG81" i="6"/>
  <c r="CH81" i="6" s="1"/>
  <c r="CG77" i="6"/>
  <c r="CH77" i="6" s="1"/>
  <c r="CG73" i="6"/>
  <c r="CH73" i="6" s="1"/>
  <c r="CG69" i="6"/>
  <c r="CH69" i="6" s="1"/>
  <c r="CG65" i="6"/>
  <c r="CH65" i="6" s="1"/>
  <c r="CG61" i="6"/>
  <c r="CH61" i="6" s="1"/>
  <c r="CG57" i="6"/>
  <c r="CH57" i="6" s="1"/>
  <c r="CG53" i="6"/>
  <c r="CH53" i="6" s="1"/>
  <c r="CG49" i="6"/>
  <c r="CH49" i="6" s="1"/>
  <c r="CG45" i="6"/>
  <c r="CH45" i="6" s="1"/>
  <c r="CG41" i="6"/>
  <c r="CH41" i="6" s="1"/>
  <c r="CG37" i="6"/>
  <c r="CH37" i="6" s="1"/>
  <c r="CG33" i="6"/>
  <c r="CH33" i="6" s="1"/>
  <c r="CG29" i="6"/>
  <c r="CH29" i="6" s="1"/>
  <c r="CG25" i="6"/>
  <c r="CH25" i="6" s="1"/>
  <c r="CG21" i="6"/>
  <c r="CH21" i="6" s="1"/>
  <c r="CG17" i="6"/>
  <c r="CH17" i="6" s="1"/>
  <c r="CG13" i="6"/>
  <c r="CH13" i="6" s="1"/>
  <c r="CG9" i="6"/>
  <c r="BS106" i="6"/>
  <c r="BT106" i="6" s="1"/>
  <c r="BS102" i="6"/>
  <c r="BT102" i="6" s="1"/>
  <c r="BS98" i="6"/>
  <c r="BT98" i="6" s="1"/>
  <c r="BS94" i="6"/>
  <c r="BT94" i="6" s="1"/>
  <c r="BS90" i="6"/>
  <c r="BT90" i="6" s="1"/>
  <c r="BS86" i="6"/>
  <c r="BT86" i="6" s="1"/>
  <c r="BS82" i="6"/>
  <c r="BT82" i="6" s="1"/>
  <c r="BS78" i="6"/>
  <c r="BT78" i="6" s="1"/>
  <c r="BS74" i="6"/>
  <c r="BT74" i="6" s="1"/>
  <c r="BS70" i="6"/>
  <c r="BT70" i="6" s="1"/>
  <c r="BS66" i="6"/>
  <c r="BT66" i="6" s="1"/>
  <c r="BS62" i="6"/>
  <c r="BT62" i="6" s="1"/>
  <c r="BS58" i="6"/>
  <c r="BT58" i="6" s="1"/>
  <c r="BS54" i="6"/>
  <c r="BT54" i="6" s="1"/>
  <c r="BS50" i="6"/>
  <c r="BT50" i="6" s="1"/>
  <c r="BS46" i="6"/>
  <c r="BT46" i="6" s="1"/>
  <c r="BS42" i="6"/>
  <c r="BT42" i="6" s="1"/>
  <c r="BS38" i="6"/>
  <c r="BT38" i="6" s="1"/>
  <c r="BS34" i="6"/>
  <c r="BT34" i="6" s="1"/>
  <c r="BS30" i="6"/>
  <c r="BT30" i="6" s="1"/>
  <c r="BS26" i="6"/>
  <c r="BT26" i="6" s="1"/>
  <c r="BS22" i="6"/>
  <c r="BT22" i="6" s="1"/>
  <c r="BS18" i="6"/>
  <c r="BT18" i="6" s="1"/>
  <c r="BS14" i="6"/>
  <c r="BT14" i="6" s="1"/>
  <c r="BS10" i="6"/>
  <c r="BT10" i="6" s="1"/>
  <c r="CG19" i="6"/>
  <c r="CH19" i="6" s="1"/>
  <c r="CG15" i="6"/>
  <c r="CH15" i="6" s="1"/>
  <c r="CG11" i="6"/>
  <c r="CH11" i="6" s="1"/>
  <c r="BZ98" i="6"/>
  <c r="CA98" i="6" s="1"/>
  <c r="BZ90" i="6"/>
  <c r="CA90" i="6" s="1"/>
  <c r="BZ82" i="6"/>
  <c r="CA82" i="6" s="1"/>
  <c r="BZ74" i="6"/>
  <c r="CA74" i="6" s="1"/>
  <c r="BZ66" i="6"/>
  <c r="CA66" i="6" s="1"/>
  <c r="BZ58" i="6"/>
  <c r="CA58" i="6" s="1"/>
  <c r="BZ50" i="6"/>
  <c r="CA50" i="6" s="1"/>
  <c r="BZ42" i="6"/>
  <c r="CA42" i="6" s="1"/>
  <c r="BZ34" i="6"/>
  <c r="CA34" i="6" s="1"/>
  <c r="BZ107" i="6"/>
  <c r="CA107" i="6" s="1"/>
  <c r="BZ87" i="6"/>
  <c r="CA87" i="6" s="1"/>
  <c r="BZ79" i="6"/>
  <c r="CA79" i="6" s="1"/>
  <c r="BZ63" i="6"/>
  <c r="CA63" i="6" s="1"/>
  <c r="CG94" i="6"/>
  <c r="CH94" i="6" s="1"/>
  <c r="CG90" i="6"/>
  <c r="CH90" i="6" s="1"/>
  <c r="CG86" i="6"/>
  <c r="CH86" i="6" s="1"/>
  <c r="CG82" i="6"/>
  <c r="CH82" i="6" s="1"/>
  <c r="CG78" i="6"/>
  <c r="CH78" i="6" s="1"/>
  <c r="CG74" i="6"/>
  <c r="CH74" i="6" s="1"/>
  <c r="CG70" i="6"/>
  <c r="CH70" i="6" s="1"/>
  <c r="CG66" i="6"/>
  <c r="CH66" i="6" s="1"/>
  <c r="CG62" i="6"/>
  <c r="CH62" i="6" s="1"/>
  <c r="CG58" i="6"/>
  <c r="CH58" i="6" s="1"/>
  <c r="CG54" i="6"/>
  <c r="CH54" i="6" s="1"/>
  <c r="CG50" i="6"/>
  <c r="CH50" i="6" s="1"/>
  <c r="CG46" i="6"/>
  <c r="CH46" i="6" s="1"/>
  <c r="CG42" i="6"/>
  <c r="CH42" i="6" s="1"/>
  <c r="CG38" i="6"/>
  <c r="CH38" i="6" s="1"/>
  <c r="CG34" i="6"/>
  <c r="CH34" i="6" s="1"/>
  <c r="CG30" i="6"/>
  <c r="CH30" i="6" s="1"/>
  <c r="CG26" i="6"/>
  <c r="CH26" i="6" s="1"/>
  <c r="CG22" i="6"/>
  <c r="CH22" i="6" s="1"/>
  <c r="BZ76" i="6"/>
  <c r="CA76" i="6" s="1"/>
  <c r="BZ68" i="6"/>
  <c r="CA68" i="6" s="1"/>
  <c r="BZ60" i="6"/>
  <c r="CA60" i="6" s="1"/>
  <c r="BZ52" i="6"/>
  <c r="CA52" i="6" s="1"/>
  <c r="BZ44" i="6"/>
  <c r="CA44" i="6" s="1"/>
  <c r="BZ36" i="6"/>
  <c r="CA36" i="6" s="1"/>
  <c r="BZ32" i="6"/>
  <c r="CA32" i="6" s="1"/>
  <c r="BZ28" i="6"/>
  <c r="CA28" i="6" s="1"/>
  <c r="BZ24" i="6"/>
  <c r="CA24" i="6" s="1"/>
  <c r="BZ20" i="6"/>
  <c r="CA20" i="6" s="1"/>
  <c r="BZ16" i="6"/>
  <c r="CA16" i="6" s="1"/>
  <c r="BZ12" i="6"/>
  <c r="CA12" i="6" s="1"/>
  <c r="CG96" i="6"/>
  <c r="CH96" i="6" s="1"/>
  <c r="CG92" i="6"/>
  <c r="CH92" i="6" s="1"/>
  <c r="CG88" i="6"/>
  <c r="CH88" i="6" s="1"/>
  <c r="CG84" i="6"/>
  <c r="CH84" i="6" s="1"/>
  <c r="CG80" i="6"/>
  <c r="CH80" i="6" s="1"/>
  <c r="CG76" i="6"/>
  <c r="CH76" i="6" s="1"/>
  <c r="CG72" i="6"/>
  <c r="CH72" i="6" s="1"/>
  <c r="CG68" i="6"/>
  <c r="CH68" i="6" s="1"/>
  <c r="CG64" i="6"/>
  <c r="CH64" i="6" s="1"/>
  <c r="CG60" i="6"/>
  <c r="CH60" i="6" s="1"/>
  <c r="CG56" i="6"/>
  <c r="CH56" i="6" s="1"/>
  <c r="CG52" i="6"/>
  <c r="CH52" i="6" s="1"/>
  <c r="CG48" i="6"/>
  <c r="CH48" i="6" s="1"/>
  <c r="CG44" i="6"/>
  <c r="CH44" i="6" s="1"/>
  <c r="CG40" i="6"/>
  <c r="CH40" i="6" s="1"/>
  <c r="CG36" i="6"/>
  <c r="CH36" i="6" s="1"/>
  <c r="CG32" i="6"/>
  <c r="CH32" i="6" s="1"/>
  <c r="CG28" i="6"/>
  <c r="CH28" i="6" s="1"/>
  <c r="CG24" i="6"/>
  <c r="CH24" i="6" s="1"/>
  <c r="CG109" i="6"/>
  <c r="CH109" i="6" s="1"/>
  <c r="CG101" i="6"/>
  <c r="CH101" i="6" s="1"/>
  <c r="BS107" i="6"/>
  <c r="BT107" i="6" s="1"/>
  <c r="BS103" i="6"/>
  <c r="BT103" i="6" s="1"/>
  <c r="BS99" i="6"/>
  <c r="BT99" i="6" s="1"/>
  <c r="BS95" i="6"/>
  <c r="BT95" i="6" s="1"/>
  <c r="BS91" i="6"/>
  <c r="BT91" i="6" s="1"/>
  <c r="BS87" i="6"/>
  <c r="BT87" i="6" s="1"/>
  <c r="BS83" i="6"/>
  <c r="BT83" i="6" s="1"/>
  <c r="BS79" i="6"/>
  <c r="BT79" i="6" s="1"/>
  <c r="BS75" i="6"/>
  <c r="BT75" i="6" s="1"/>
  <c r="BS71" i="6"/>
  <c r="BT71" i="6" s="1"/>
  <c r="BS67" i="6"/>
  <c r="BT67" i="6" s="1"/>
  <c r="BS63" i="6"/>
  <c r="BT63" i="6" s="1"/>
  <c r="BS59" i="6"/>
  <c r="BT59" i="6" s="1"/>
  <c r="BS55" i="6"/>
  <c r="BT55" i="6" s="1"/>
  <c r="BS51" i="6"/>
  <c r="BT51" i="6" s="1"/>
  <c r="BS47" i="6"/>
  <c r="BT47" i="6" s="1"/>
  <c r="BS43" i="6"/>
  <c r="BT43" i="6" s="1"/>
  <c r="BS39" i="6"/>
  <c r="BT39" i="6" s="1"/>
  <c r="BS35" i="6"/>
  <c r="BT35" i="6" s="1"/>
  <c r="BS31" i="6"/>
  <c r="BT31" i="6" s="1"/>
  <c r="BS27" i="6"/>
  <c r="BT27" i="6" s="1"/>
  <c r="BS23" i="6"/>
  <c r="BT23" i="6" s="1"/>
  <c r="BS19" i="6"/>
  <c r="BT19" i="6" s="1"/>
  <c r="BS15" i="6"/>
  <c r="BT15" i="6" s="1"/>
  <c r="BS11" i="6"/>
  <c r="BT11" i="6" s="1"/>
  <c r="BS109" i="6"/>
  <c r="BT109" i="6" s="1"/>
  <c r="BS105" i="6"/>
  <c r="BT105" i="6" s="1"/>
  <c r="BS101" i="6"/>
  <c r="BT101" i="6" s="1"/>
  <c r="BS97" i="6"/>
  <c r="BT97" i="6" s="1"/>
  <c r="BS93" i="6"/>
  <c r="BT93" i="6" s="1"/>
  <c r="BS89" i="6"/>
  <c r="BT89" i="6" s="1"/>
  <c r="BS85" i="6"/>
  <c r="BT85" i="6" s="1"/>
  <c r="BS81" i="6"/>
  <c r="BT81" i="6" s="1"/>
  <c r="BS77" i="6"/>
  <c r="BT77" i="6" s="1"/>
  <c r="BS73" i="6"/>
  <c r="BT73" i="6" s="1"/>
  <c r="BS69" i="6"/>
  <c r="BT69" i="6" s="1"/>
  <c r="BS65" i="6"/>
  <c r="BT65" i="6" s="1"/>
  <c r="BS61" i="6"/>
  <c r="BT61" i="6" s="1"/>
  <c r="BS57" i="6"/>
  <c r="BT57" i="6" s="1"/>
  <c r="BS53" i="6"/>
  <c r="BT53" i="6" s="1"/>
  <c r="BS49" i="6"/>
  <c r="BT49" i="6" s="1"/>
  <c r="BS45" i="6"/>
  <c r="BT45" i="6" s="1"/>
  <c r="BS41" i="6"/>
  <c r="BT41" i="6" s="1"/>
  <c r="BS37" i="6"/>
  <c r="BT37" i="6" s="1"/>
  <c r="BS33" i="6"/>
  <c r="BT33" i="6" s="1"/>
  <c r="BS29" i="6"/>
  <c r="BT29" i="6" s="1"/>
  <c r="BS25" i="6"/>
  <c r="BT25" i="6" s="1"/>
  <c r="BS21" i="6"/>
  <c r="BT21" i="6" s="1"/>
  <c r="BS17" i="6"/>
  <c r="BT17" i="6" s="1"/>
  <c r="BS13" i="6"/>
  <c r="BT13" i="6" s="1"/>
  <c r="BZ103" i="6"/>
  <c r="CA103" i="6" s="1"/>
  <c r="BZ95" i="6"/>
  <c r="CA95" i="6" s="1"/>
  <c r="CG107" i="6"/>
  <c r="CH107" i="6" s="1"/>
  <c r="CG103" i="6"/>
  <c r="CH103" i="6" s="1"/>
  <c r="CG99" i="6"/>
  <c r="CH99" i="6" s="1"/>
  <c r="BS9" i="6"/>
  <c r="CG108" i="6"/>
  <c r="CH108" i="6" s="1"/>
  <c r="CG104" i="6"/>
  <c r="CH104" i="6" s="1"/>
  <c r="CG100" i="6"/>
  <c r="CH100" i="6" s="1"/>
  <c r="BZ106" i="6"/>
  <c r="CA106" i="6" s="1"/>
  <c r="BZ102" i="6"/>
  <c r="CA102" i="6" s="1"/>
  <c r="BZ96" i="6"/>
  <c r="CA96" i="6" s="1"/>
  <c r="CG106" i="6"/>
  <c r="CH106" i="6" s="1"/>
  <c r="CG102" i="6"/>
  <c r="CH102" i="6" s="1"/>
  <c r="CG98" i="6"/>
  <c r="CH98" i="6" s="1"/>
  <c r="BZ37" i="6"/>
  <c r="CA37" i="6" s="1"/>
  <c r="BZ9" i="6"/>
  <c r="BZ109" i="6"/>
  <c r="CA109" i="6" s="1"/>
  <c r="BZ105" i="6"/>
  <c r="CA105" i="6" s="1"/>
  <c r="BZ101" i="6"/>
  <c r="CA101" i="6" s="1"/>
  <c r="BZ97" i="6"/>
  <c r="CA97" i="6" s="1"/>
  <c r="BZ93" i="6"/>
  <c r="CA93" i="6" s="1"/>
  <c r="BZ89" i="6"/>
  <c r="CA89" i="6" s="1"/>
  <c r="BZ85" i="6"/>
  <c r="CA85" i="6" s="1"/>
  <c r="BZ81" i="6"/>
  <c r="CA81" i="6" s="1"/>
  <c r="BZ77" i="6"/>
  <c r="CA77" i="6" s="1"/>
  <c r="BZ73" i="6"/>
  <c r="CA73" i="6" s="1"/>
  <c r="BZ69" i="6"/>
  <c r="CA69" i="6" s="1"/>
  <c r="BZ65" i="6"/>
  <c r="CA65" i="6" s="1"/>
  <c r="BZ61" i="6"/>
  <c r="CA61" i="6" s="1"/>
  <c r="BZ57" i="6"/>
  <c r="CA57" i="6" s="1"/>
  <c r="BZ53" i="6"/>
  <c r="CA53" i="6" s="1"/>
  <c r="BZ49" i="6"/>
  <c r="CA49" i="6" s="1"/>
  <c r="BZ45" i="6"/>
  <c r="CA45" i="6" s="1"/>
  <c r="BZ41" i="6"/>
  <c r="CA41" i="6" s="1"/>
  <c r="CG7" i="6"/>
  <c r="BZ7" i="6"/>
  <c r="D71" i="5"/>
  <c r="BT9" i="6" l="1"/>
  <c r="CA9" i="6"/>
  <c r="CH9" i="6"/>
  <c r="A1" i="7"/>
  <c r="A1" i="9" l="1"/>
  <c r="A1" i="8"/>
  <c r="A2" i="4"/>
  <c r="A2" i="9" l="1"/>
  <c r="A2" i="7"/>
  <c r="S7" i="6"/>
  <c r="R7" i="6"/>
  <c r="Q7" i="6"/>
  <c r="L7" i="6"/>
  <c r="K7" i="6"/>
  <c r="J7" i="6"/>
  <c r="N7" i="6" l="1"/>
  <c r="U7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X65" i="6"/>
  <c r="AX66" i="6"/>
  <c r="AX67" i="6"/>
  <c r="AX68" i="6"/>
  <c r="AX69" i="6"/>
  <c r="AX70" i="6"/>
  <c r="AX71" i="6"/>
  <c r="AX72" i="6"/>
  <c r="AX73" i="6"/>
  <c r="AX74" i="6"/>
  <c r="AX75" i="6"/>
  <c r="AX76" i="6"/>
  <c r="AX77" i="6"/>
  <c r="AX78" i="6"/>
  <c r="AX79" i="6"/>
  <c r="AX80" i="6"/>
  <c r="AX81" i="6"/>
  <c r="AX82" i="6"/>
  <c r="AX83" i="6"/>
  <c r="AX84" i="6"/>
  <c r="AX85" i="6"/>
  <c r="AX86" i="6"/>
  <c r="AX87" i="6"/>
  <c r="AX88" i="6"/>
  <c r="AX89" i="6"/>
  <c r="AX90" i="6"/>
  <c r="AX91" i="6"/>
  <c r="AX92" i="6"/>
  <c r="AX93" i="6"/>
  <c r="AX94" i="6"/>
  <c r="AX95" i="6"/>
  <c r="AX96" i="6"/>
  <c r="AX97" i="6"/>
  <c r="AX98" i="6"/>
  <c r="AX99" i="6"/>
  <c r="AX100" i="6"/>
  <c r="AX101" i="6"/>
  <c r="AX102" i="6"/>
  <c r="AX103" i="6"/>
  <c r="AX104" i="6"/>
  <c r="AX105" i="6"/>
  <c r="AX106" i="6"/>
  <c r="AX107" i="6"/>
  <c r="AX108" i="6"/>
  <c r="AX109" i="6"/>
  <c r="AX9" i="6"/>
  <c r="D17" i="10" s="1"/>
  <c r="AW10" i="6"/>
  <c r="BE10" i="6" s="1"/>
  <c r="AW11" i="6"/>
  <c r="AW12" i="6"/>
  <c r="AW13" i="6"/>
  <c r="AW14" i="6"/>
  <c r="BE14" i="6" s="1"/>
  <c r="AW15" i="6"/>
  <c r="AW16" i="6"/>
  <c r="AW17" i="6"/>
  <c r="AW18" i="6"/>
  <c r="BE18" i="6" s="1"/>
  <c r="AW19" i="6"/>
  <c r="AW20" i="6"/>
  <c r="AW21" i="6"/>
  <c r="AW22" i="6"/>
  <c r="BE22" i="6" s="1"/>
  <c r="AW23" i="6"/>
  <c r="AW24" i="6"/>
  <c r="AW25" i="6"/>
  <c r="AW26" i="6"/>
  <c r="BE26" i="6" s="1"/>
  <c r="AW27" i="6"/>
  <c r="AW28" i="6"/>
  <c r="AW29" i="6"/>
  <c r="AW30" i="6"/>
  <c r="BE30" i="6" s="1"/>
  <c r="AW31" i="6"/>
  <c r="AW32" i="6"/>
  <c r="AW33" i="6"/>
  <c r="AW34" i="6"/>
  <c r="BE34" i="6" s="1"/>
  <c r="AW35" i="6"/>
  <c r="AW36" i="6"/>
  <c r="AW37" i="6"/>
  <c r="AW38" i="6"/>
  <c r="BE38" i="6" s="1"/>
  <c r="AW39" i="6"/>
  <c r="AW40" i="6"/>
  <c r="AW41" i="6"/>
  <c r="AW42" i="6"/>
  <c r="BE42" i="6" s="1"/>
  <c r="AW43" i="6"/>
  <c r="AW44" i="6"/>
  <c r="AW45" i="6"/>
  <c r="AW46" i="6"/>
  <c r="BE46" i="6" s="1"/>
  <c r="AW47" i="6"/>
  <c r="AW48" i="6"/>
  <c r="AW49" i="6"/>
  <c r="AW50" i="6"/>
  <c r="BE50" i="6" s="1"/>
  <c r="AW51" i="6"/>
  <c r="AW52" i="6"/>
  <c r="AW53" i="6"/>
  <c r="AW54" i="6"/>
  <c r="BE54" i="6" s="1"/>
  <c r="AW55" i="6"/>
  <c r="AW56" i="6"/>
  <c r="AW57" i="6"/>
  <c r="AW58" i="6"/>
  <c r="BE58" i="6" s="1"/>
  <c r="AW59" i="6"/>
  <c r="AW60" i="6"/>
  <c r="AW61" i="6"/>
  <c r="AW62" i="6"/>
  <c r="BE62" i="6" s="1"/>
  <c r="AW63" i="6"/>
  <c r="AW64" i="6"/>
  <c r="AW65" i="6"/>
  <c r="AW66" i="6"/>
  <c r="BE66" i="6" s="1"/>
  <c r="AW67" i="6"/>
  <c r="AW68" i="6"/>
  <c r="AW69" i="6"/>
  <c r="AW70" i="6"/>
  <c r="BE70" i="6" s="1"/>
  <c r="AW71" i="6"/>
  <c r="AW72" i="6"/>
  <c r="AW73" i="6"/>
  <c r="AW74" i="6"/>
  <c r="BE74" i="6" s="1"/>
  <c r="AW75" i="6"/>
  <c r="AW76" i="6"/>
  <c r="AW77" i="6"/>
  <c r="AW78" i="6"/>
  <c r="BE78" i="6" s="1"/>
  <c r="AW79" i="6"/>
  <c r="AW80" i="6"/>
  <c r="AW81" i="6"/>
  <c r="AW82" i="6"/>
  <c r="BE82" i="6" s="1"/>
  <c r="AW83" i="6"/>
  <c r="AW84" i="6"/>
  <c r="AW85" i="6"/>
  <c r="AW86" i="6"/>
  <c r="BE86" i="6" s="1"/>
  <c r="AW87" i="6"/>
  <c r="AW88" i="6"/>
  <c r="AW89" i="6"/>
  <c r="AW90" i="6"/>
  <c r="BE90" i="6" s="1"/>
  <c r="AW91" i="6"/>
  <c r="AW92" i="6"/>
  <c r="AW93" i="6"/>
  <c r="AW94" i="6"/>
  <c r="BE94" i="6" s="1"/>
  <c r="AW95" i="6"/>
  <c r="AW96" i="6"/>
  <c r="AW97" i="6"/>
  <c r="AW98" i="6"/>
  <c r="BE98" i="6" s="1"/>
  <c r="AW99" i="6"/>
  <c r="AW100" i="6"/>
  <c r="AW101" i="6"/>
  <c r="AW102" i="6"/>
  <c r="BE102" i="6" s="1"/>
  <c r="AW103" i="6"/>
  <c r="AW104" i="6"/>
  <c r="AW105" i="6"/>
  <c r="AW106" i="6"/>
  <c r="BE106" i="6" s="1"/>
  <c r="AW107" i="6"/>
  <c r="AW108" i="6"/>
  <c r="AW109" i="6"/>
  <c r="AW9" i="6"/>
  <c r="AW5" i="6"/>
  <c r="AW112" i="6" s="1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9" i="6"/>
  <c r="D16" i="10" s="1"/>
  <c r="AK10" i="6"/>
  <c r="AK11" i="6"/>
  <c r="AS11" i="6" s="1"/>
  <c r="AK12" i="6"/>
  <c r="AK13" i="6"/>
  <c r="AK14" i="6"/>
  <c r="AK15" i="6"/>
  <c r="AS15" i="6" s="1"/>
  <c r="AK16" i="6"/>
  <c r="AK17" i="6"/>
  <c r="AK18" i="6"/>
  <c r="AK19" i="6"/>
  <c r="AS19" i="6" s="1"/>
  <c r="AK20" i="6"/>
  <c r="AK21" i="6"/>
  <c r="AK22" i="6"/>
  <c r="AK23" i="6"/>
  <c r="AS23" i="6" s="1"/>
  <c r="AK24" i="6"/>
  <c r="AK25" i="6"/>
  <c r="AK26" i="6"/>
  <c r="AK27" i="6"/>
  <c r="AS27" i="6" s="1"/>
  <c r="AK28" i="6"/>
  <c r="AK29" i="6"/>
  <c r="AK30" i="6"/>
  <c r="AK31" i="6"/>
  <c r="AS31" i="6" s="1"/>
  <c r="AK32" i="6"/>
  <c r="AK33" i="6"/>
  <c r="AK34" i="6"/>
  <c r="AK35" i="6"/>
  <c r="AS35" i="6" s="1"/>
  <c r="AK36" i="6"/>
  <c r="AK37" i="6"/>
  <c r="AK38" i="6"/>
  <c r="AK39" i="6"/>
  <c r="AS39" i="6" s="1"/>
  <c r="AK40" i="6"/>
  <c r="AK41" i="6"/>
  <c r="AK42" i="6"/>
  <c r="AK43" i="6"/>
  <c r="AS43" i="6" s="1"/>
  <c r="AK44" i="6"/>
  <c r="AK45" i="6"/>
  <c r="AK46" i="6"/>
  <c r="AK47" i="6"/>
  <c r="AS47" i="6" s="1"/>
  <c r="AK48" i="6"/>
  <c r="AK49" i="6"/>
  <c r="AK50" i="6"/>
  <c r="AK51" i="6"/>
  <c r="AS51" i="6" s="1"/>
  <c r="AK52" i="6"/>
  <c r="AK53" i="6"/>
  <c r="AK54" i="6"/>
  <c r="AK55" i="6"/>
  <c r="AS55" i="6" s="1"/>
  <c r="AK56" i="6"/>
  <c r="AK57" i="6"/>
  <c r="AK58" i="6"/>
  <c r="AK59" i="6"/>
  <c r="AS59" i="6" s="1"/>
  <c r="AK60" i="6"/>
  <c r="AK61" i="6"/>
  <c r="AK62" i="6"/>
  <c r="AK63" i="6"/>
  <c r="AS63" i="6" s="1"/>
  <c r="AK64" i="6"/>
  <c r="AK65" i="6"/>
  <c r="AK66" i="6"/>
  <c r="AK67" i="6"/>
  <c r="AS67" i="6" s="1"/>
  <c r="AK68" i="6"/>
  <c r="AK69" i="6"/>
  <c r="AK70" i="6"/>
  <c r="AK71" i="6"/>
  <c r="AS71" i="6" s="1"/>
  <c r="AK72" i="6"/>
  <c r="AK73" i="6"/>
  <c r="AK74" i="6"/>
  <c r="AK75" i="6"/>
  <c r="AS75" i="6" s="1"/>
  <c r="AK76" i="6"/>
  <c r="AK77" i="6"/>
  <c r="AK78" i="6"/>
  <c r="AK79" i="6"/>
  <c r="AS79" i="6" s="1"/>
  <c r="AK80" i="6"/>
  <c r="AK81" i="6"/>
  <c r="AK82" i="6"/>
  <c r="AK83" i="6"/>
  <c r="AS83" i="6" s="1"/>
  <c r="AK84" i="6"/>
  <c r="AK85" i="6"/>
  <c r="AK86" i="6"/>
  <c r="AK87" i="6"/>
  <c r="AS87" i="6" s="1"/>
  <c r="AK88" i="6"/>
  <c r="AK89" i="6"/>
  <c r="AK90" i="6"/>
  <c r="AK91" i="6"/>
  <c r="AS91" i="6" s="1"/>
  <c r="AK92" i="6"/>
  <c r="AK93" i="6"/>
  <c r="AK94" i="6"/>
  <c r="AK95" i="6"/>
  <c r="AS95" i="6" s="1"/>
  <c r="AK96" i="6"/>
  <c r="AK97" i="6"/>
  <c r="AK98" i="6"/>
  <c r="AK99" i="6"/>
  <c r="AS99" i="6" s="1"/>
  <c r="AK100" i="6"/>
  <c r="AK101" i="6"/>
  <c r="AK102" i="6"/>
  <c r="AK103" i="6"/>
  <c r="AS103" i="6" s="1"/>
  <c r="AK104" i="6"/>
  <c r="AK105" i="6"/>
  <c r="AK106" i="6"/>
  <c r="AK107" i="6"/>
  <c r="AS107" i="6" s="1"/>
  <c r="AK108" i="6"/>
  <c r="AK109" i="6"/>
  <c r="AK9" i="6"/>
  <c r="C16" i="10" s="1"/>
  <c r="H16" i="10" s="1"/>
  <c r="L16" i="10" s="1"/>
  <c r="Q16" i="10" s="1"/>
  <c r="AK5" i="6"/>
  <c r="AK112" i="6" s="1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Y10" i="6"/>
  <c r="Y11" i="6"/>
  <c r="Y12" i="6"/>
  <c r="AG12" i="6" s="1"/>
  <c r="Y13" i="6"/>
  <c r="Y14" i="6"/>
  <c r="Y15" i="6"/>
  <c r="Y16" i="6"/>
  <c r="AG16" i="6" s="1"/>
  <c r="Y17" i="6"/>
  <c r="Y18" i="6"/>
  <c r="Y19" i="6"/>
  <c r="Y20" i="6"/>
  <c r="AG20" i="6" s="1"/>
  <c r="Y21" i="6"/>
  <c r="Y22" i="6"/>
  <c r="Y23" i="6"/>
  <c r="Y24" i="6"/>
  <c r="AG24" i="6" s="1"/>
  <c r="Y25" i="6"/>
  <c r="Y26" i="6"/>
  <c r="Y27" i="6"/>
  <c r="Y28" i="6"/>
  <c r="AG28" i="6" s="1"/>
  <c r="Y29" i="6"/>
  <c r="Y30" i="6"/>
  <c r="Y31" i="6"/>
  <c r="Y32" i="6"/>
  <c r="AG32" i="6" s="1"/>
  <c r="Y33" i="6"/>
  <c r="Y34" i="6"/>
  <c r="Y35" i="6"/>
  <c r="Y36" i="6"/>
  <c r="AG36" i="6" s="1"/>
  <c r="Y37" i="6"/>
  <c r="Y38" i="6"/>
  <c r="Y39" i="6"/>
  <c r="Y40" i="6"/>
  <c r="AG40" i="6" s="1"/>
  <c r="Y41" i="6"/>
  <c r="Y42" i="6"/>
  <c r="Y43" i="6"/>
  <c r="Y44" i="6"/>
  <c r="AG44" i="6" s="1"/>
  <c r="Y45" i="6"/>
  <c r="Y46" i="6"/>
  <c r="Y47" i="6"/>
  <c r="Y48" i="6"/>
  <c r="AG48" i="6" s="1"/>
  <c r="Y49" i="6"/>
  <c r="Y50" i="6"/>
  <c r="Y51" i="6"/>
  <c r="Y52" i="6"/>
  <c r="AG52" i="6" s="1"/>
  <c r="Y53" i="6"/>
  <c r="Y54" i="6"/>
  <c r="Y55" i="6"/>
  <c r="Y56" i="6"/>
  <c r="AG56" i="6" s="1"/>
  <c r="Y57" i="6"/>
  <c r="Y58" i="6"/>
  <c r="Y59" i="6"/>
  <c r="Y60" i="6"/>
  <c r="AG60" i="6" s="1"/>
  <c r="Y61" i="6"/>
  <c r="Y62" i="6"/>
  <c r="Y63" i="6"/>
  <c r="Y64" i="6"/>
  <c r="AG64" i="6" s="1"/>
  <c r="Y65" i="6"/>
  <c r="Y66" i="6"/>
  <c r="Y67" i="6"/>
  <c r="Y68" i="6"/>
  <c r="AG68" i="6" s="1"/>
  <c r="Y69" i="6"/>
  <c r="Y70" i="6"/>
  <c r="Y71" i="6"/>
  <c r="Y72" i="6"/>
  <c r="AG72" i="6" s="1"/>
  <c r="Y73" i="6"/>
  <c r="Y74" i="6"/>
  <c r="Y75" i="6"/>
  <c r="Y76" i="6"/>
  <c r="AG76" i="6" s="1"/>
  <c r="Y77" i="6"/>
  <c r="Y78" i="6"/>
  <c r="Y79" i="6"/>
  <c r="Y80" i="6"/>
  <c r="AG80" i="6" s="1"/>
  <c r="Y81" i="6"/>
  <c r="Y82" i="6"/>
  <c r="Y83" i="6"/>
  <c r="Y84" i="6"/>
  <c r="AG84" i="6" s="1"/>
  <c r="Y85" i="6"/>
  <c r="Y86" i="6"/>
  <c r="Y87" i="6"/>
  <c r="Y88" i="6"/>
  <c r="AG88" i="6" s="1"/>
  <c r="Y89" i="6"/>
  <c r="Y90" i="6"/>
  <c r="Y91" i="6"/>
  <c r="Y92" i="6"/>
  <c r="AG92" i="6" s="1"/>
  <c r="Y93" i="6"/>
  <c r="Y94" i="6"/>
  <c r="Y95" i="6"/>
  <c r="Y96" i="6"/>
  <c r="AG96" i="6" s="1"/>
  <c r="Y97" i="6"/>
  <c r="Y98" i="6"/>
  <c r="Y99" i="6"/>
  <c r="Y100" i="6"/>
  <c r="AG100" i="6" s="1"/>
  <c r="Y101" i="6"/>
  <c r="Y102" i="6"/>
  <c r="Y103" i="6"/>
  <c r="Y104" i="6"/>
  <c r="AG104" i="6" s="1"/>
  <c r="Y105" i="6"/>
  <c r="Y106" i="6"/>
  <c r="Y107" i="6"/>
  <c r="Y108" i="6"/>
  <c r="AG108" i="6" s="1"/>
  <c r="Y109" i="6"/>
  <c r="Y9" i="6"/>
  <c r="X5" i="6"/>
  <c r="Y112" i="6" s="1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9" i="6"/>
  <c r="Q5" i="6"/>
  <c r="Q112" i="6" s="1"/>
  <c r="BY9" i="5"/>
  <c r="BE9" i="6" l="1"/>
  <c r="C17" i="10"/>
  <c r="H17" i="10" s="1"/>
  <c r="L17" i="10" s="1"/>
  <c r="Q17" i="10" s="1"/>
  <c r="BE109" i="6"/>
  <c r="BE105" i="6"/>
  <c r="BE101" i="6"/>
  <c r="BE97" i="6"/>
  <c r="BE93" i="6"/>
  <c r="BE89" i="6"/>
  <c r="BE85" i="6"/>
  <c r="BE81" i="6"/>
  <c r="BE77" i="6"/>
  <c r="BE73" i="6"/>
  <c r="BE69" i="6"/>
  <c r="BE65" i="6"/>
  <c r="BE61" i="6"/>
  <c r="BE57" i="6"/>
  <c r="BE53" i="6"/>
  <c r="BE49" i="6"/>
  <c r="BE45" i="6"/>
  <c r="BE41" i="6"/>
  <c r="BE37" i="6"/>
  <c r="BE33" i="6"/>
  <c r="BE29" i="6"/>
  <c r="BE25" i="6"/>
  <c r="BE21" i="6"/>
  <c r="BE17" i="6"/>
  <c r="BE13" i="6"/>
  <c r="BE107" i="6"/>
  <c r="BE103" i="6"/>
  <c r="BE99" i="6"/>
  <c r="BE95" i="6"/>
  <c r="BE91" i="6"/>
  <c r="BE87" i="6"/>
  <c r="BE83" i="6"/>
  <c r="BE79" i="6"/>
  <c r="BE75" i="6"/>
  <c r="BE71" i="6"/>
  <c r="BE67" i="6"/>
  <c r="BE63" i="6"/>
  <c r="BE59" i="6"/>
  <c r="BE55" i="6"/>
  <c r="BE51" i="6"/>
  <c r="BE47" i="6"/>
  <c r="BE43" i="6"/>
  <c r="BE39" i="6"/>
  <c r="BE35" i="6"/>
  <c r="BE31" i="6"/>
  <c r="BE27" i="6"/>
  <c r="BE23" i="6"/>
  <c r="BE19" i="6"/>
  <c r="BE15" i="6"/>
  <c r="BE11" i="6"/>
  <c r="AG106" i="6"/>
  <c r="AG102" i="6"/>
  <c r="AG98" i="6"/>
  <c r="AG94" i="6"/>
  <c r="AG90" i="6"/>
  <c r="AG86" i="6"/>
  <c r="AG82" i="6"/>
  <c r="AG78" i="6"/>
  <c r="AG74" i="6"/>
  <c r="AG70" i="6"/>
  <c r="AG66" i="6"/>
  <c r="AG62" i="6"/>
  <c r="AG58" i="6"/>
  <c r="AG54" i="6"/>
  <c r="AG50" i="6"/>
  <c r="AG46" i="6"/>
  <c r="AG42" i="6"/>
  <c r="AG38" i="6"/>
  <c r="AG34" i="6"/>
  <c r="AG30" i="6"/>
  <c r="AG26" i="6"/>
  <c r="AG22" i="6"/>
  <c r="AG18" i="6"/>
  <c r="AG14" i="6"/>
  <c r="AG10" i="6"/>
  <c r="AS109" i="6"/>
  <c r="AS105" i="6"/>
  <c r="AS101" i="6"/>
  <c r="AS97" i="6"/>
  <c r="AS93" i="6"/>
  <c r="AS89" i="6"/>
  <c r="AS85" i="6"/>
  <c r="AS81" i="6"/>
  <c r="AS77" i="6"/>
  <c r="AS73" i="6"/>
  <c r="AS69" i="6"/>
  <c r="AS65" i="6"/>
  <c r="AS61" i="6"/>
  <c r="AS57" i="6"/>
  <c r="AS53" i="6"/>
  <c r="AS49" i="6"/>
  <c r="AS45" i="6"/>
  <c r="AS41" i="6"/>
  <c r="AS37" i="6"/>
  <c r="AS33" i="6"/>
  <c r="AS29" i="6"/>
  <c r="AS25" i="6"/>
  <c r="AS21" i="6"/>
  <c r="AS17" i="6"/>
  <c r="AS13" i="6"/>
  <c r="BE108" i="6"/>
  <c r="BE104" i="6"/>
  <c r="BE100" i="6"/>
  <c r="BE96" i="6"/>
  <c r="BE92" i="6"/>
  <c r="BE88" i="6"/>
  <c r="BE84" i="6"/>
  <c r="BE80" i="6"/>
  <c r="BE76" i="6"/>
  <c r="BE72" i="6"/>
  <c r="BE68" i="6"/>
  <c r="BE64" i="6"/>
  <c r="BE60" i="6"/>
  <c r="BE56" i="6"/>
  <c r="BE52" i="6"/>
  <c r="BE48" i="6"/>
  <c r="BE44" i="6"/>
  <c r="BE40" i="6"/>
  <c r="BE36" i="6"/>
  <c r="BE32" i="6"/>
  <c r="BE28" i="6"/>
  <c r="BE24" i="6"/>
  <c r="BE20" i="6"/>
  <c r="BE16" i="6"/>
  <c r="BE12" i="6"/>
  <c r="AG109" i="6"/>
  <c r="AG105" i="6"/>
  <c r="AG101" i="6"/>
  <c r="AG97" i="6"/>
  <c r="AG93" i="6"/>
  <c r="AG89" i="6"/>
  <c r="AG85" i="6"/>
  <c r="AG81" i="6"/>
  <c r="AG77" i="6"/>
  <c r="AG73" i="6"/>
  <c r="AG69" i="6"/>
  <c r="AG65" i="6"/>
  <c r="AG61" i="6"/>
  <c r="AG57" i="6"/>
  <c r="AG53" i="6"/>
  <c r="AG49" i="6"/>
  <c r="AG45" i="6"/>
  <c r="AG41" i="6"/>
  <c r="AG37" i="6"/>
  <c r="AG33" i="6"/>
  <c r="AG29" i="6"/>
  <c r="AG25" i="6"/>
  <c r="AG21" i="6"/>
  <c r="AG17" i="6"/>
  <c r="AG13" i="6"/>
  <c r="AS108" i="6"/>
  <c r="AS104" i="6"/>
  <c r="AS100" i="6"/>
  <c r="AS96" i="6"/>
  <c r="AS92" i="6"/>
  <c r="AS88" i="6"/>
  <c r="AS84" i="6"/>
  <c r="AS80" i="6"/>
  <c r="AS76" i="6"/>
  <c r="AS72" i="6"/>
  <c r="AS68" i="6"/>
  <c r="AS64" i="6"/>
  <c r="AS60" i="6"/>
  <c r="AS56" i="6"/>
  <c r="AS52" i="6"/>
  <c r="AS48" i="6"/>
  <c r="AS44" i="6"/>
  <c r="AS40" i="6"/>
  <c r="AS36" i="6"/>
  <c r="AS32" i="6"/>
  <c r="AS28" i="6"/>
  <c r="AS24" i="6"/>
  <c r="AS20" i="6"/>
  <c r="AS16" i="6"/>
  <c r="AS12" i="6"/>
  <c r="AG107" i="6"/>
  <c r="AG103" i="6"/>
  <c r="AG99" i="6"/>
  <c r="AG95" i="6"/>
  <c r="AG91" i="6"/>
  <c r="AG87" i="6"/>
  <c r="AG83" i="6"/>
  <c r="AG79" i="6"/>
  <c r="AG75" i="6"/>
  <c r="AG71" i="6"/>
  <c r="AG67" i="6"/>
  <c r="AG63" i="6"/>
  <c r="AG59" i="6"/>
  <c r="AG55" i="6"/>
  <c r="AG51" i="6"/>
  <c r="AG47" i="6"/>
  <c r="AG43" i="6"/>
  <c r="AG39" i="6"/>
  <c r="AG35" i="6"/>
  <c r="AG31" i="6"/>
  <c r="AG27" i="6"/>
  <c r="AG23" i="6"/>
  <c r="AG19" i="6"/>
  <c r="AG15" i="6"/>
  <c r="AG11" i="6"/>
  <c r="AS9" i="6"/>
  <c r="AS106" i="6"/>
  <c r="AS102" i="6"/>
  <c r="AS98" i="6"/>
  <c r="AS94" i="6"/>
  <c r="AS90" i="6"/>
  <c r="AS86" i="6"/>
  <c r="AS82" i="6"/>
  <c r="AS78" i="6"/>
  <c r="AS74" i="6"/>
  <c r="AS70" i="6"/>
  <c r="AS66" i="6"/>
  <c r="AS62" i="6"/>
  <c r="AS58" i="6"/>
  <c r="AS54" i="6"/>
  <c r="AS50" i="6"/>
  <c r="AS46" i="6"/>
  <c r="AS42" i="6"/>
  <c r="AS38" i="6"/>
  <c r="AS34" i="6"/>
  <c r="AS30" i="6"/>
  <c r="AS26" i="6"/>
  <c r="AS22" i="6"/>
  <c r="AS18" i="6"/>
  <c r="AS14" i="6"/>
  <c r="AS10" i="6"/>
  <c r="AG9" i="6"/>
  <c r="E14" i="10"/>
  <c r="G14" i="10" s="1"/>
  <c r="I14" i="10"/>
  <c r="K14" i="10" s="1"/>
  <c r="BY10" i="5"/>
  <c r="BM9" i="6"/>
  <c r="M23" i="10" s="1"/>
  <c r="U108" i="6"/>
  <c r="U104" i="6"/>
  <c r="U100" i="6"/>
  <c r="U96" i="6"/>
  <c r="U92" i="6"/>
  <c r="U88" i="6"/>
  <c r="U84" i="6"/>
  <c r="U80" i="6"/>
  <c r="U76" i="6"/>
  <c r="U72" i="6"/>
  <c r="U68" i="6"/>
  <c r="U64" i="6"/>
  <c r="U60" i="6"/>
  <c r="U56" i="6"/>
  <c r="U52" i="6"/>
  <c r="U48" i="6"/>
  <c r="U44" i="6"/>
  <c r="U40" i="6"/>
  <c r="U36" i="6"/>
  <c r="U32" i="6"/>
  <c r="U28" i="6"/>
  <c r="U24" i="6"/>
  <c r="U20" i="6"/>
  <c r="U16" i="6"/>
  <c r="U12" i="6"/>
  <c r="U107" i="6"/>
  <c r="U103" i="6"/>
  <c r="U99" i="6"/>
  <c r="U95" i="6"/>
  <c r="U91" i="6"/>
  <c r="U87" i="6"/>
  <c r="U83" i="6"/>
  <c r="U79" i="6"/>
  <c r="U75" i="6"/>
  <c r="U71" i="6"/>
  <c r="U67" i="6"/>
  <c r="U63" i="6"/>
  <c r="U59" i="6"/>
  <c r="U55" i="6"/>
  <c r="U51" i="6"/>
  <c r="U47" i="6"/>
  <c r="U43" i="6"/>
  <c r="U39" i="6"/>
  <c r="U35" i="6"/>
  <c r="U31" i="6"/>
  <c r="U27" i="6"/>
  <c r="U23" i="6"/>
  <c r="U19" i="6"/>
  <c r="U15" i="6"/>
  <c r="U106" i="6"/>
  <c r="U98" i="6"/>
  <c r="U90" i="6"/>
  <c r="U82" i="6"/>
  <c r="U74" i="6"/>
  <c r="U66" i="6"/>
  <c r="U58" i="6"/>
  <c r="U50" i="6"/>
  <c r="U42" i="6"/>
  <c r="U34" i="6"/>
  <c r="U26" i="6"/>
  <c r="U18" i="6"/>
  <c r="U9" i="6"/>
  <c r="U102" i="6"/>
  <c r="U94" i="6"/>
  <c r="U86" i="6"/>
  <c r="U78" i="6"/>
  <c r="U70" i="6"/>
  <c r="U62" i="6"/>
  <c r="U54" i="6"/>
  <c r="U46" i="6"/>
  <c r="U38" i="6"/>
  <c r="U30" i="6"/>
  <c r="U22" i="6"/>
  <c r="U14" i="6"/>
  <c r="U109" i="6"/>
  <c r="U105" i="6"/>
  <c r="U101" i="6"/>
  <c r="U97" i="6"/>
  <c r="U93" i="6"/>
  <c r="U89" i="6"/>
  <c r="U85" i="6"/>
  <c r="U81" i="6"/>
  <c r="U77" i="6"/>
  <c r="U73" i="6"/>
  <c r="U69" i="6"/>
  <c r="U65" i="6"/>
  <c r="U61" i="6"/>
  <c r="U57" i="6"/>
  <c r="U53" i="6"/>
  <c r="U49" i="6"/>
  <c r="U45" i="6"/>
  <c r="U41" i="6"/>
  <c r="U37" i="6"/>
  <c r="U33" i="6"/>
  <c r="U29" i="6"/>
  <c r="U25" i="6"/>
  <c r="U21" i="6"/>
  <c r="U17" i="6"/>
  <c r="U13" i="6"/>
  <c r="U11" i="6"/>
  <c r="U10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J10" i="6"/>
  <c r="J11" i="6"/>
  <c r="J12" i="6"/>
  <c r="J13" i="6"/>
  <c r="J14" i="6"/>
  <c r="J15" i="6"/>
  <c r="N15" i="6" s="1"/>
  <c r="BH15" i="6" s="1"/>
  <c r="J16" i="6"/>
  <c r="N16" i="6" s="1"/>
  <c r="BH16" i="6" s="1"/>
  <c r="J17" i="6"/>
  <c r="N17" i="6" s="1"/>
  <c r="J18" i="6"/>
  <c r="N18" i="6" s="1"/>
  <c r="BH18" i="6" s="1"/>
  <c r="J19" i="6"/>
  <c r="N19" i="6" s="1"/>
  <c r="J20" i="6"/>
  <c r="N20" i="6" s="1"/>
  <c r="BH20" i="6" s="1"/>
  <c r="J21" i="6"/>
  <c r="N21" i="6" s="1"/>
  <c r="BH21" i="6" s="1"/>
  <c r="J22" i="6"/>
  <c r="J23" i="6"/>
  <c r="N23" i="6" s="1"/>
  <c r="BH23" i="6" s="1"/>
  <c r="J24" i="6"/>
  <c r="N24" i="6" s="1"/>
  <c r="BH24" i="6" s="1"/>
  <c r="J25" i="6"/>
  <c r="N25" i="6" s="1"/>
  <c r="J26" i="6"/>
  <c r="N26" i="6" s="1"/>
  <c r="BH26" i="6" s="1"/>
  <c r="J27" i="6"/>
  <c r="N27" i="6" s="1"/>
  <c r="BH27" i="6" s="1"/>
  <c r="J28" i="6"/>
  <c r="N28" i="6" s="1"/>
  <c r="BH28" i="6" s="1"/>
  <c r="J29" i="6"/>
  <c r="J30" i="6"/>
  <c r="J31" i="6"/>
  <c r="J32" i="6"/>
  <c r="N32" i="6" s="1"/>
  <c r="BH32" i="6" s="1"/>
  <c r="J33" i="6"/>
  <c r="N33" i="6" s="1"/>
  <c r="J34" i="6"/>
  <c r="N34" i="6" s="1"/>
  <c r="BH34" i="6" s="1"/>
  <c r="J35" i="6"/>
  <c r="N35" i="6" s="1"/>
  <c r="BH35" i="6" s="1"/>
  <c r="J36" i="6"/>
  <c r="N36" i="6" s="1"/>
  <c r="BH36" i="6" s="1"/>
  <c r="J37" i="6"/>
  <c r="N37" i="6" s="1"/>
  <c r="BH37" i="6" s="1"/>
  <c r="J38" i="6"/>
  <c r="N38" i="6" s="1"/>
  <c r="BH38" i="6" s="1"/>
  <c r="J39" i="6"/>
  <c r="N39" i="6" s="1"/>
  <c r="BH39" i="6" s="1"/>
  <c r="J40" i="6"/>
  <c r="N40" i="6" s="1"/>
  <c r="BH40" i="6" s="1"/>
  <c r="J41" i="6"/>
  <c r="N41" i="6" s="1"/>
  <c r="J42" i="6"/>
  <c r="N42" i="6" s="1"/>
  <c r="BH42" i="6" s="1"/>
  <c r="J43" i="6"/>
  <c r="N43" i="6" s="1"/>
  <c r="BH43" i="6" s="1"/>
  <c r="J44" i="6"/>
  <c r="N44" i="6" s="1"/>
  <c r="BH44" i="6" s="1"/>
  <c r="J45" i="6"/>
  <c r="N45" i="6" s="1"/>
  <c r="BH45" i="6" s="1"/>
  <c r="J46" i="6"/>
  <c r="N46" i="6" s="1"/>
  <c r="BH46" i="6" s="1"/>
  <c r="J47" i="6"/>
  <c r="N47" i="6" s="1"/>
  <c r="BH47" i="6" s="1"/>
  <c r="J48" i="6"/>
  <c r="N48" i="6" s="1"/>
  <c r="BH48" i="6" s="1"/>
  <c r="J49" i="6"/>
  <c r="N49" i="6" s="1"/>
  <c r="BH49" i="6" s="1"/>
  <c r="J50" i="6"/>
  <c r="N50" i="6" s="1"/>
  <c r="BH50" i="6" s="1"/>
  <c r="J51" i="6"/>
  <c r="N51" i="6" s="1"/>
  <c r="BH51" i="6" s="1"/>
  <c r="J52" i="6"/>
  <c r="N52" i="6" s="1"/>
  <c r="BH52" i="6" s="1"/>
  <c r="J53" i="6"/>
  <c r="N53" i="6" s="1"/>
  <c r="BH53" i="6" s="1"/>
  <c r="J54" i="6"/>
  <c r="N54" i="6" s="1"/>
  <c r="BH54" i="6" s="1"/>
  <c r="J55" i="6"/>
  <c r="N55" i="6" s="1"/>
  <c r="BH55" i="6" s="1"/>
  <c r="J56" i="6"/>
  <c r="N56" i="6" s="1"/>
  <c r="BH56" i="6" s="1"/>
  <c r="J57" i="6"/>
  <c r="N57" i="6" s="1"/>
  <c r="BH57" i="6" s="1"/>
  <c r="J58" i="6"/>
  <c r="N58" i="6" s="1"/>
  <c r="BH58" i="6" s="1"/>
  <c r="J59" i="6"/>
  <c r="N59" i="6" s="1"/>
  <c r="BH59" i="6" s="1"/>
  <c r="J60" i="6"/>
  <c r="N60" i="6" s="1"/>
  <c r="BH60" i="6" s="1"/>
  <c r="J61" i="6"/>
  <c r="N61" i="6" s="1"/>
  <c r="BH61" i="6" s="1"/>
  <c r="J62" i="6"/>
  <c r="N62" i="6" s="1"/>
  <c r="BH62" i="6" s="1"/>
  <c r="J63" i="6"/>
  <c r="N63" i="6" s="1"/>
  <c r="BH63" i="6" s="1"/>
  <c r="J64" i="6"/>
  <c r="N64" i="6" s="1"/>
  <c r="BH64" i="6" s="1"/>
  <c r="J65" i="6"/>
  <c r="N65" i="6" s="1"/>
  <c r="BH65" i="6" s="1"/>
  <c r="J66" i="6"/>
  <c r="N66" i="6" s="1"/>
  <c r="BH66" i="6" s="1"/>
  <c r="J67" i="6"/>
  <c r="J68" i="6"/>
  <c r="N68" i="6" s="1"/>
  <c r="BH68" i="6" s="1"/>
  <c r="J69" i="6"/>
  <c r="N69" i="6" s="1"/>
  <c r="J70" i="6"/>
  <c r="J71" i="6"/>
  <c r="N71" i="6" s="1"/>
  <c r="J72" i="6"/>
  <c r="J73" i="6"/>
  <c r="N73" i="6" s="1"/>
  <c r="J74" i="6"/>
  <c r="N74" i="6" s="1"/>
  <c r="J75" i="6"/>
  <c r="N75" i="6" s="1"/>
  <c r="J76" i="6"/>
  <c r="N76" i="6" s="1"/>
  <c r="J77" i="6"/>
  <c r="N77" i="6" s="1"/>
  <c r="J78" i="6"/>
  <c r="J79" i="6"/>
  <c r="N79" i="6" s="1"/>
  <c r="J80" i="6"/>
  <c r="N80" i="6" s="1"/>
  <c r="J81" i="6"/>
  <c r="N81" i="6" s="1"/>
  <c r="J82" i="6"/>
  <c r="J83" i="6"/>
  <c r="J84" i="6"/>
  <c r="N84" i="6" s="1"/>
  <c r="J85" i="6"/>
  <c r="N85" i="6" s="1"/>
  <c r="J86" i="6"/>
  <c r="J87" i="6"/>
  <c r="N87" i="6" s="1"/>
  <c r="J88" i="6"/>
  <c r="N88" i="6" s="1"/>
  <c r="J89" i="6"/>
  <c r="N89" i="6" s="1"/>
  <c r="J90" i="6"/>
  <c r="J91" i="6"/>
  <c r="N91" i="6" s="1"/>
  <c r="J92" i="6"/>
  <c r="N92" i="6" s="1"/>
  <c r="J93" i="6"/>
  <c r="N93" i="6" s="1"/>
  <c r="J94" i="6"/>
  <c r="N94" i="6" s="1"/>
  <c r="J95" i="6"/>
  <c r="J96" i="6"/>
  <c r="N96" i="6" s="1"/>
  <c r="J97" i="6"/>
  <c r="J98" i="6"/>
  <c r="N98" i="6" s="1"/>
  <c r="J99" i="6"/>
  <c r="N99" i="6" s="1"/>
  <c r="J100" i="6"/>
  <c r="N100" i="6" s="1"/>
  <c r="J101" i="6"/>
  <c r="J102" i="6"/>
  <c r="N102" i="6" s="1"/>
  <c r="J103" i="6"/>
  <c r="N103" i="6" s="1"/>
  <c r="J104" i="6"/>
  <c r="N104" i="6" s="1"/>
  <c r="J105" i="6"/>
  <c r="N105" i="6" s="1"/>
  <c r="J106" i="6"/>
  <c r="N106" i="6" s="1"/>
  <c r="J107" i="6"/>
  <c r="N107" i="6" s="1"/>
  <c r="J108" i="6"/>
  <c r="N108" i="6" s="1"/>
  <c r="J109" i="6"/>
  <c r="N109" i="6" s="1"/>
  <c r="I13" i="10"/>
  <c r="K9" i="6"/>
  <c r="J9" i="6"/>
  <c r="C13" i="10" s="1"/>
  <c r="J5" i="6"/>
  <c r="J112" i="6" s="1"/>
  <c r="K13" i="10" l="1"/>
  <c r="K18" i="10" s="1"/>
  <c r="K20" i="10" s="1"/>
  <c r="I18" i="10"/>
  <c r="I20" i="10" s="1"/>
  <c r="BH19" i="6"/>
  <c r="BH41" i="6"/>
  <c r="BH33" i="6"/>
  <c r="BH25" i="6"/>
  <c r="BH17" i="6"/>
  <c r="BI60" i="6"/>
  <c r="BI28" i="6"/>
  <c r="BI44" i="6"/>
  <c r="BI34" i="6"/>
  <c r="BI43" i="6"/>
  <c r="BI27" i="6"/>
  <c r="BI54" i="6"/>
  <c r="BI53" i="6"/>
  <c r="BI37" i="6"/>
  <c r="BI21" i="6"/>
  <c r="BI47" i="6"/>
  <c r="N101" i="6"/>
  <c r="N97" i="6"/>
  <c r="N82" i="6"/>
  <c r="N86" i="6"/>
  <c r="N78" i="6"/>
  <c r="BI38" i="6"/>
  <c r="BI62" i="6"/>
  <c r="BI42" i="6"/>
  <c r="BY11" i="5"/>
  <c r="BM10" i="6"/>
  <c r="E13" i="10"/>
  <c r="D13" i="10"/>
  <c r="BI63" i="6"/>
  <c r="BI15" i="6"/>
  <c r="BI64" i="6"/>
  <c r="BI18" i="6"/>
  <c r="BI66" i="6"/>
  <c r="BI58" i="6"/>
  <c r="BI50" i="6"/>
  <c r="BI46" i="6"/>
  <c r="BI32" i="6"/>
  <c r="BI26" i="6"/>
  <c r="BI16" i="6"/>
  <c r="N70" i="6"/>
  <c r="BI70" i="6" s="1"/>
  <c r="BK70" i="6" s="1"/>
  <c r="BI65" i="6"/>
  <c r="BI49" i="6"/>
  <c r="BI45" i="6"/>
  <c r="BI41" i="6"/>
  <c r="BI33" i="6"/>
  <c r="BI25" i="6"/>
  <c r="BI17" i="6"/>
  <c r="BI69" i="6"/>
  <c r="BK69" i="6" s="1"/>
  <c r="BI61" i="6"/>
  <c r="BI68" i="6"/>
  <c r="BI56" i="6"/>
  <c r="BI52" i="6"/>
  <c r="BI48" i="6"/>
  <c r="BI40" i="6"/>
  <c r="BI36" i="6"/>
  <c r="BI24" i="6"/>
  <c r="BI20" i="6"/>
  <c r="BI57" i="6"/>
  <c r="BI59" i="6"/>
  <c r="BI55" i="6"/>
  <c r="BI51" i="6"/>
  <c r="BI39" i="6"/>
  <c r="BI35" i="6"/>
  <c r="BI23" i="6"/>
  <c r="BI19" i="6"/>
  <c r="N31" i="6"/>
  <c r="BH31" i="6" s="1"/>
  <c r="N95" i="6"/>
  <c r="N83" i="6"/>
  <c r="N67" i="6"/>
  <c r="BH67" i="6" s="1"/>
  <c r="N72" i="6"/>
  <c r="N30" i="6"/>
  <c r="BH30" i="6" s="1"/>
  <c r="N29" i="6"/>
  <c r="BH29" i="6" s="1"/>
  <c r="N22" i="6"/>
  <c r="BH22" i="6" s="1"/>
  <c r="N12" i="6"/>
  <c r="BH12" i="6" s="1"/>
  <c r="N14" i="6"/>
  <c r="BH14" i="6" s="1"/>
  <c r="N13" i="6"/>
  <c r="BH13" i="6" s="1"/>
  <c r="N90" i="6"/>
  <c r="N9" i="6"/>
  <c r="BH9" i="6" s="1"/>
  <c r="N11" i="6"/>
  <c r="BH11" i="6" s="1"/>
  <c r="N10" i="6"/>
  <c r="BH10" i="6" s="1"/>
  <c r="BQ4" i="5"/>
  <c r="BJ4" i="5"/>
  <c r="BC4" i="5"/>
  <c r="AS4" i="5"/>
  <c r="AI4" i="5"/>
  <c r="Y4" i="5"/>
  <c r="R4" i="5"/>
  <c r="A1" i="6"/>
  <c r="G13" i="10" l="1"/>
  <c r="G18" i="10" s="1"/>
  <c r="G20" i="10" s="1"/>
  <c r="E18" i="10"/>
  <c r="BI9" i="6"/>
  <c r="G26" i="10" s="1"/>
  <c r="AK8" i="5"/>
  <c r="AL7" i="6" s="1"/>
  <c r="AJ8" i="5"/>
  <c r="AK7" i="6" s="1"/>
  <c r="J5" i="8"/>
  <c r="R5" i="8" s="1"/>
  <c r="AJ57" i="6"/>
  <c r="AJ33" i="6"/>
  <c r="AJ29" i="6"/>
  <c r="AJ49" i="6"/>
  <c r="AJ17" i="6"/>
  <c r="AJ41" i="6"/>
  <c r="AJ21" i="6"/>
  <c r="AJ68" i="6"/>
  <c r="AJ60" i="6"/>
  <c r="AJ52" i="6"/>
  <c r="AJ44" i="6"/>
  <c r="AJ36" i="6"/>
  <c r="AJ28" i="6"/>
  <c r="AJ20" i="6"/>
  <c r="AJ12" i="6"/>
  <c r="AJ67" i="6"/>
  <c r="AJ59" i="6"/>
  <c r="AJ51" i="6"/>
  <c r="AJ43" i="6"/>
  <c r="AJ35" i="6"/>
  <c r="AJ27" i="6"/>
  <c r="AJ19" i="6"/>
  <c r="AJ11" i="6"/>
  <c r="AJ62" i="6"/>
  <c r="AJ54" i="6"/>
  <c r="AJ46" i="6"/>
  <c r="AJ38" i="6"/>
  <c r="AJ30" i="6"/>
  <c r="AJ22" i="6"/>
  <c r="AJ14" i="6"/>
  <c r="AJ65" i="6"/>
  <c r="AJ45" i="6"/>
  <c r="AJ13" i="6"/>
  <c r="AJ61" i="6"/>
  <c r="AJ37" i="6"/>
  <c r="AJ53" i="6"/>
  <c r="AJ25" i="6"/>
  <c r="AJ64" i="6"/>
  <c r="AJ56" i="6"/>
  <c r="AJ48" i="6"/>
  <c r="AJ40" i="6"/>
  <c r="AJ32" i="6"/>
  <c r="AJ24" i="6"/>
  <c r="AJ16" i="6"/>
  <c r="AJ63" i="6"/>
  <c r="AJ55" i="6"/>
  <c r="AJ47" i="6"/>
  <c r="AJ39" i="6"/>
  <c r="AJ31" i="6"/>
  <c r="AJ23" i="6"/>
  <c r="AJ15" i="6"/>
  <c r="AJ9" i="6"/>
  <c r="A16" i="10" s="1"/>
  <c r="AJ66" i="6"/>
  <c r="AJ58" i="6"/>
  <c r="AJ50" i="6"/>
  <c r="AJ42" i="6"/>
  <c r="AJ34" i="6"/>
  <c r="AJ26" i="6"/>
  <c r="AJ18" i="6"/>
  <c r="AJ10" i="6"/>
  <c r="AU8" i="5"/>
  <c r="AX7" i="6" s="1"/>
  <c r="AT8" i="5"/>
  <c r="AW7" i="6" s="1"/>
  <c r="K5" i="8"/>
  <c r="S5" i="8" s="1"/>
  <c r="AV68" i="6"/>
  <c r="AV60" i="6"/>
  <c r="AV52" i="6"/>
  <c r="AV44" i="6"/>
  <c r="AV36" i="6"/>
  <c r="AV28" i="6"/>
  <c r="AV20" i="6"/>
  <c r="AV12" i="6"/>
  <c r="AV67" i="6"/>
  <c r="AV59" i="6"/>
  <c r="AV51" i="6"/>
  <c r="AV43" i="6"/>
  <c r="AV35" i="6"/>
  <c r="AV27" i="6"/>
  <c r="AV19" i="6"/>
  <c r="AV11" i="6"/>
  <c r="AV62" i="6"/>
  <c r="AV54" i="6"/>
  <c r="AV46" i="6"/>
  <c r="AV38" i="6"/>
  <c r="AV30" i="6"/>
  <c r="AV22" i="6"/>
  <c r="AV14" i="6"/>
  <c r="AV57" i="6"/>
  <c r="AV33" i="6"/>
  <c r="AV29" i="6"/>
  <c r="AV49" i="6"/>
  <c r="AV17" i="6"/>
  <c r="AV41" i="6"/>
  <c r="AV21" i="6"/>
  <c r="AV64" i="6"/>
  <c r="AV56" i="6"/>
  <c r="AV48" i="6"/>
  <c r="AV40" i="6"/>
  <c r="AV32" i="6"/>
  <c r="AV24" i="6"/>
  <c r="AV16" i="6"/>
  <c r="AV63" i="6"/>
  <c r="AV55" i="6"/>
  <c r="AV47" i="6"/>
  <c r="AV39" i="6"/>
  <c r="AV31" i="6"/>
  <c r="AV23" i="6"/>
  <c r="AV15" i="6"/>
  <c r="AV9" i="6"/>
  <c r="A17" i="10" s="1"/>
  <c r="AV66" i="6"/>
  <c r="AV58" i="6"/>
  <c r="AV50" i="6"/>
  <c r="AV42" i="6"/>
  <c r="AV34" i="6"/>
  <c r="AV26" i="6"/>
  <c r="AV18" i="6"/>
  <c r="AV10" i="6"/>
  <c r="AV65" i="6"/>
  <c r="AV45" i="6"/>
  <c r="AV13" i="6"/>
  <c r="AV61" i="6"/>
  <c r="AV37" i="6"/>
  <c r="AV53" i="6"/>
  <c r="AV25" i="6"/>
  <c r="BO4" i="6"/>
  <c r="BO111" i="6" s="1"/>
  <c r="L5" i="8"/>
  <c r="T5" i="8" s="1"/>
  <c r="Q4" i="6"/>
  <c r="CN6" i="6" s="1"/>
  <c r="CY6" i="6" s="1"/>
  <c r="A14" i="10"/>
  <c r="H5" i="8"/>
  <c r="P5" i="8" s="1"/>
  <c r="AA8" i="5"/>
  <c r="Z7" i="6" s="1"/>
  <c r="Z8" i="5"/>
  <c r="Y7" i="6" s="1"/>
  <c r="I5" i="8"/>
  <c r="Q5" i="8" s="1"/>
  <c r="BV4" i="6"/>
  <c r="M5" i="7" s="1"/>
  <c r="M5" i="8"/>
  <c r="U5" i="8" s="1"/>
  <c r="CC4" i="6"/>
  <c r="DP6" i="6" s="1"/>
  <c r="N5" i="8"/>
  <c r="V5" i="8" s="1"/>
  <c r="BI11" i="6"/>
  <c r="BI14" i="6"/>
  <c r="BI30" i="6"/>
  <c r="BI12" i="6"/>
  <c r="BI31" i="6"/>
  <c r="BI22" i="6"/>
  <c r="BI67" i="6"/>
  <c r="BI10" i="6"/>
  <c r="BI13" i="6"/>
  <c r="BI29" i="6"/>
  <c r="X29" i="6"/>
  <c r="X53" i="6"/>
  <c r="X37" i="6"/>
  <c r="X17" i="6"/>
  <c r="X60" i="6"/>
  <c r="X44" i="6"/>
  <c r="X28" i="6"/>
  <c r="X12" i="6"/>
  <c r="X55" i="6"/>
  <c r="X39" i="6"/>
  <c r="X23" i="6"/>
  <c r="X9" i="6"/>
  <c r="X54" i="6"/>
  <c r="X38" i="6"/>
  <c r="X22" i="6"/>
  <c r="X65" i="6"/>
  <c r="X49" i="6"/>
  <c r="X33" i="6"/>
  <c r="X13" i="6"/>
  <c r="X56" i="6"/>
  <c r="X40" i="6"/>
  <c r="X24" i="6"/>
  <c r="X67" i="6"/>
  <c r="X51" i="6"/>
  <c r="X35" i="6"/>
  <c r="X19" i="6"/>
  <c r="X66" i="6"/>
  <c r="X50" i="6"/>
  <c r="X34" i="6"/>
  <c r="X18" i="6"/>
  <c r="X61" i="6"/>
  <c r="X45" i="6"/>
  <c r="X25" i="6"/>
  <c r="X68" i="6"/>
  <c r="X52" i="6"/>
  <c r="X36" i="6"/>
  <c r="X20" i="6"/>
  <c r="X63" i="6"/>
  <c r="X47" i="6"/>
  <c r="X31" i="6"/>
  <c r="X15" i="6"/>
  <c r="X62" i="6"/>
  <c r="X46" i="6"/>
  <c r="X30" i="6"/>
  <c r="X14" i="6"/>
  <c r="X57" i="6"/>
  <c r="X41" i="6"/>
  <c r="X21" i="6"/>
  <c r="X64" i="6"/>
  <c r="X48" i="6"/>
  <c r="X32" i="6"/>
  <c r="X16" i="6"/>
  <c r="X59" i="6"/>
  <c r="X43" i="6"/>
  <c r="X27" i="6"/>
  <c r="X11" i="6"/>
  <c r="X58" i="6"/>
  <c r="X42" i="6"/>
  <c r="X26" i="6"/>
  <c r="X10" i="6"/>
  <c r="AD8" i="5"/>
  <c r="AB7" i="6" s="1"/>
  <c r="AG8" i="5"/>
  <c r="AE7" i="6" s="1"/>
  <c r="AC8" i="5"/>
  <c r="AF8" i="5"/>
  <c r="AB8" i="5"/>
  <c r="AA7" i="6" s="1"/>
  <c r="AC7" i="6" s="1"/>
  <c r="AE8" i="5"/>
  <c r="AD7" i="6" s="1"/>
  <c r="AF7" i="6" s="1"/>
  <c r="AP8" i="5"/>
  <c r="AL8" i="5"/>
  <c r="AO8" i="5"/>
  <c r="AP7" i="6" s="1"/>
  <c r="AN8" i="5"/>
  <c r="AN7" i="6" s="1"/>
  <c r="AQ8" i="5"/>
  <c r="AQ7" i="6" s="1"/>
  <c r="AM8" i="5"/>
  <c r="AX8" i="5"/>
  <c r="AZ7" i="6" s="1"/>
  <c r="BA8" i="5"/>
  <c r="BC7" i="6" s="1"/>
  <c r="AW8" i="5"/>
  <c r="AZ8" i="5"/>
  <c r="AV8" i="5"/>
  <c r="AY7" i="6" s="1"/>
  <c r="BA7" i="6" s="1"/>
  <c r="AY8" i="5"/>
  <c r="BB7" i="6" s="1"/>
  <c r="BD7" i="6" s="1"/>
  <c r="AV4" i="6"/>
  <c r="AJ4" i="6"/>
  <c r="X4" i="6"/>
  <c r="BY12" i="5"/>
  <c r="BM11" i="6"/>
  <c r="A1" i="5"/>
  <c r="H13" i="10" l="1"/>
  <c r="L13" i="10" s="1"/>
  <c r="N5" i="7"/>
  <c r="BV111" i="6"/>
  <c r="AR7" i="6"/>
  <c r="Q111" i="6"/>
  <c r="DO6" i="6"/>
  <c r="H5" i="7"/>
  <c r="L5" i="7"/>
  <c r="DF6" i="6"/>
  <c r="CC111" i="6"/>
  <c r="DN6" i="6"/>
  <c r="AM7" i="6"/>
  <c r="AO7" i="6" s="1"/>
  <c r="AS7" i="6" s="1"/>
  <c r="AG7" i="6"/>
  <c r="BE7" i="6"/>
  <c r="D15" i="10"/>
  <c r="K5" i="7"/>
  <c r="DL6" i="6"/>
  <c r="J5" i="7"/>
  <c r="DJ6" i="6"/>
  <c r="I5" i="7"/>
  <c r="DH6" i="6"/>
  <c r="AW111" i="6"/>
  <c r="CQ6" i="6"/>
  <c r="DB6" i="6" s="1"/>
  <c r="Y111" i="6"/>
  <c r="CO6" i="6"/>
  <c r="CZ6" i="6" s="1"/>
  <c r="AK111" i="6"/>
  <c r="CP6" i="6"/>
  <c r="DA6" i="6" s="1"/>
  <c r="BY13" i="5"/>
  <c r="BM12" i="6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56" i="3" s="1"/>
  <c r="J157" i="3" s="1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223" i="3" s="1"/>
  <c r="J224" i="3" s="1"/>
  <c r="J225" i="3" s="1"/>
  <c r="J226" i="3" s="1"/>
  <c r="J227" i="3" s="1"/>
  <c r="J228" i="3" s="1"/>
  <c r="J229" i="3" s="1"/>
  <c r="J230" i="3" s="1"/>
  <c r="J231" i="3" s="1"/>
  <c r="J232" i="3" s="1"/>
  <c r="J23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J284" i="3" s="1"/>
  <c r="J285" i="3" s="1"/>
  <c r="J286" i="3" s="1"/>
  <c r="J287" i="3" s="1"/>
  <c r="J288" i="3" s="1"/>
  <c r="J289" i="3" s="1"/>
  <c r="J290" i="3" s="1"/>
  <c r="J291" i="3" s="1"/>
  <c r="J292" i="3" s="1"/>
  <c r="J293" i="3" s="1"/>
  <c r="J294" i="3" s="1"/>
  <c r="J295" i="3" s="1"/>
  <c r="J296" i="3" s="1"/>
  <c r="J297" i="3" s="1"/>
  <c r="J298" i="3" s="1"/>
  <c r="J299" i="3" s="1"/>
  <c r="J300" i="3" s="1"/>
  <c r="J301" i="3" s="1"/>
  <c r="J302" i="3" s="1"/>
  <c r="J303" i="3" s="1"/>
  <c r="J304" i="3" s="1"/>
  <c r="J305" i="3" s="1"/>
  <c r="J306" i="3" s="1"/>
  <c r="J307" i="3" s="1"/>
  <c r="J308" i="3" s="1"/>
  <c r="J309" i="3" s="1"/>
  <c r="J310" i="3" s="1"/>
  <c r="J311" i="3" s="1"/>
  <c r="J312" i="3" s="1"/>
  <c r="J313" i="3" s="1"/>
  <c r="J314" i="3" s="1"/>
  <c r="J315" i="3" s="1"/>
  <c r="J316" i="3" s="1"/>
  <c r="J317" i="3" s="1"/>
  <c r="J318" i="3" s="1"/>
  <c r="J319" i="3" s="1"/>
  <c r="J320" i="3" s="1"/>
  <c r="J321" i="3" s="1"/>
  <c r="J322" i="3" s="1"/>
  <c r="J323" i="3" s="1"/>
  <c r="J324" i="3" s="1"/>
  <c r="J325" i="3" s="1"/>
  <c r="J326" i="3" s="1"/>
  <c r="J327" i="3" s="1"/>
  <c r="J328" i="3" s="1"/>
  <c r="J329" i="3" s="1"/>
  <c r="J330" i="3" s="1"/>
  <c r="J331" i="3" s="1"/>
  <c r="J332" i="3" s="1"/>
  <c r="J333" i="3" s="1"/>
  <c r="J334" i="3" s="1"/>
  <c r="J335" i="3" s="1"/>
  <c r="J336" i="3" s="1"/>
  <c r="J337" i="3" s="1"/>
  <c r="J338" i="3" s="1"/>
  <c r="J339" i="3" s="1"/>
  <c r="J340" i="3" s="1"/>
  <c r="J341" i="3" s="1"/>
  <c r="J342" i="3" s="1"/>
  <c r="J343" i="3" s="1"/>
  <c r="J344" i="3" s="1"/>
  <c r="J345" i="3" s="1"/>
  <c r="J346" i="3" s="1"/>
  <c r="J347" i="3" s="1"/>
  <c r="J348" i="3" s="1"/>
  <c r="J349" i="3" s="1"/>
  <c r="J350" i="3" s="1"/>
  <c r="J351" i="3" s="1"/>
  <c r="J352" i="3" s="1"/>
  <c r="J353" i="3" s="1"/>
  <c r="J354" i="3" s="1"/>
  <c r="J355" i="3" s="1"/>
  <c r="J356" i="3" s="1"/>
  <c r="J357" i="3" s="1"/>
  <c r="J358" i="3" s="1"/>
  <c r="J359" i="3" s="1"/>
  <c r="J360" i="3" s="1"/>
  <c r="J361" i="3" s="1"/>
  <c r="J362" i="3" s="1"/>
  <c r="J363" i="3" s="1"/>
  <c r="J364" i="3" s="1"/>
  <c r="J365" i="3" s="1"/>
  <c r="J366" i="3" s="1"/>
  <c r="J367" i="3" s="1"/>
  <c r="J368" i="3" s="1"/>
  <c r="J369" i="3" s="1"/>
  <c r="J370" i="3" s="1"/>
  <c r="J371" i="3" s="1"/>
  <c r="J372" i="3" s="1"/>
  <c r="J373" i="3" s="1"/>
  <c r="J374" i="3" s="1"/>
  <c r="J375" i="3" s="1"/>
  <c r="J376" i="3" s="1"/>
  <c r="J377" i="3" s="1"/>
  <c r="J378" i="3" s="1"/>
  <c r="J379" i="3" s="1"/>
  <c r="J380" i="3" s="1"/>
  <c r="J381" i="3" s="1"/>
  <c r="J382" i="3" s="1"/>
  <c r="J383" i="3" s="1"/>
  <c r="J384" i="3" s="1"/>
  <c r="J385" i="3" s="1"/>
  <c r="J386" i="3" s="1"/>
  <c r="J387" i="3" s="1"/>
  <c r="J388" i="3" s="1"/>
  <c r="J389" i="3" s="1"/>
  <c r="J390" i="3" s="1"/>
  <c r="J391" i="3" s="1"/>
  <c r="J392" i="3" s="1"/>
  <c r="J393" i="3" s="1"/>
  <c r="J394" i="3" s="1"/>
  <c r="J395" i="3" s="1"/>
  <c r="J396" i="3" s="1"/>
  <c r="J397" i="3" s="1"/>
  <c r="J398" i="3" s="1"/>
  <c r="J399" i="3" s="1"/>
  <c r="J400" i="3" s="1"/>
  <c r="J401" i="3" s="1"/>
  <c r="J402" i="3" s="1"/>
  <c r="J403" i="3" s="1"/>
  <c r="J404" i="3" s="1"/>
  <c r="J405" i="3" s="1"/>
  <c r="J406" i="3" s="1"/>
  <c r="J407" i="3" s="1"/>
  <c r="J408" i="3" s="1"/>
  <c r="J409" i="3" s="1"/>
  <c r="J410" i="3" s="1"/>
  <c r="J411" i="3" s="1"/>
  <c r="J412" i="3" s="1"/>
  <c r="J413" i="3" s="1"/>
  <c r="J414" i="3" s="1"/>
  <c r="J415" i="3" s="1"/>
  <c r="J416" i="3" s="1"/>
  <c r="J417" i="3" s="1"/>
  <c r="J418" i="3" s="1"/>
  <c r="J419" i="3" s="1"/>
  <c r="J420" i="3" s="1"/>
  <c r="J421" i="3" s="1"/>
  <c r="J422" i="3" s="1"/>
  <c r="J423" i="3" s="1"/>
  <c r="J424" i="3" s="1"/>
  <c r="J425" i="3" s="1"/>
  <c r="J426" i="3" s="1"/>
  <c r="J427" i="3" s="1"/>
  <c r="J428" i="3" s="1"/>
  <c r="J429" i="3" s="1"/>
  <c r="J430" i="3" s="1"/>
  <c r="J431" i="3" s="1"/>
  <c r="J432" i="3" s="1"/>
  <c r="J433" i="3" s="1"/>
  <c r="J434" i="3" s="1"/>
  <c r="J435" i="3" s="1"/>
  <c r="J436" i="3" s="1"/>
  <c r="J437" i="3" s="1"/>
  <c r="J438" i="3" s="1"/>
  <c r="J439" i="3" s="1"/>
  <c r="J440" i="3" s="1"/>
  <c r="J441" i="3" s="1"/>
  <c r="J442" i="3" s="1"/>
  <c r="J443" i="3" s="1"/>
  <c r="J444" i="3" s="1"/>
  <c r="J445" i="3" s="1"/>
  <c r="J446" i="3" s="1"/>
  <c r="J447" i="3" s="1"/>
  <c r="J448" i="3" s="1"/>
  <c r="J449" i="3" s="1"/>
  <c r="J450" i="3" s="1"/>
  <c r="J451" i="3" s="1"/>
  <c r="J452" i="3" s="1"/>
  <c r="J453" i="3" s="1"/>
  <c r="J454" i="3" s="1"/>
  <c r="J455" i="3" s="1"/>
  <c r="J456" i="3" s="1"/>
  <c r="J457" i="3" s="1"/>
  <c r="J458" i="3" s="1"/>
  <c r="J459" i="3" s="1"/>
  <c r="J460" i="3" s="1"/>
  <c r="J461" i="3" s="1"/>
  <c r="J462" i="3" s="1"/>
  <c r="J463" i="3" s="1"/>
  <c r="J464" i="3" s="1"/>
  <c r="J465" i="3" s="1"/>
  <c r="J466" i="3" s="1"/>
  <c r="J467" i="3" s="1"/>
  <c r="J468" i="3" s="1"/>
  <c r="J469" i="3" s="1"/>
  <c r="J470" i="3" s="1"/>
  <c r="J471" i="3" s="1"/>
  <c r="J472" i="3" s="1"/>
  <c r="J473" i="3" s="1"/>
  <c r="J474" i="3" s="1"/>
  <c r="J475" i="3" s="1"/>
  <c r="J476" i="3" s="1"/>
  <c r="J477" i="3" s="1"/>
  <c r="J478" i="3" s="1"/>
  <c r="J479" i="3" s="1"/>
  <c r="J480" i="3" s="1"/>
  <c r="J481" i="3" s="1"/>
  <c r="J482" i="3" s="1"/>
  <c r="J483" i="3" s="1"/>
  <c r="J484" i="3" s="1"/>
  <c r="J485" i="3" s="1"/>
  <c r="J486" i="3" s="1"/>
  <c r="J487" i="3" s="1"/>
  <c r="J488" i="3" s="1"/>
  <c r="J489" i="3" s="1"/>
  <c r="J490" i="3" s="1"/>
  <c r="J491" i="3" s="1"/>
  <c r="J492" i="3" s="1"/>
  <c r="J493" i="3" s="1"/>
  <c r="J494" i="3" s="1"/>
  <c r="J495" i="3" s="1"/>
  <c r="J496" i="3" s="1"/>
  <c r="J497" i="3" s="1"/>
  <c r="J498" i="3" s="1"/>
  <c r="J499" i="3" s="1"/>
  <c r="J500" i="3" s="1"/>
  <c r="J501" i="3" s="1"/>
  <c r="J502" i="3" s="1"/>
  <c r="J503" i="3" s="1"/>
  <c r="J504" i="3" s="1"/>
  <c r="J505" i="3" s="1"/>
  <c r="J506" i="3" s="1"/>
  <c r="J507" i="3" s="1"/>
  <c r="J508" i="3" s="1"/>
  <c r="J509" i="3" s="1"/>
  <c r="J510" i="3" s="1"/>
  <c r="J511" i="3" s="1"/>
  <c r="J512" i="3" s="1"/>
  <c r="J513" i="3" s="1"/>
  <c r="J514" i="3" s="1"/>
  <c r="J515" i="3" s="1"/>
  <c r="J516" i="3" s="1"/>
  <c r="J517" i="3" s="1"/>
  <c r="J518" i="3" s="1"/>
  <c r="J519" i="3" s="1"/>
  <c r="J520" i="3" s="1"/>
  <c r="J521" i="3" s="1"/>
  <c r="J522" i="3" s="1"/>
  <c r="J523" i="3" s="1"/>
  <c r="J524" i="3" s="1"/>
  <c r="J525" i="3" s="1"/>
  <c r="J526" i="3" s="1"/>
  <c r="J527" i="3" s="1"/>
  <c r="J528" i="3" s="1"/>
  <c r="J529" i="3" s="1"/>
  <c r="J530" i="3" s="1"/>
  <c r="J531" i="3" s="1"/>
  <c r="J532" i="3" s="1"/>
  <c r="J533" i="3" s="1"/>
  <c r="J534" i="3" s="1"/>
  <c r="J535" i="3" s="1"/>
  <c r="J536" i="3" s="1"/>
  <c r="J537" i="3" s="1"/>
  <c r="J538" i="3" s="1"/>
  <c r="J539" i="3" s="1"/>
  <c r="J540" i="3" s="1"/>
  <c r="J541" i="3" s="1"/>
  <c r="J542" i="3" s="1"/>
  <c r="J543" i="3" s="1"/>
  <c r="J544" i="3" s="1"/>
  <c r="J545" i="3" s="1"/>
  <c r="J546" i="3" s="1"/>
  <c r="J547" i="3" s="1"/>
  <c r="J548" i="3" s="1"/>
  <c r="J549" i="3" s="1"/>
  <c r="J550" i="3" s="1"/>
  <c r="J551" i="3" s="1"/>
  <c r="J552" i="3" s="1"/>
  <c r="J553" i="3" s="1"/>
  <c r="J554" i="3" s="1"/>
  <c r="J555" i="3" s="1"/>
  <c r="J556" i="3" s="1"/>
  <c r="J557" i="3" s="1"/>
  <c r="J558" i="3" s="1"/>
  <c r="J559" i="3" s="1"/>
  <c r="J560" i="3" s="1"/>
  <c r="J561" i="3" s="1"/>
  <c r="J562" i="3" s="1"/>
  <c r="J563" i="3" s="1"/>
  <c r="J564" i="3" s="1"/>
  <c r="J565" i="3" s="1"/>
  <c r="J566" i="3" s="1"/>
  <c r="J567" i="3" s="1"/>
  <c r="J568" i="3" s="1"/>
  <c r="J569" i="3" s="1"/>
  <c r="J570" i="3" s="1"/>
  <c r="J571" i="3" s="1"/>
  <c r="J572" i="3" s="1"/>
  <c r="J573" i="3" s="1"/>
  <c r="J574" i="3" s="1"/>
  <c r="J575" i="3" s="1"/>
  <c r="J576" i="3" s="1"/>
  <c r="J577" i="3" s="1"/>
  <c r="J578" i="3" s="1"/>
  <c r="J579" i="3" s="1"/>
  <c r="J580" i="3" s="1"/>
  <c r="J581" i="3" s="1"/>
  <c r="J582" i="3" s="1"/>
  <c r="J583" i="3" s="1"/>
  <c r="J584" i="3" s="1"/>
  <c r="J585" i="3" s="1"/>
  <c r="J586" i="3" s="1"/>
  <c r="J587" i="3" s="1"/>
  <c r="J588" i="3" s="1"/>
  <c r="J589" i="3" s="1"/>
  <c r="J590" i="3" s="1"/>
  <c r="J591" i="3" s="1"/>
  <c r="J592" i="3" s="1"/>
  <c r="J593" i="3" s="1"/>
  <c r="J594" i="3" s="1"/>
  <c r="J595" i="3" s="1"/>
  <c r="J596" i="3" s="1"/>
  <c r="J597" i="3" s="1"/>
  <c r="J598" i="3" s="1"/>
  <c r="J599" i="3" s="1"/>
  <c r="J600" i="3" s="1"/>
  <c r="J601" i="3" s="1"/>
  <c r="J602" i="3" s="1"/>
  <c r="J603" i="3" s="1"/>
  <c r="J604" i="3" s="1"/>
  <c r="J605" i="3" s="1"/>
  <c r="J606" i="3" s="1"/>
  <c r="J607" i="3" s="1"/>
  <c r="J608" i="3" s="1"/>
  <c r="J609" i="3" s="1"/>
  <c r="J610" i="3" s="1"/>
  <c r="J611" i="3" s="1"/>
  <c r="J612" i="3" s="1"/>
  <c r="J613" i="3" s="1"/>
  <c r="J614" i="3" s="1"/>
  <c r="J615" i="3" s="1"/>
  <c r="J616" i="3" s="1"/>
  <c r="J617" i="3" s="1"/>
  <c r="J618" i="3" s="1"/>
  <c r="J619" i="3" s="1"/>
  <c r="J620" i="3" s="1"/>
  <c r="J621" i="3" s="1"/>
  <c r="J622" i="3" s="1"/>
  <c r="J623" i="3" s="1"/>
  <c r="J624" i="3" s="1"/>
  <c r="J625" i="3" s="1"/>
  <c r="J626" i="3" s="1"/>
  <c r="J627" i="3" s="1"/>
  <c r="J628" i="3" s="1"/>
  <c r="J629" i="3" s="1"/>
  <c r="J630" i="3" s="1"/>
  <c r="J631" i="3" s="1"/>
  <c r="J632" i="3" s="1"/>
  <c r="J633" i="3" s="1"/>
  <c r="J634" i="3" s="1"/>
  <c r="J635" i="3" s="1"/>
  <c r="J636" i="3" s="1"/>
  <c r="J637" i="3" s="1"/>
  <c r="J638" i="3" s="1"/>
  <c r="J639" i="3" s="1"/>
  <c r="J640" i="3" s="1"/>
  <c r="J641" i="3" s="1"/>
  <c r="J642" i="3" s="1"/>
  <c r="J643" i="3" s="1"/>
  <c r="J644" i="3" s="1"/>
  <c r="J645" i="3" s="1"/>
  <c r="J646" i="3" s="1"/>
  <c r="J647" i="3" s="1"/>
  <c r="J648" i="3" s="1"/>
  <c r="J649" i="3" s="1"/>
  <c r="J650" i="3" s="1"/>
  <c r="J651" i="3" s="1"/>
  <c r="J652" i="3" s="1"/>
  <c r="J653" i="3" s="1"/>
  <c r="J654" i="3" s="1"/>
  <c r="J655" i="3" s="1"/>
  <c r="J656" i="3" s="1"/>
  <c r="J657" i="3" s="1"/>
  <c r="J658" i="3" s="1"/>
  <c r="J659" i="3" s="1"/>
  <c r="J660" i="3" s="1"/>
  <c r="J661" i="3" s="1"/>
  <c r="J662" i="3" s="1"/>
  <c r="J663" i="3" s="1"/>
  <c r="J664" i="3" s="1"/>
  <c r="J665" i="3" s="1"/>
  <c r="J666" i="3" s="1"/>
  <c r="J667" i="3" s="1"/>
  <c r="J668" i="3" s="1"/>
  <c r="J669" i="3" s="1"/>
  <c r="J670" i="3" s="1"/>
  <c r="J671" i="3" s="1"/>
  <c r="J672" i="3" s="1"/>
  <c r="J673" i="3" s="1"/>
  <c r="J674" i="3" s="1"/>
  <c r="J675" i="3" s="1"/>
  <c r="J676" i="3" s="1"/>
  <c r="J677" i="3" s="1"/>
  <c r="J678" i="3" s="1"/>
  <c r="J679" i="3" s="1"/>
  <c r="J680" i="3" s="1"/>
  <c r="J681" i="3" s="1"/>
  <c r="J682" i="3" s="1"/>
  <c r="J683" i="3" s="1"/>
  <c r="J684" i="3" s="1"/>
  <c r="J685" i="3" s="1"/>
  <c r="J686" i="3" s="1"/>
  <c r="J687" i="3" s="1"/>
  <c r="J688" i="3" s="1"/>
  <c r="J689" i="3" s="1"/>
  <c r="J690" i="3" s="1"/>
  <c r="J691" i="3" s="1"/>
  <c r="J692" i="3" s="1"/>
  <c r="J693" i="3" s="1"/>
  <c r="J694" i="3" s="1"/>
  <c r="J695" i="3" s="1"/>
  <c r="J696" i="3" s="1"/>
  <c r="J697" i="3" s="1"/>
  <c r="J698" i="3" s="1"/>
  <c r="J699" i="3" s="1"/>
  <c r="J700" i="3" s="1"/>
  <c r="J701" i="3" s="1"/>
  <c r="J702" i="3" s="1"/>
  <c r="J703" i="3" s="1"/>
  <c r="J704" i="3" s="1"/>
  <c r="J705" i="3" s="1"/>
  <c r="J706" i="3" s="1"/>
  <c r="J707" i="3" s="1"/>
  <c r="J708" i="3" s="1"/>
  <c r="J709" i="3" s="1"/>
  <c r="J710" i="3" s="1"/>
  <c r="J711" i="3" s="1"/>
  <c r="J712" i="3" s="1"/>
  <c r="J713" i="3" s="1"/>
  <c r="J714" i="3" s="1"/>
  <c r="J715" i="3" s="1"/>
  <c r="J716" i="3" s="1"/>
  <c r="J717" i="3" s="1"/>
  <c r="J718" i="3" s="1"/>
  <c r="J719" i="3" s="1"/>
  <c r="J720" i="3" s="1"/>
  <c r="J721" i="3" s="1"/>
  <c r="J722" i="3" s="1"/>
  <c r="J723" i="3" s="1"/>
  <c r="J724" i="3" s="1"/>
  <c r="J725" i="3" s="1"/>
  <c r="J726" i="3" s="1"/>
  <c r="J727" i="3" s="1"/>
  <c r="J728" i="3" s="1"/>
  <c r="J729" i="3" s="1"/>
  <c r="J730" i="3" s="1"/>
  <c r="J731" i="3" s="1"/>
  <c r="J732" i="3" s="1"/>
  <c r="J733" i="3" s="1"/>
  <c r="J734" i="3" s="1"/>
  <c r="J735" i="3" s="1"/>
  <c r="J736" i="3" s="1"/>
  <c r="J737" i="3" s="1"/>
  <c r="J738" i="3" s="1"/>
  <c r="J739" i="3" s="1"/>
  <c r="J740" i="3" s="1"/>
  <c r="J741" i="3" s="1"/>
  <c r="J742" i="3" s="1"/>
  <c r="J743" i="3" s="1"/>
  <c r="J744" i="3" s="1"/>
  <c r="J745" i="3" s="1"/>
  <c r="J746" i="3" s="1"/>
  <c r="J747" i="3" s="1"/>
  <c r="J748" i="3" s="1"/>
  <c r="J749" i="3" s="1"/>
  <c r="J750" i="3" s="1"/>
  <c r="J751" i="3" s="1"/>
  <c r="J752" i="3" s="1"/>
  <c r="J753" i="3" s="1"/>
  <c r="J754" i="3" s="1"/>
  <c r="J755" i="3" s="1"/>
  <c r="J756" i="3" s="1"/>
  <c r="J757" i="3" s="1"/>
  <c r="J758" i="3" s="1"/>
  <c r="J759" i="3" s="1"/>
  <c r="J760" i="3" s="1"/>
  <c r="J761" i="3" s="1"/>
  <c r="J762" i="3" s="1"/>
  <c r="J763" i="3" s="1"/>
  <c r="J764" i="3" s="1"/>
  <c r="J765" i="3" s="1"/>
  <c r="J766" i="3" s="1"/>
  <c r="J767" i="3" s="1"/>
  <c r="J768" i="3" s="1"/>
  <c r="J769" i="3" s="1"/>
  <c r="J770" i="3" s="1"/>
  <c r="J771" i="3" s="1"/>
  <c r="J772" i="3" s="1"/>
  <c r="J773" i="3" s="1"/>
  <c r="J774" i="3" s="1"/>
  <c r="J775" i="3" s="1"/>
  <c r="J776" i="3" s="1"/>
  <c r="J777" i="3" s="1"/>
  <c r="J778" i="3" s="1"/>
  <c r="J779" i="3" s="1"/>
  <c r="J780" i="3" s="1"/>
  <c r="J781" i="3" s="1"/>
  <c r="J782" i="3" s="1"/>
  <c r="J783" i="3" s="1"/>
  <c r="J784" i="3" s="1"/>
  <c r="J785" i="3" s="1"/>
  <c r="J786" i="3" s="1"/>
  <c r="J787" i="3" s="1"/>
  <c r="J788" i="3" s="1"/>
  <c r="J789" i="3" s="1"/>
  <c r="J790" i="3" s="1"/>
  <c r="J791" i="3" s="1"/>
  <c r="J792" i="3" s="1"/>
  <c r="J793" i="3" s="1"/>
  <c r="J794" i="3" s="1"/>
  <c r="J795" i="3" s="1"/>
  <c r="J796" i="3" s="1"/>
  <c r="J797" i="3" s="1"/>
  <c r="J798" i="3" s="1"/>
  <c r="J799" i="3" s="1"/>
  <c r="J800" i="3" s="1"/>
  <c r="J801" i="3" s="1"/>
  <c r="J802" i="3" s="1"/>
  <c r="J803" i="3" s="1"/>
  <c r="J804" i="3" s="1"/>
  <c r="J805" i="3" s="1"/>
  <c r="J806" i="3" s="1"/>
  <c r="J807" i="3" s="1"/>
  <c r="J808" i="3" s="1"/>
  <c r="J809" i="3" s="1"/>
  <c r="J810" i="3" s="1"/>
  <c r="J811" i="3" s="1"/>
  <c r="J812" i="3" s="1"/>
  <c r="J813" i="3" s="1"/>
  <c r="J814" i="3" s="1"/>
  <c r="J815" i="3" s="1"/>
  <c r="J816" i="3" s="1"/>
  <c r="J817" i="3" s="1"/>
  <c r="J818" i="3" s="1"/>
  <c r="J819" i="3" s="1"/>
  <c r="J820" i="3" s="1"/>
  <c r="J821" i="3" s="1"/>
  <c r="J822" i="3" s="1"/>
  <c r="J823" i="3" s="1"/>
  <c r="J824" i="3" s="1"/>
  <c r="J825" i="3" s="1"/>
  <c r="J826" i="3" s="1"/>
  <c r="J827" i="3" s="1"/>
  <c r="J828" i="3" s="1"/>
  <c r="J829" i="3" s="1"/>
  <c r="J830" i="3" s="1"/>
  <c r="J831" i="3" s="1"/>
  <c r="J832" i="3" s="1"/>
  <c r="J833" i="3" s="1"/>
  <c r="J834" i="3" s="1"/>
  <c r="J835" i="3" s="1"/>
  <c r="J836" i="3" s="1"/>
  <c r="J837" i="3" s="1"/>
  <c r="J838" i="3" s="1"/>
  <c r="J839" i="3" s="1"/>
  <c r="J840" i="3" s="1"/>
  <c r="J841" i="3" s="1"/>
  <c r="J842" i="3" s="1"/>
  <c r="J843" i="3" s="1"/>
  <c r="J844" i="3" s="1"/>
  <c r="J845" i="3" s="1"/>
  <c r="J846" i="3" s="1"/>
  <c r="J847" i="3" s="1"/>
  <c r="J848" i="3" s="1"/>
  <c r="J849" i="3" s="1"/>
  <c r="J850" i="3" s="1"/>
  <c r="J851" i="3" s="1"/>
  <c r="J852" i="3" s="1"/>
  <c r="J853" i="3" s="1"/>
  <c r="J854" i="3" s="1"/>
  <c r="J855" i="3" s="1"/>
  <c r="J856" i="3" s="1"/>
  <c r="J857" i="3" s="1"/>
  <c r="J858" i="3" s="1"/>
  <c r="J859" i="3" s="1"/>
  <c r="J860" i="3" s="1"/>
  <c r="J861" i="3" s="1"/>
  <c r="J862" i="3" s="1"/>
  <c r="J863" i="3" s="1"/>
  <c r="J864" i="3" s="1"/>
  <c r="J865" i="3" s="1"/>
  <c r="J866" i="3" s="1"/>
  <c r="J867" i="3" s="1"/>
  <c r="J868" i="3" s="1"/>
  <c r="J869" i="3" s="1"/>
  <c r="J870" i="3" s="1"/>
  <c r="J871" i="3" s="1"/>
  <c r="J872" i="3" s="1"/>
  <c r="J873" i="3" s="1"/>
  <c r="J874" i="3" s="1"/>
  <c r="J875" i="3" s="1"/>
  <c r="J876" i="3" s="1"/>
  <c r="J877" i="3" s="1"/>
  <c r="J878" i="3" s="1"/>
  <c r="J879" i="3" s="1"/>
  <c r="J880" i="3" s="1"/>
  <c r="J881" i="3" s="1"/>
  <c r="J882" i="3" s="1"/>
  <c r="J883" i="3" s="1"/>
  <c r="J884" i="3" s="1"/>
  <c r="J885" i="3" s="1"/>
  <c r="J886" i="3" s="1"/>
  <c r="J887" i="3" s="1"/>
  <c r="J888" i="3" s="1"/>
  <c r="J889" i="3" s="1"/>
  <c r="J890" i="3" s="1"/>
  <c r="J891" i="3" s="1"/>
  <c r="J892" i="3" s="1"/>
  <c r="J893" i="3" s="1"/>
  <c r="J894" i="3" s="1"/>
  <c r="J895" i="3" s="1"/>
  <c r="J896" i="3" s="1"/>
  <c r="J897" i="3" s="1"/>
  <c r="J898" i="3" s="1"/>
  <c r="J899" i="3" s="1"/>
  <c r="J900" i="3" s="1"/>
  <c r="J901" i="3" s="1"/>
  <c r="J902" i="3" s="1"/>
  <c r="J903" i="3" s="1"/>
  <c r="J904" i="3" s="1"/>
  <c r="J905" i="3" s="1"/>
  <c r="J906" i="3" s="1"/>
  <c r="J907" i="3" s="1"/>
  <c r="J908" i="3" s="1"/>
  <c r="J909" i="3" s="1"/>
  <c r="J910" i="3" s="1"/>
  <c r="J911" i="3" s="1"/>
  <c r="J912" i="3" s="1"/>
  <c r="J913" i="3" s="1"/>
  <c r="J914" i="3" s="1"/>
  <c r="J915" i="3" s="1"/>
  <c r="J916" i="3" s="1"/>
  <c r="J917" i="3" s="1"/>
  <c r="J918" i="3" s="1"/>
  <c r="J919" i="3" s="1"/>
  <c r="J920" i="3" s="1"/>
  <c r="J921" i="3" s="1"/>
  <c r="J922" i="3" s="1"/>
  <c r="J923" i="3" s="1"/>
  <c r="J924" i="3" s="1"/>
  <c r="J925" i="3" s="1"/>
  <c r="J926" i="3" s="1"/>
  <c r="J927" i="3" s="1"/>
  <c r="J928" i="3" s="1"/>
  <c r="J929" i="3" s="1"/>
  <c r="J930" i="3" s="1"/>
  <c r="J931" i="3" s="1"/>
  <c r="J932" i="3" s="1"/>
  <c r="J933" i="3" s="1"/>
  <c r="J934" i="3" s="1"/>
  <c r="J935" i="3" s="1"/>
  <c r="J936" i="3" s="1"/>
  <c r="J937" i="3" s="1"/>
  <c r="J938" i="3" s="1"/>
  <c r="J939" i="3" s="1"/>
  <c r="J940" i="3" s="1"/>
  <c r="J941" i="3" s="1"/>
  <c r="J942" i="3" s="1"/>
  <c r="J943" i="3" s="1"/>
  <c r="J944" i="3" s="1"/>
  <c r="J945" i="3" s="1"/>
  <c r="J946" i="3" s="1"/>
  <c r="J947" i="3" s="1"/>
  <c r="J948" i="3" s="1"/>
  <c r="J949" i="3" s="1"/>
  <c r="J950" i="3" s="1"/>
  <c r="J951" i="3" s="1"/>
  <c r="J952" i="3" s="1"/>
  <c r="J953" i="3" s="1"/>
  <c r="J954" i="3" s="1"/>
  <c r="J955" i="3" s="1"/>
  <c r="J956" i="3" s="1"/>
  <c r="J957" i="3" s="1"/>
  <c r="J958" i="3" s="1"/>
  <c r="J959" i="3" s="1"/>
  <c r="J960" i="3" s="1"/>
  <c r="J961" i="3" s="1"/>
  <c r="J962" i="3" s="1"/>
  <c r="J963" i="3" s="1"/>
  <c r="J964" i="3" s="1"/>
  <c r="J965" i="3" s="1"/>
  <c r="J966" i="3" s="1"/>
  <c r="J967" i="3" s="1"/>
  <c r="J968" i="3" s="1"/>
  <c r="J969" i="3" s="1"/>
  <c r="J970" i="3" s="1"/>
  <c r="J971" i="3" s="1"/>
  <c r="J972" i="3" s="1"/>
  <c r="J973" i="3" s="1"/>
  <c r="J974" i="3" s="1"/>
  <c r="J975" i="3" s="1"/>
  <c r="J976" i="3" s="1"/>
  <c r="J977" i="3" s="1"/>
  <c r="J978" i="3" s="1"/>
  <c r="J979" i="3" s="1"/>
  <c r="J980" i="3" s="1"/>
  <c r="J981" i="3" s="1"/>
  <c r="J982" i="3" s="1"/>
  <c r="J983" i="3" s="1"/>
  <c r="J984" i="3" s="1"/>
  <c r="J985" i="3" s="1"/>
  <c r="J986" i="3" s="1"/>
  <c r="J987" i="3" s="1"/>
  <c r="J988" i="3" s="1"/>
  <c r="J989" i="3" s="1"/>
  <c r="J990" i="3" s="1"/>
  <c r="J991" i="3" s="1"/>
  <c r="J992" i="3" s="1"/>
  <c r="J993" i="3" s="1"/>
  <c r="J994" i="3" s="1"/>
  <c r="J995" i="3" s="1"/>
  <c r="J996" i="3" s="1"/>
  <c r="J997" i="3" s="1"/>
  <c r="J998" i="3" s="1"/>
  <c r="J999" i="3" s="1"/>
  <c r="J1000" i="3" s="1"/>
  <c r="J1001" i="3" s="1"/>
  <c r="J1002" i="3" s="1"/>
  <c r="J1003" i="3" s="1"/>
  <c r="J1004" i="3" s="1"/>
  <c r="J1005" i="3" s="1"/>
  <c r="J1006" i="3" s="1"/>
  <c r="J1007" i="3" s="1"/>
  <c r="J1008" i="3" s="1"/>
  <c r="J1009" i="3" s="1"/>
  <c r="J1010" i="3" s="1"/>
  <c r="J1011" i="3" s="1"/>
  <c r="J1012" i="3" s="1"/>
  <c r="J1013" i="3" s="1"/>
  <c r="J1014" i="3" s="1"/>
  <c r="J1015" i="3" s="1"/>
  <c r="J1016" i="3" s="1"/>
  <c r="J1017" i="3" s="1"/>
  <c r="J1018" i="3" s="1"/>
  <c r="J1019" i="3" s="1"/>
  <c r="J1020" i="3" s="1"/>
  <c r="J1021" i="3" s="1"/>
  <c r="J1022" i="3" s="1"/>
  <c r="J1023" i="3" s="1"/>
  <c r="J1024" i="3" s="1"/>
  <c r="J1025" i="3" s="1"/>
  <c r="J1026" i="3" s="1"/>
  <c r="J1027" i="3" s="1"/>
  <c r="J1028" i="3" s="1"/>
  <c r="J1029" i="3" s="1"/>
  <c r="J1030" i="3" s="1"/>
  <c r="J1031" i="3" s="1"/>
  <c r="J1032" i="3" s="1"/>
  <c r="J1033" i="3" s="1"/>
  <c r="J1034" i="3" s="1"/>
  <c r="J1035" i="3" s="1"/>
  <c r="J1036" i="3" s="1"/>
  <c r="J1037" i="3" s="1"/>
  <c r="J1038" i="3" s="1"/>
  <c r="J1039" i="3" s="1"/>
  <c r="J1040" i="3" s="1"/>
  <c r="J1041" i="3" s="1"/>
  <c r="J1042" i="3" s="1"/>
  <c r="J1043" i="3" s="1"/>
  <c r="J1044" i="3" s="1"/>
  <c r="J1045" i="3" s="1"/>
  <c r="J1046" i="3" s="1"/>
  <c r="J1047" i="3" s="1"/>
  <c r="J1048" i="3" s="1"/>
  <c r="J1049" i="3" s="1"/>
  <c r="J1050" i="3" s="1"/>
  <c r="J1051" i="3" s="1"/>
  <c r="J1052" i="3" s="1"/>
  <c r="J1053" i="3" s="1"/>
  <c r="J1054" i="3" s="1"/>
  <c r="J1055" i="3" s="1"/>
  <c r="J1056" i="3" s="1"/>
  <c r="J1057" i="3" s="1"/>
  <c r="J1058" i="3" s="1"/>
  <c r="J1059" i="3" s="1"/>
  <c r="J1060" i="3" s="1"/>
  <c r="J1061" i="3" s="1"/>
  <c r="J1062" i="3" s="1"/>
  <c r="J1063" i="3" s="1"/>
  <c r="J1064" i="3" s="1"/>
  <c r="J1065" i="3" s="1"/>
  <c r="J1066" i="3" s="1"/>
  <c r="J1067" i="3" s="1"/>
  <c r="J1068" i="3" s="1"/>
  <c r="J1069" i="3" s="1"/>
  <c r="J1070" i="3" s="1"/>
  <c r="J1071" i="3" s="1"/>
  <c r="J1072" i="3" s="1"/>
  <c r="J1073" i="3" s="1"/>
  <c r="J1074" i="3" s="1"/>
  <c r="J1075" i="3" s="1"/>
  <c r="J1076" i="3" s="1"/>
  <c r="J1077" i="3" s="1"/>
  <c r="J1078" i="3" s="1"/>
  <c r="J1079" i="3" s="1"/>
  <c r="J1080" i="3" s="1"/>
  <c r="J1081" i="3" s="1"/>
  <c r="J1082" i="3" s="1"/>
  <c r="J1083" i="3" s="1"/>
  <c r="J1084" i="3" s="1"/>
  <c r="J1085" i="3" s="1"/>
  <c r="J1086" i="3" s="1"/>
  <c r="J1087" i="3" s="1"/>
  <c r="J1088" i="3" s="1"/>
  <c r="J1089" i="3" s="1"/>
  <c r="J1090" i="3" s="1"/>
  <c r="J1091" i="3" s="1"/>
  <c r="J1092" i="3" s="1"/>
  <c r="J1093" i="3" s="1"/>
  <c r="J1094" i="3" s="1"/>
  <c r="J1095" i="3" s="1"/>
  <c r="J1096" i="3" s="1"/>
  <c r="J1097" i="3" s="1"/>
  <c r="J1098" i="3" s="1"/>
  <c r="J1099" i="3" s="1"/>
  <c r="J1100" i="3" s="1"/>
  <c r="J1101" i="3" s="1"/>
  <c r="J1102" i="3" s="1"/>
  <c r="J1103" i="3" s="1"/>
  <c r="J1104" i="3" s="1"/>
  <c r="J1105" i="3" s="1"/>
  <c r="J1106" i="3" s="1"/>
  <c r="J1107" i="3" s="1"/>
  <c r="J1108" i="3" s="1"/>
  <c r="J1109" i="3" s="1"/>
  <c r="J1110" i="3" s="1"/>
  <c r="J1111" i="3" s="1"/>
  <c r="J1112" i="3" s="1"/>
  <c r="J1113" i="3" s="1"/>
  <c r="J1114" i="3" s="1"/>
  <c r="J1115" i="3" s="1"/>
  <c r="J1116" i="3" s="1"/>
  <c r="J1117" i="3" s="1"/>
  <c r="J1118" i="3" s="1"/>
  <c r="J1119" i="3" s="1"/>
  <c r="J1120" i="3" s="1"/>
  <c r="J1121" i="3" s="1"/>
  <c r="J1122" i="3" s="1"/>
  <c r="J1123" i="3" s="1"/>
  <c r="J1124" i="3" s="1"/>
  <c r="J1125" i="3" s="1"/>
  <c r="J1126" i="3" s="1"/>
  <c r="J1127" i="3" s="1"/>
  <c r="J1128" i="3" s="1"/>
  <c r="J1129" i="3" s="1"/>
  <c r="J1130" i="3" s="1"/>
  <c r="J1131" i="3" s="1"/>
  <c r="J1132" i="3" s="1"/>
  <c r="J1133" i="3" s="1"/>
  <c r="J1134" i="3" s="1"/>
  <c r="J1135" i="3" s="1"/>
  <c r="J1136" i="3" s="1"/>
  <c r="J1137" i="3" s="1"/>
  <c r="J1138" i="3" s="1"/>
  <c r="J1139" i="3" s="1"/>
  <c r="J1140" i="3" s="1"/>
  <c r="J1141" i="3" s="1"/>
  <c r="J1142" i="3" s="1"/>
  <c r="J1143" i="3" s="1"/>
  <c r="J1144" i="3" s="1"/>
  <c r="J1145" i="3" s="1"/>
  <c r="J1146" i="3" s="1"/>
  <c r="J1147" i="3" s="1"/>
  <c r="J1148" i="3" s="1"/>
  <c r="J1149" i="3" s="1"/>
  <c r="J1150" i="3" s="1"/>
  <c r="J1151" i="3" s="1"/>
  <c r="J1152" i="3" s="1"/>
  <c r="J1153" i="3" s="1"/>
  <c r="J1154" i="3" s="1"/>
  <c r="J1155" i="3" s="1"/>
  <c r="J1156" i="3" s="1"/>
  <c r="J1157" i="3" s="1"/>
  <c r="J1158" i="3" s="1"/>
  <c r="J1159" i="3" s="1"/>
  <c r="J1160" i="3" s="1"/>
  <c r="J1161" i="3" s="1"/>
  <c r="J1162" i="3" s="1"/>
  <c r="J1163" i="3" s="1"/>
  <c r="J1164" i="3" s="1"/>
  <c r="J1165" i="3" s="1"/>
  <c r="J1166" i="3" s="1"/>
  <c r="J1167" i="3" s="1"/>
  <c r="J1168" i="3" s="1"/>
  <c r="J1169" i="3" s="1"/>
  <c r="J1170" i="3" s="1"/>
  <c r="J1171" i="3" s="1"/>
  <c r="J1172" i="3" s="1"/>
  <c r="J1173" i="3" s="1"/>
  <c r="J1174" i="3" s="1"/>
  <c r="J1175" i="3" s="1"/>
  <c r="J1176" i="3" s="1"/>
  <c r="J1177" i="3" s="1"/>
  <c r="J1178" i="3" s="1"/>
  <c r="J1179" i="3" s="1"/>
  <c r="J1180" i="3" s="1"/>
  <c r="J1181" i="3" s="1"/>
  <c r="J1182" i="3" s="1"/>
  <c r="J1183" i="3" s="1"/>
  <c r="J1184" i="3" s="1"/>
  <c r="J1185" i="3" s="1"/>
  <c r="J1186" i="3" s="1"/>
  <c r="J1187" i="3" s="1"/>
  <c r="J1188" i="3" s="1"/>
  <c r="J1189" i="3" s="1"/>
  <c r="J1190" i="3" s="1"/>
  <c r="J1191" i="3" s="1"/>
  <c r="J1192" i="3" s="1"/>
  <c r="J1193" i="3" s="1"/>
  <c r="J1194" i="3" s="1"/>
  <c r="J1195" i="3" s="1"/>
  <c r="J1196" i="3" s="1"/>
  <c r="J1197" i="3" s="1"/>
  <c r="J1198" i="3" s="1"/>
  <c r="J1199" i="3" s="1"/>
  <c r="J1200" i="3" s="1"/>
  <c r="J1201" i="3" s="1"/>
  <c r="J1202" i="3" s="1"/>
  <c r="J1203" i="3" s="1"/>
  <c r="J1204" i="3" s="1"/>
  <c r="J1205" i="3" s="1"/>
  <c r="J1206" i="3" s="1"/>
  <c r="J1207" i="3" s="1"/>
  <c r="J1208" i="3" s="1"/>
  <c r="J1209" i="3" s="1"/>
  <c r="J1210" i="3" s="1"/>
  <c r="J1211" i="3" s="1"/>
  <c r="J1212" i="3" s="1"/>
  <c r="J1213" i="3" s="1"/>
  <c r="J1214" i="3" s="1"/>
  <c r="J1215" i="3" s="1"/>
  <c r="J1216" i="3" s="1"/>
  <c r="J1217" i="3" s="1"/>
  <c r="J1218" i="3" s="1"/>
  <c r="J1219" i="3" s="1"/>
  <c r="J1220" i="3" s="1"/>
  <c r="J1221" i="3" s="1"/>
  <c r="J1222" i="3" s="1"/>
  <c r="J1223" i="3" s="1"/>
  <c r="J1224" i="3" s="1"/>
  <c r="J1225" i="3" s="1"/>
  <c r="J1226" i="3" s="1"/>
  <c r="J1227" i="3" s="1"/>
  <c r="J1228" i="3" s="1"/>
  <c r="J1229" i="3" s="1"/>
  <c r="J1230" i="3" s="1"/>
  <c r="J1231" i="3" s="1"/>
  <c r="J1232" i="3" s="1"/>
  <c r="J1233" i="3" s="1"/>
  <c r="J1234" i="3" s="1"/>
  <c r="J1235" i="3" s="1"/>
  <c r="J1236" i="3" s="1"/>
  <c r="J1237" i="3" s="1"/>
  <c r="J1238" i="3" s="1"/>
  <c r="J1239" i="3" s="1"/>
  <c r="J1240" i="3" s="1"/>
  <c r="J1241" i="3" s="1"/>
  <c r="J1242" i="3" s="1"/>
  <c r="J1243" i="3" s="1"/>
  <c r="J1244" i="3" s="1"/>
  <c r="J1245" i="3" s="1"/>
  <c r="J1246" i="3" s="1"/>
  <c r="J1247" i="3" s="1"/>
  <c r="J1248" i="3" s="1"/>
  <c r="J1249" i="3" s="1"/>
  <c r="J1250" i="3" s="1"/>
  <c r="J1251" i="3" s="1"/>
  <c r="J1252" i="3" s="1"/>
  <c r="J1253" i="3" s="1"/>
  <c r="J1254" i="3" s="1"/>
  <c r="J1255" i="3" s="1"/>
  <c r="J1256" i="3" s="1"/>
  <c r="J1257" i="3" s="1"/>
  <c r="J1258" i="3" s="1"/>
  <c r="J1259" i="3" s="1"/>
  <c r="J1260" i="3" s="1"/>
  <c r="J1261" i="3" s="1"/>
  <c r="J1262" i="3" s="1"/>
  <c r="J1263" i="3" s="1"/>
  <c r="J1264" i="3" s="1"/>
  <c r="J1265" i="3" s="1"/>
  <c r="J1266" i="3" s="1"/>
  <c r="J1267" i="3" s="1"/>
  <c r="J1268" i="3" s="1"/>
  <c r="J1269" i="3" s="1"/>
  <c r="J1270" i="3" s="1"/>
  <c r="J1271" i="3" s="1"/>
  <c r="J1272" i="3" s="1"/>
  <c r="J1273" i="3" s="1"/>
  <c r="J1274" i="3" s="1"/>
  <c r="J1275" i="3" s="1"/>
  <c r="J1276" i="3" s="1"/>
  <c r="J1277" i="3" s="1"/>
  <c r="J1278" i="3" s="1"/>
  <c r="J1279" i="3" s="1"/>
  <c r="J1280" i="3" s="1"/>
  <c r="J1281" i="3" s="1"/>
  <c r="J1282" i="3" s="1"/>
  <c r="J1283" i="3" s="1"/>
  <c r="J1284" i="3" s="1"/>
  <c r="J1285" i="3" s="1"/>
  <c r="J1286" i="3" s="1"/>
  <c r="J1287" i="3" s="1"/>
  <c r="J1288" i="3" s="1"/>
  <c r="J1289" i="3" s="1"/>
  <c r="J1290" i="3" s="1"/>
  <c r="J1291" i="3" s="1"/>
  <c r="J1292" i="3" s="1"/>
  <c r="J1293" i="3" s="1"/>
  <c r="J1294" i="3" s="1"/>
  <c r="J1295" i="3" s="1"/>
  <c r="J1296" i="3" s="1"/>
  <c r="J1297" i="3" s="1"/>
  <c r="J1298" i="3" s="1"/>
  <c r="J1299" i="3" s="1"/>
  <c r="J1300" i="3" s="1"/>
  <c r="J1301" i="3" s="1"/>
  <c r="J1302" i="3" s="1"/>
  <c r="J1303" i="3" s="1"/>
  <c r="J1304" i="3" s="1"/>
  <c r="J1305" i="3" s="1"/>
  <c r="J1306" i="3" s="1"/>
  <c r="J1307" i="3" s="1"/>
  <c r="J1308" i="3" s="1"/>
  <c r="J1309" i="3" s="1"/>
  <c r="J1310" i="3" s="1"/>
  <c r="J1311" i="3" s="1"/>
  <c r="J1312" i="3" s="1"/>
  <c r="J1313" i="3" s="1"/>
  <c r="J1314" i="3" s="1"/>
  <c r="J1315" i="3" s="1"/>
  <c r="J1316" i="3" s="1"/>
  <c r="J1317" i="3" s="1"/>
  <c r="J1318" i="3" s="1"/>
  <c r="J1319" i="3" s="1"/>
  <c r="J1320" i="3" s="1"/>
  <c r="J1321" i="3" s="1"/>
  <c r="J1322" i="3" s="1"/>
  <c r="J1323" i="3" s="1"/>
  <c r="J1324" i="3" s="1"/>
  <c r="J1325" i="3" s="1"/>
  <c r="J1326" i="3" s="1"/>
  <c r="J1327" i="3" s="1"/>
  <c r="J1328" i="3" s="1"/>
  <c r="J1329" i="3" s="1"/>
  <c r="J1330" i="3" s="1"/>
  <c r="J1331" i="3" s="1"/>
  <c r="J1332" i="3" s="1"/>
  <c r="J1333" i="3" s="1"/>
  <c r="J1334" i="3" s="1"/>
  <c r="J1335" i="3" s="1"/>
  <c r="J1336" i="3" s="1"/>
  <c r="J1337" i="3" s="1"/>
  <c r="J1338" i="3" s="1"/>
  <c r="J1339" i="3" s="1"/>
  <c r="J1340" i="3" s="1"/>
  <c r="J1341" i="3" s="1"/>
  <c r="J1342" i="3" s="1"/>
  <c r="J1343" i="3" s="1"/>
  <c r="J1344" i="3" s="1"/>
  <c r="J1345" i="3" s="1"/>
  <c r="J1346" i="3" s="1"/>
  <c r="J1347" i="3" s="1"/>
  <c r="J1348" i="3" s="1"/>
  <c r="J1349" i="3" s="1"/>
  <c r="J1350" i="3" s="1"/>
  <c r="J1351" i="3" s="1"/>
  <c r="J1352" i="3" s="1"/>
  <c r="J1353" i="3" s="1"/>
  <c r="J1354" i="3" s="1"/>
  <c r="J1355" i="3" s="1"/>
  <c r="J1356" i="3" s="1"/>
  <c r="J1357" i="3" s="1"/>
  <c r="J1358" i="3" s="1"/>
  <c r="J1359" i="3" s="1"/>
  <c r="J1360" i="3" s="1"/>
  <c r="J1361" i="3" s="1"/>
  <c r="J1362" i="3" s="1"/>
  <c r="J1363" i="3" s="1"/>
  <c r="J1364" i="3" s="1"/>
  <c r="J1365" i="3" s="1"/>
  <c r="J1366" i="3" s="1"/>
  <c r="J1367" i="3" s="1"/>
  <c r="J1368" i="3" s="1"/>
  <c r="J1369" i="3" s="1"/>
  <c r="J1370" i="3" s="1"/>
  <c r="J1371" i="3" s="1"/>
  <c r="J1372" i="3" s="1"/>
  <c r="J1373" i="3" s="1"/>
  <c r="J1374" i="3" s="1"/>
  <c r="J1375" i="3" s="1"/>
  <c r="J1376" i="3" s="1"/>
  <c r="J1377" i="3" s="1"/>
  <c r="J1378" i="3" s="1"/>
  <c r="J1379" i="3" s="1"/>
  <c r="J1380" i="3" s="1"/>
  <c r="J1381" i="3" s="1"/>
  <c r="J1382" i="3" s="1"/>
  <c r="J1383" i="3" s="1"/>
  <c r="J1384" i="3" s="1"/>
  <c r="J1385" i="3" s="1"/>
  <c r="J1386" i="3" s="1"/>
  <c r="J1387" i="3" s="1"/>
  <c r="J1388" i="3" s="1"/>
  <c r="J1389" i="3" s="1"/>
  <c r="J1390" i="3" s="1"/>
  <c r="J1391" i="3" s="1"/>
  <c r="J1392" i="3" s="1"/>
  <c r="J1393" i="3" s="1"/>
  <c r="J1394" i="3" s="1"/>
  <c r="J1395" i="3" s="1"/>
  <c r="J1396" i="3" s="1"/>
  <c r="J1397" i="3" s="1"/>
  <c r="J1398" i="3" s="1"/>
  <c r="J1399" i="3" s="1"/>
  <c r="J1400" i="3" s="1"/>
  <c r="J1401" i="3" s="1"/>
  <c r="J1402" i="3" s="1"/>
  <c r="J1403" i="3" s="1"/>
  <c r="J1404" i="3" s="1"/>
  <c r="J1405" i="3" s="1"/>
  <c r="J1406" i="3" s="1"/>
  <c r="J1407" i="3" s="1"/>
  <c r="J1408" i="3" s="1"/>
  <c r="J1409" i="3" s="1"/>
  <c r="J1410" i="3" s="1"/>
  <c r="J1411" i="3" s="1"/>
  <c r="J1412" i="3" s="1"/>
  <c r="J1413" i="3" s="1"/>
  <c r="J1414" i="3" s="1"/>
  <c r="J1415" i="3" s="1"/>
  <c r="J1416" i="3" s="1"/>
  <c r="J1417" i="3" s="1"/>
  <c r="J1418" i="3" s="1"/>
  <c r="J1419" i="3" s="1"/>
  <c r="J1420" i="3" s="1"/>
  <c r="J1421" i="3" s="1"/>
  <c r="J1422" i="3" s="1"/>
  <c r="J1423" i="3" s="1"/>
  <c r="J1424" i="3" s="1"/>
  <c r="J1425" i="3" s="1"/>
  <c r="J1426" i="3" s="1"/>
  <c r="J1427" i="3" s="1"/>
  <c r="J1428" i="3" s="1"/>
  <c r="J1429" i="3" s="1"/>
  <c r="J1430" i="3" s="1"/>
  <c r="J1431" i="3" s="1"/>
  <c r="J1432" i="3" s="1"/>
  <c r="J1433" i="3" s="1"/>
  <c r="J1434" i="3" s="1"/>
  <c r="J1435" i="3" s="1"/>
  <c r="J1436" i="3" s="1"/>
  <c r="J1437" i="3" s="1"/>
  <c r="J1438" i="3" s="1"/>
  <c r="J1439" i="3" s="1"/>
  <c r="J1440" i="3" s="1"/>
  <c r="J1441" i="3" s="1"/>
  <c r="J1442" i="3" s="1"/>
  <c r="J1443" i="3" s="1"/>
  <c r="J1444" i="3" s="1"/>
  <c r="J1445" i="3" s="1"/>
  <c r="J1446" i="3" s="1"/>
  <c r="J1447" i="3" s="1"/>
  <c r="J1448" i="3" s="1"/>
  <c r="J1449" i="3" s="1"/>
  <c r="J1450" i="3" s="1"/>
  <c r="J1451" i="3" s="1"/>
  <c r="J1452" i="3" s="1"/>
  <c r="J1453" i="3" s="1"/>
  <c r="J1454" i="3" s="1"/>
  <c r="J1455" i="3" s="1"/>
  <c r="J1456" i="3" s="1"/>
  <c r="J1457" i="3" s="1"/>
  <c r="J1458" i="3" s="1"/>
  <c r="J1459" i="3" s="1"/>
  <c r="J1460" i="3" s="1"/>
  <c r="J1461" i="3" s="1"/>
  <c r="J1462" i="3" s="1"/>
  <c r="J1463" i="3" s="1"/>
  <c r="J1464" i="3" s="1"/>
  <c r="J1465" i="3" s="1"/>
  <c r="J1466" i="3" s="1"/>
  <c r="J1467" i="3" s="1"/>
  <c r="J1468" i="3" s="1"/>
  <c r="J1469" i="3" s="1"/>
  <c r="J1470" i="3" s="1"/>
  <c r="J1471" i="3" s="1"/>
  <c r="J1472" i="3" s="1"/>
  <c r="J1473" i="3" s="1"/>
  <c r="J1474" i="3" s="1"/>
  <c r="J1475" i="3" s="1"/>
  <c r="J1476" i="3" s="1"/>
  <c r="J1477" i="3" s="1"/>
  <c r="J1478" i="3" s="1"/>
  <c r="J1479" i="3" s="1"/>
  <c r="J1480" i="3" s="1"/>
  <c r="J1481" i="3" s="1"/>
  <c r="J1482" i="3" s="1"/>
  <c r="J1483" i="3" s="1"/>
  <c r="J1484" i="3" s="1"/>
  <c r="J1485" i="3" s="1"/>
  <c r="J1486" i="3" s="1"/>
  <c r="J1487" i="3" s="1"/>
  <c r="J1488" i="3" s="1"/>
  <c r="J1489" i="3" s="1"/>
  <c r="J1490" i="3" s="1"/>
  <c r="J1491" i="3" s="1"/>
  <c r="J1492" i="3" s="1"/>
  <c r="J1493" i="3" s="1"/>
  <c r="J1494" i="3" s="1"/>
  <c r="J1495" i="3" s="1"/>
  <c r="J1496" i="3" s="1"/>
  <c r="J1497" i="3" s="1"/>
  <c r="J1498" i="3" s="1"/>
  <c r="J1499" i="3" s="1"/>
  <c r="J1500" i="3" s="1"/>
  <c r="J1501" i="3" s="1"/>
  <c r="J1502" i="3" s="1"/>
  <c r="J1503" i="3" s="1"/>
  <c r="J1504" i="3" s="1"/>
  <c r="J1505" i="3" s="1"/>
  <c r="J1506" i="3" s="1"/>
  <c r="J1507" i="3" s="1"/>
  <c r="J1508" i="3" s="1"/>
  <c r="J1509" i="3" s="1"/>
  <c r="J1510" i="3" s="1"/>
  <c r="J1511" i="3" s="1"/>
  <c r="J1512" i="3" s="1"/>
  <c r="J1513" i="3" s="1"/>
  <c r="J1514" i="3" s="1"/>
  <c r="J1515" i="3" s="1"/>
  <c r="J1516" i="3" s="1"/>
  <c r="J1517" i="3" s="1"/>
  <c r="J1518" i="3" s="1"/>
  <c r="J1519" i="3" s="1"/>
  <c r="J1520" i="3" s="1"/>
  <c r="J1521" i="3" s="1"/>
  <c r="J1522" i="3" s="1"/>
  <c r="J1523" i="3" s="1"/>
  <c r="J1524" i="3" s="1"/>
  <c r="J1525" i="3" s="1"/>
  <c r="J1526" i="3" s="1"/>
  <c r="J1527" i="3" s="1"/>
  <c r="J1528" i="3" s="1"/>
  <c r="J1529" i="3" s="1"/>
  <c r="J1530" i="3" s="1"/>
  <c r="J1531" i="3" s="1"/>
  <c r="J1532" i="3" s="1"/>
  <c r="J1533" i="3" s="1"/>
  <c r="J1534" i="3" s="1"/>
  <c r="J1535" i="3" s="1"/>
  <c r="J1536" i="3" s="1"/>
  <c r="J1537" i="3" s="1"/>
  <c r="J1538" i="3" s="1"/>
  <c r="J1539" i="3" s="1"/>
  <c r="J1540" i="3" s="1"/>
  <c r="J1541" i="3" s="1"/>
  <c r="J1542" i="3" s="1"/>
  <c r="J1543" i="3" s="1"/>
  <c r="J1544" i="3" s="1"/>
  <c r="J1545" i="3" s="1"/>
  <c r="J1546" i="3" s="1"/>
  <c r="J1547" i="3" s="1"/>
  <c r="J1548" i="3" s="1"/>
  <c r="J1549" i="3" s="1"/>
  <c r="J1550" i="3" s="1"/>
  <c r="J1551" i="3" s="1"/>
  <c r="J1552" i="3" s="1"/>
  <c r="J1553" i="3" s="1"/>
  <c r="J1554" i="3" s="1"/>
  <c r="J1555" i="3" s="1"/>
  <c r="J1556" i="3" s="1"/>
  <c r="J1557" i="3" s="1"/>
  <c r="J1558" i="3" s="1"/>
  <c r="J1559" i="3" s="1"/>
  <c r="J1560" i="3" s="1"/>
  <c r="J1561" i="3" s="1"/>
  <c r="J1562" i="3" s="1"/>
  <c r="J1563" i="3" s="1"/>
  <c r="J1564" i="3" s="1"/>
  <c r="J1565" i="3" s="1"/>
  <c r="J1566" i="3" s="1"/>
  <c r="J1567" i="3" s="1"/>
  <c r="J1568" i="3" s="1"/>
  <c r="J1569" i="3" s="1"/>
  <c r="J1570" i="3" s="1"/>
  <c r="J1571" i="3" s="1"/>
  <c r="J1572" i="3" s="1"/>
  <c r="J1573" i="3" s="1"/>
  <c r="J1574" i="3" s="1"/>
  <c r="J1575" i="3" s="1"/>
  <c r="J1576" i="3" s="1"/>
  <c r="J1577" i="3" s="1"/>
  <c r="J1578" i="3" s="1"/>
  <c r="J1579" i="3" s="1"/>
  <c r="J1580" i="3" s="1"/>
  <c r="J1581" i="3" s="1"/>
  <c r="J1582" i="3" s="1"/>
  <c r="J1583" i="3" s="1"/>
  <c r="J1584" i="3" s="1"/>
  <c r="J1585" i="3" s="1"/>
  <c r="J1586" i="3" s="1"/>
  <c r="J1587" i="3" s="1"/>
  <c r="J1588" i="3" s="1"/>
  <c r="J1589" i="3" s="1"/>
  <c r="J1590" i="3" s="1"/>
  <c r="J1591" i="3" s="1"/>
  <c r="J1592" i="3" s="1"/>
  <c r="J1593" i="3" s="1"/>
  <c r="J1594" i="3" s="1"/>
  <c r="J1595" i="3" s="1"/>
  <c r="J1596" i="3" s="1"/>
  <c r="J1597" i="3" s="1"/>
  <c r="J1598" i="3" s="1"/>
  <c r="J1599" i="3" s="1"/>
  <c r="J1600" i="3" s="1"/>
  <c r="J1601" i="3" s="1"/>
  <c r="J1602" i="3" s="1"/>
  <c r="J1603" i="3" s="1"/>
  <c r="J1604" i="3" s="1"/>
  <c r="J1605" i="3" s="1"/>
  <c r="J1606" i="3" s="1"/>
  <c r="J1607" i="3" s="1"/>
  <c r="J1608" i="3" s="1"/>
  <c r="J1609" i="3" s="1"/>
  <c r="J1610" i="3" s="1"/>
  <c r="J1611" i="3" s="1"/>
  <c r="J1612" i="3" s="1"/>
  <c r="J1613" i="3" s="1"/>
  <c r="J1614" i="3" s="1"/>
  <c r="J1615" i="3" s="1"/>
  <c r="J1616" i="3" s="1"/>
  <c r="J1617" i="3" s="1"/>
  <c r="J1618" i="3" s="1"/>
  <c r="J1619" i="3" s="1"/>
  <c r="J1620" i="3" s="1"/>
  <c r="J1621" i="3" s="1"/>
  <c r="J1622" i="3" s="1"/>
  <c r="J1623" i="3" s="1"/>
  <c r="J1624" i="3" s="1"/>
  <c r="J1625" i="3" s="1"/>
  <c r="J1626" i="3" s="1"/>
  <c r="J1627" i="3" s="1"/>
  <c r="J1628" i="3" s="1"/>
  <c r="J1629" i="3" s="1"/>
  <c r="J1630" i="3" s="1"/>
  <c r="J1631" i="3" s="1"/>
  <c r="J1632" i="3" s="1"/>
  <c r="J1633" i="3" s="1"/>
  <c r="J1634" i="3" s="1"/>
  <c r="J1635" i="3" s="1"/>
  <c r="J1636" i="3" s="1"/>
  <c r="J1637" i="3" s="1"/>
  <c r="J1638" i="3" s="1"/>
  <c r="J1639" i="3" s="1"/>
  <c r="J1640" i="3" s="1"/>
  <c r="J1641" i="3" s="1"/>
  <c r="J1642" i="3" s="1"/>
  <c r="J1643" i="3" s="1"/>
  <c r="J1644" i="3" s="1"/>
  <c r="J1645" i="3" s="1"/>
  <c r="J1646" i="3" s="1"/>
  <c r="J1647" i="3" s="1"/>
  <c r="J1648" i="3" s="1"/>
  <c r="J1649" i="3" s="1"/>
  <c r="J1650" i="3" s="1"/>
  <c r="J1651" i="3" s="1"/>
  <c r="J1652" i="3" s="1"/>
  <c r="J1653" i="3" s="1"/>
  <c r="J1654" i="3" s="1"/>
  <c r="J1655" i="3" s="1"/>
  <c r="J1656" i="3" s="1"/>
  <c r="J1657" i="3" s="1"/>
  <c r="J1658" i="3" s="1"/>
  <c r="J1659" i="3" s="1"/>
  <c r="J1660" i="3" s="1"/>
  <c r="J1661" i="3" s="1"/>
  <c r="J1662" i="3" s="1"/>
  <c r="J1663" i="3" s="1"/>
  <c r="J1664" i="3" s="1"/>
  <c r="J1665" i="3" s="1"/>
  <c r="J1666" i="3" s="1"/>
  <c r="J1667" i="3" s="1"/>
  <c r="J1668" i="3" s="1"/>
  <c r="J1669" i="3" s="1"/>
  <c r="J1670" i="3" s="1"/>
  <c r="J1671" i="3" s="1"/>
  <c r="J1672" i="3" s="1"/>
  <c r="J1673" i="3" s="1"/>
  <c r="J1674" i="3" s="1"/>
  <c r="J1675" i="3" s="1"/>
  <c r="J1676" i="3" s="1"/>
  <c r="J1677" i="3" s="1"/>
  <c r="J1678" i="3" s="1"/>
  <c r="J1679" i="3" s="1"/>
  <c r="J1680" i="3" s="1"/>
  <c r="J1681" i="3" s="1"/>
  <c r="J1682" i="3" s="1"/>
  <c r="J1683" i="3" s="1"/>
  <c r="J1684" i="3" s="1"/>
  <c r="J1685" i="3" s="1"/>
  <c r="J1686" i="3" s="1"/>
  <c r="J1687" i="3" s="1"/>
  <c r="J1688" i="3" s="1"/>
  <c r="J1689" i="3" s="1"/>
  <c r="J1690" i="3" s="1"/>
  <c r="J1691" i="3" s="1"/>
  <c r="J1692" i="3" s="1"/>
  <c r="J1693" i="3" s="1"/>
  <c r="J1694" i="3" s="1"/>
  <c r="J1695" i="3" s="1"/>
  <c r="J1696" i="3" s="1"/>
  <c r="J1697" i="3" s="1"/>
  <c r="J1698" i="3" s="1"/>
  <c r="J1699" i="3" s="1"/>
  <c r="J1700" i="3" s="1"/>
  <c r="J1701" i="3" s="1"/>
  <c r="J1702" i="3" s="1"/>
  <c r="J1703" i="3" s="1"/>
  <c r="J1704" i="3" s="1"/>
  <c r="J1705" i="3" s="1"/>
  <c r="J1706" i="3" s="1"/>
  <c r="J1707" i="3" s="1"/>
  <c r="J1708" i="3" s="1"/>
  <c r="J1709" i="3" s="1"/>
  <c r="J1710" i="3" s="1"/>
  <c r="J1711" i="3" s="1"/>
  <c r="J1712" i="3" s="1"/>
  <c r="J1713" i="3" s="1"/>
  <c r="J1714" i="3" s="1"/>
  <c r="J1715" i="3" s="1"/>
  <c r="J1716" i="3" s="1"/>
  <c r="J1717" i="3" s="1"/>
  <c r="J1718" i="3" s="1"/>
  <c r="J1719" i="3" s="1"/>
  <c r="J1720" i="3" s="1"/>
  <c r="J1721" i="3" s="1"/>
  <c r="J1722" i="3" s="1"/>
  <c r="J1723" i="3" s="1"/>
  <c r="J1724" i="3" s="1"/>
  <c r="J1725" i="3" s="1"/>
  <c r="J1726" i="3" s="1"/>
  <c r="J1727" i="3" s="1"/>
  <c r="J1728" i="3" s="1"/>
  <c r="J1729" i="3" s="1"/>
  <c r="J1730" i="3" s="1"/>
  <c r="J1731" i="3" s="1"/>
  <c r="J1732" i="3" s="1"/>
  <c r="J1733" i="3" s="1"/>
  <c r="J1734" i="3" s="1"/>
  <c r="J1735" i="3" s="1"/>
  <c r="J1736" i="3" s="1"/>
  <c r="J1737" i="3" s="1"/>
  <c r="J1738" i="3" s="1"/>
  <c r="J1739" i="3" s="1"/>
  <c r="J1740" i="3" s="1"/>
  <c r="J1741" i="3" s="1"/>
  <c r="J1742" i="3" s="1"/>
  <c r="J1743" i="3" s="1"/>
  <c r="J1744" i="3" s="1"/>
  <c r="J1745" i="3" s="1"/>
  <c r="J1746" i="3" s="1"/>
  <c r="J1747" i="3" s="1"/>
  <c r="J1748" i="3" s="1"/>
  <c r="J1749" i="3" s="1"/>
  <c r="J1750" i="3" s="1"/>
  <c r="J1751" i="3" s="1"/>
  <c r="J1752" i="3" s="1"/>
  <c r="J1753" i="3" s="1"/>
  <c r="J1754" i="3" s="1"/>
  <c r="J1755" i="3" s="1"/>
  <c r="J1756" i="3" s="1"/>
  <c r="J1757" i="3" s="1"/>
  <c r="J1758" i="3" s="1"/>
  <c r="J1759" i="3" s="1"/>
  <c r="J1760" i="3" s="1"/>
  <c r="J1761" i="3" s="1"/>
  <c r="J1762" i="3" s="1"/>
  <c r="J1763" i="3" s="1"/>
  <c r="J1764" i="3" s="1"/>
  <c r="J1765" i="3" s="1"/>
  <c r="J1766" i="3" s="1"/>
  <c r="J1767" i="3" s="1"/>
  <c r="J1768" i="3" s="1"/>
  <c r="J1769" i="3" s="1"/>
  <c r="J1770" i="3" s="1"/>
  <c r="J1771" i="3" s="1"/>
  <c r="J1772" i="3" s="1"/>
  <c r="J1773" i="3" s="1"/>
  <c r="J1774" i="3" s="1"/>
  <c r="J1775" i="3" s="1"/>
  <c r="J1776" i="3" s="1"/>
  <c r="J1777" i="3" s="1"/>
  <c r="J1778" i="3" s="1"/>
  <c r="J1779" i="3" s="1"/>
  <c r="J1780" i="3" s="1"/>
  <c r="J1781" i="3" s="1"/>
  <c r="J1782" i="3" s="1"/>
  <c r="J1783" i="3" s="1"/>
  <c r="J1784" i="3" s="1"/>
  <c r="J1785" i="3" s="1"/>
  <c r="J1786" i="3" s="1"/>
  <c r="J1787" i="3" s="1"/>
  <c r="J1788" i="3" s="1"/>
  <c r="J1789" i="3" s="1"/>
  <c r="J1790" i="3" s="1"/>
  <c r="J1791" i="3" s="1"/>
  <c r="J1792" i="3" s="1"/>
  <c r="J1793" i="3" s="1"/>
  <c r="J1794" i="3" s="1"/>
  <c r="J1795" i="3" s="1"/>
  <c r="J1796" i="3" s="1"/>
  <c r="J1797" i="3" s="1"/>
  <c r="J1798" i="3" s="1"/>
  <c r="J1799" i="3" s="1"/>
  <c r="J1800" i="3" s="1"/>
  <c r="J1801" i="3" s="1"/>
  <c r="J1802" i="3" s="1"/>
  <c r="J1803" i="3" s="1"/>
  <c r="J1804" i="3" s="1"/>
  <c r="J1805" i="3" s="1"/>
  <c r="J1806" i="3" s="1"/>
  <c r="J1807" i="3" s="1"/>
  <c r="J1808" i="3" s="1"/>
  <c r="J1809" i="3" s="1"/>
  <c r="J1810" i="3" s="1"/>
  <c r="J1811" i="3" s="1"/>
  <c r="J1812" i="3" s="1"/>
  <c r="J1813" i="3" s="1"/>
  <c r="J1814" i="3" s="1"/>
  <c r="J1815" i="3" s="1"/>
  <c r="J1816" i="3" s="1"/>
  <c r="J1817" i="3" s="1"/>
  <c r="J1818" i="3" s="1"/>
  <c r="J1819" i="3" s="1"/>
  <c r="J1820" i="3" s="1"/>
  <c r="J1821" i="3" s="1"/>
  <c r="J1822" i="3" s="1"/>
  <c r="J1823" i="3" s="1"/>
  <c r="J1824" i="3" s="1"/>
  <c r="J1825" i="3" s="1"/>
  <c r="J1826" i="3" s="1"/>
  <c r="J1827" i="3" s="1"/>
  <c r="J1828" i="3" s="1"/>
  <c r="J1829" i="3" s="1"/>
  <c r="J1830" i="3" s="1"/>
  <c r="J1831" i="3" s="1"/>
  <c r="J1832" i="3" s="1"/>
  <c r="J1833" i="3" s="1"/>
  <c r="J1834" i="3" s="1"/>
  <c r="J1835" i="3" s="1"/>
  <c r="J1836" i="3" s="1"/>
  <c r="J1837" i="3" s="1"/>
  <c r="J1838" i="3" s="1"/>
  <c r="J1839" i="3" s="1"/>
  <c r="J1840" i="3" s="1"/>
  <c r="J1841" i="3" s="1"/>
  <c r="J1842" i="3" s="1"/>
  <c r="J1843" i="3" s="1"/>
  <c r="J1844" i="3" s="1"/>
  <c r="J1845" i="3" s="1"/>
  <c r="J1846" i="3" s="1"/>
  <c r="J1847" i="3" s="1"/>
  <c r="J1848" i="3" s="1"/>
  <c r="J1849" i="3" s="1"/>
  <c r="J1850" i="3" s="1"/>
  <c r="J1851" i="3" s="1"/>
  <c r="J1852" i="3" s="1"/>
  <c r="J1853" i="3" s="1"/>
  <c r="J1854" i="3" s="1"/>
  <c r="J1855" i="3" s="1"/>
  <c r="J1856" i="3" s="1"/>
  <c r="J1857" i="3" s="1"/>
  <c r="J1858" i="3" s="1"/>
  <c r="J1859" i="3" s="1"/>
  <c r="J1860" i="3" s="1"/>
  <c r="J1861" i="3" s="1"/>
  <c r="J1862" i="3" s="1"/>
  <c r="J1863" i="3" s="1"/>
  <c r="J1864" i="3" s="1"/>
  <c r="J1865" i="3" s="1"/>
  <c r="J1866" i="3" s="1"/>
  <c r="J1867" i="3" s="1"/>
  <c r="J1868" i="3" s="1"/>
  <c r="J1869" i="3" s="1"/>
  <c r="J1870" i="3" s="1"/>
  <c r="J1871" i="3" s="1"/>
  <c r="J1872" i="3" s="1"/>
  <c r="J1873" i="3" s="1"/>
  <c r="J1874" i="3" s="1"/>
  <c r="J1875" i="3" s="1"/>
  <c r="J1876" i="3" s="1"/>
  <c r="J1877" i="3" s="1"/>
  <c r="J1878" i="3" s="1"/>
  <c r="J1879" i="3" s="1"/>
  <c r="J1880" i="3" s="1"/>
  <c r="J1881" i="3" s="1"/>
  <c r="J1882" i="3" s="1"/>
  <c r="J1883" i="3" s="1"/>
  <c r="J1884" i="3" s="1"/>
  <c r="J1885" i="3" s="1"/>
  <c r="J1886" i="3" s="1"/>
  <c r="J1887" i="3" s="1"/>
  <c r="J1888" i="3" s="1"/>
  <c r="J1889" i="3" s="1"/>
  <c r="J1890" i="3" s="1"/>
  <c r="J1891" i="3" s="1"/>
  <c r="J1892" i="3" s="1"/>
  <c r="J1893" i="3" s="1"/>
  <c r="J1894" i="3" s="1"/>
  <c r="J1895" i="3" s="1"/>
  <c r="J1896" i="3" s="1"/>
  <c r="J1897" i="3" s="1"/>
  <c r="J1898" i="3" s="1"/>
  <c r="J1899" i="3" s="1"/>
  <c r="J1900" i="3" s="1"/>
  <c r="J1901" i="3" s="1"/>
  <c r="J1902" i="3" s="1"/>
  <c r="J1903" i="3" s="1"/>
  <c r="J1904" i="3" s="1"/>
  <c r="J1905" i="3" s="1"/>
  <c r="J1906" i="3" s="1"/>
  <c r="J1907" i="3" s="1"/>
  <c r="J1908" i="3" s="1"/>
  <c r="J1909" i="3" s="1"/>
  <c r="J1910" i="3" s="1"/>
  <c r="J1911" i="3" s="1"/>
  <c r="J1912" i="3" s="1"/>
  <c r="J1913" i="3" s="1"/>
  <c r="J1914" i="3" s="1"/>
  <c r="J1915" i="3" s="1"/>
  <c r="J1916" i="3" s="1"/>
  <c r="J1917" i="3" s="1"/>
  <c r="J1918" i="3" s="1"/>
  <c r="J1919" i="3" s="1"/>
  <c r="J1920" i="3" s="1"/>
  <c r="J1921" i="3" s="1"/>
  <c r="J1922" i="3" s="1"/>
  <c r="J1923" i="3" s="1"/>
  <c r="J1924" i="3" s="1"/>
  <c r="J1925" i="3" s="1"/>
  <c r="J1926" i="3" s="1"/>
  <c r="J1927" i="3" s="1"/>
  <c r="J1928" i="3" s="1"/>
  <c r="J1929" i="3" s="1"/>
  <c r="J1930" i="3" s="1"/>
  <c r="J1931" i="3" s="1"/>
  <c r="J1932" i="3" s="1"/>
  <c r="J1933" i="3" s="1"/>
  <c r="J1934" i="3" s="1"/>
  <c r="J1935" i="3" s="1"/>
  <c r="J1936" i="3" s="1"/>
  <c r="J1937" i="3" s="1"/>
  <c r="J1938" i="3" s="1"/>
  <c r="J1939" i="3" s="1"/>
  <c r="J1940" i="3" s="1"/>
  <c r="J1941" i="3" s="1"/>
  <c r="J1942" i="3" s="1"/>
  <c r="J1943" i="3" s="1"/>
  <c r="J1944" i="3" s="1"/>
  <c r="J1945" i="3" s="1"/>
  <c r="J1946" i="3" s="1"/>
  <c r="J1947" i="3" s="1"/>
  <c r="J1948" i="3" s="1"/>
  <c r="J1949" i="3" s="1"/>
  <c r="J1950" i="3" s="1"/>
  <c r="J1951" i="3" s="1"/>
  <c r="J1952" i="3" s="1"/>
  <c r="J1953" i="3" s="1"/>
  <c r="J1954" i="3" s="1"/>
  <c r="J1955" i="3" s="1"/>
  <c r="J1956" i="3" s="1"/>
  <c r="J1957" i="3" s="1"/>
  <c r="J1958" i="3" s="1"/>
  <c r="J1959" i="3" s="1"/>
  <c r="J1960" i="3" s="1"/>
  <c r="J1961" i="3" s="1"/>
  <c r="J1962" i="3" s="1"/>
  <c r="J1963" i="3" s="1"/>
  <c r="J1964" i="3" s="1"/>
  <c r="J1965" i="3" s="1"/>
  <c r="J1966" i="3" s="1"/>
  <c r="J1967" i="3" s="1"/>
  <c r="J1968" i="3" s="1"/>
  <c r="J1969" i="3" s="1"/>
  <c r="J1970" i="3" s="1"/>
  <c r="J1971" i="3" s="1"/>
  <c r="J1972" i="3" s="1"/>
  <c r="J1973" i="3" s="1"/>
  <c r="J1974" i="3" s="1"/>
  <c r="J1975" i="3" s="1"/>
  <c r="J1976" i="3" s="1"/>
  <c r="J1977" i="3" s="1"/>
  <c r="J1978" i="3" s="1"/>
  <c r="J1979" i="3" s="1"/>
  <c r="J1980" i="3" s="1"/>
  <c r="J1981" i="3" s="1"/>
  <c r="J1982" i="3" s="1"/>
  <c r="J1983" i="3" s="1"/>
  <c r="J1984" i="3" s="1"/>
  <c r="J1985" i="3" s="1"/>
  <c r="J1986" i="3" s="1"/>
  <c r="J1987" i="3" s="1"/>
  <c r="J1988" i="3" s="1"/>
  <c r="J1989" i="3" s="1"/>
  <c r="J1990" i="3" s="1"/>
  <c r="J1991" i="3" s="1"/>
  <c r="J1992" i="3" s="1"/>
  <c r="J1993" i="3" s="1"/>
  <c r="J1994" i="3" s="1"/>
  <c r="J1995" i="3" s="1"/>
  <c r="J1996" i="3" s="1"/>
  <c r="J1997" i="3" s="1"/>
  <c r="J1998" i="3" s="1"/>
  <c r="J1999" i="3" s="1"/>
  <c r="J2000" i="3" s="1"/>
  <c r="J2001" i="3" s="1"/>
  <c r="J2002" i="3" s="1"/>
  <c r="J2003" i="3" s="1"/>
  <c r="J2004" i="3" s="1"/>
  <c r="J2005" i="3" s="1"/>
  <c r="J2006" i="3" s="1"/>
  <c r="J2007" i="3" s="1"/>
  <c r="J2008" i="3" s="1"/>
  <c r="J2009" i="3" s="1"/>
  <c r="J2010" i="3" s="1"/>
  <c r="J2011" i="3" s="1"/>
  <c r="J2012" i="3" s="1"/>
  <c r="J2013" i="3" s="1"/>
  <c r="J2014" i="3" s="1"/>
  <c r="J2015" i="3" s="1"/>
  <c r="J2016" i="3" s="1"/>
  <c r="J2017" i="3" s="1"/>
  <c r="J2018" i="3" s="1"/>
  <c r="J2019" i="3" s="1"/>
  <c r="J2020" i="3" s="1"/>
  <c r="J2021" i="3" s="1"/>
  <c r="J2022" i="3" s="1"/>
  <c r="J2023" i="3" s="1"/>
  <c r="J2024" i="3" s="1"/>
  <c r="J2025" i="3" s="1"/>
  <c r="J2026" i="3" s="1"/>
  <c r="J2027" i="3" s="1"/>
  <c r="J2028" i="3" s="1"/>
  <c r="J2029" i="3" s="1"/>
  <c r="J2030" i="3" s="1"/>
  <c r="J2031" i="3" s="1"/>
  <c r="J2032" i="3" s="1"/>
  <c r="J2033" i="3" s="1"/>
  <c r="J2034" i="3" s="1"/>
  <c r="J2035" i="3" s="1"/>
  <c r="J2036" i="3" s="1"/>
  <c r="J2037" i="3" s="1"/>
  <c r="J2038" i="3" s="1"/>
  <c r="J2039" i="3" s="1"/>
  <c r="J2040" i="3" s="1"/>
  <c r="J2041" i="3" s="1"/>
  <c r="J2042" i="3" s="1"/>
  <c r="J2043" i="3" s="1"/>
  <c r="J2044" i="3" s="1"/>
  <c r="J2045" i="3" s="1"/>
  <c r="J2046" i="3" s="1"/>
  <c r="J2047" i="3" s="1"/>
  <c r="J2048" i="3" s="1"/>
  <c r="J2049" i="3" s="1"/>
  <c r="J2050" i="3" s="1"/>
  <c r="J2051" i="3" s="1"/>
  <c r="J2052" i="3" s="1"/>
  <c r="J2053" i="3" s="1"/>
  <c r="J2054" i="3" s="1"/>
  <c r="J2055" i="3" s="1"/>
  <c r="J2056" i="3" s="1"/>
  <c r="J2057" i="3" s="1"/>
  <c r="J2058" i="3" s="1"/>
  <c r="J2059" i="3" s="1"/>
  <c r="J2060" i="3" s="1"/>
  <c r="J2061" i="3" s="1"/>
  <c r="J2062" i="3" s="1"/>
  <c r="J2063" i="3" s="1"/>
  <c r="J2064" i="3" s="1"/>
  <c r="J2065" i="3" s="1"/>
  <c r="J2066" i="3" s="1"/>
  <c r="J2067" i="3" s="1"/>
  <c r="J2068" i="3" s="1"/>
  <c r="J2069" i="3" s="1"/>
  <c r="J2070" i="3" s="1"/>
  <c r="J2071" i="3" s="1"/>
  <c r="J2072" i="3" s="1"/>
  <c r="J2073" i="3" s="1"/>
  <c r="J2074" i="3" s="1"/>
  <c r="J2075" i="3" s="1"/>
  <c r="J2076" i="3" s="1"/>
  <c r="J2077" i="3" s="1"/>
  <c r="J2078" i="3" s="1"/>
  <c r="J2079" i="3" s="1"/>
  <c r="J2080" i="3" s="1"/>
  <c r="J2081" i="3" s="1"/>
  <c r="J2082" i="3" s="1"/>
  <c r="J2083" i="3" s="1"/>
  <c r="J2084" i="3" s="1"/>
  <c r="J2085" i="3" s="1"/>
  <c r="J2086" i="3" s="1"/>
  <c r="J2087" i="3" s="1"/>
  <c r="J2088" i="3" s="1"/>
  <c r="J2089" i="3" s="1"/>
  <c r="J2090" i="3" s="1"/>
  <c r="J2091" i="3" s="1"/>
  <c r="J2092" i="3" s="1"/>
  <c r="J2093" i="3" s="1"/>
  <c r="J2094" i="3" s="1"/>
  <c r="J2095" i="3" s="1"/>
  <c r="J2096" i="3" s="1"/>
  <c r="J2097" i="3" s="1"/>
  <c r="J2098" i="3" s="1"/>
  <c r="J2099" i="3" s="1"/>
  <c r="J2100" i="3" s="1"/>
  <c r="J2101" i="3" s="1"/>
  <c r="J2102" i="3" s="1"/>
  <c r="J2103" i="3" s="1"/>
  <c r="J2104" i="3" s="1"/>
  <c r="J2105" i="3" s="1"/>
  <c r="J2106" i="3" s="1"/>
  <c r="J2107" i="3" s="1"/>
  <c r="J2108" i="3" s="1"/>
  <c r="J2109" i="3" s="1"/>
  <c r="J2110" i="3" s="1"/>
  <c r="J2111" i="3" s="1"/>
  <c r="J2112" i="3" s="1"/>
  <c r="J2113" i="3" s="1"/>
  <c r="J2114" i="3" s="1"/>
  <c r="J2115" i="3" s="1"/>
  <c r="J2116" i="3" s="1"/>
  <c r="J2117" i="3" s="1"/>
  <c r="J2118" i="3" s="1"/>
  <c r="J2119" i="3" s="1"/>
  <c r="J2120" i="3" s="1"/>
  <c r="J2121" i="3" s="1"/>
  <c r="J2122" i="3" s="1"/>
  <c r="J2123" i="3" s="1"/>
  <c r="J2124" i="3" s="1"/>
  <c r="J2125" i="3" s="1"/>
  <c r="J2126" i="3" s="1"/>
  <c r="J2127" i="3" s="1"/>
  <c r="J2128" i="3" s="1"/>
  <c r="J2129" i="3" s="1"/>
  <c r="J2130" i="3" s="1"/>
  <c r="J2131" i="3" s="1"/>
  <c r="J2132" i="3" s="1"/>
  <c r="J2133" i="3" s="1"/>
  <c r="J2134" i="3" s="1"/>
  <c r="J2135" i="3" s="1"/>
  <c r="J2136" i="3" s="1"/>
  <c r="J2137" i="3" s="1"/>
  <c r="J2138" i="3" s="1"/>
  <c r="J2139" i="3" s="1"/>
  <c r="J2140" i="3" s="1"/>
  <c r="J2141" i="3" s="1"/>
  <c r="J2142" i="3" s="1"/>
  <c r="J2143" i="3" s="1"/>
  <c r="J2144" i="3" s="1"/>
  <c r="J2145" i="3" s="1"/>
  <c r="J2146" i="3" s="1"/>
  <c r="J2147" i="3" s="1"/>
  <c r="J2148" i="3" s="1"/>
  <c r="J2149" i="3" s="1"/>
  <c r="J2150" i="3" s="1"/>
  <c r="J2151" i="3" s="1"/>
  <c r="J2152" i="3" s="1"/>
  <c r="J2153" i="3" s="1"/>
  <c r="J2154" i="3" s="1"/>
  <c r="J2155" i="3" s="1"/>
  <c r="J2156" i="3" s="1"/>
  <c r="J2157" i="3" s="1"/>
  <c r="J2158" i="3" s="1"/>
  <c r="J2159" i="3" s="1"/>
  <c r="J2160" i="3" s="1"/>
  <c r="J2161" i="3" s="1"/>
  <c r="J2162" i="3" s="1"/>
  <c r="J2163" i="3" s="1"/>
  <c r="J2164" i="3" s="1"/>
  <c r="J2165" i="3" s="1"/>
  <c r="J2166" i="3" s="1"/>
  <c r="J2167" i="3" s="1"/>
  <c r="J2168" i="3" s="1"/>
  <c r="J2169" i="3" s="1"/>
  <c r="J2170" i="3" s="1"/>
  <c r="J2171" i="3" s="1"/>
  <c r="J2172" i="3" s="1"/>
  <c r="J2173" i="3" s="1"/>
  <c r="J2174" i="3" s="1"/>
  <c r="J2175" i="3" s="1"/>
  <c r="J2176" i="3" s="1"/>
  <c r="J2177" i="3" s="1"/>
  <c r="J2178" i="3" s="1"/>
  <c r="J2179" i="3" s="1"/>
  <c r="J2180" i="3" s="1"/>
  <c r="J2181" i="3" s="1"/>
  <c r="J2182" i="3" s="1"/>
  <c r="J2183" i="3" s="1"/>
  <c r="J2184" i="3" s="1"/>
  <c r="J2185" i="3" s="1"/>
  <c r="J2186" i="3" s="1"/>
  <c r="J2187" i="3" s="1"/>
  <c r="J2188" i="3" s="1"/>
  <c r="J2189" i="3" s="1"/>
  <c r="J2190" i="3" s="1"/>
  <c r="J2191" i="3" s="1"/>
  <c r="J2192" i="3" s="1"/>
  <c r="J2193" i="3" s="1"/>
  <c r="J2194" i="3" s="1"/>
  <c r="J2195" i="3" s="1"/>
  <c r="J2196" i="3" s="1"/>
  <c r="J2197" i="3" s="1"/>
  <c r="J2198" i="3" s="1"/>
  <c r="J2199" i="3" s="1"/>
  <c r="J2200" i="3" s="1"/>
  <c r="J2201" i="3" s="1"/>
  <c r="J2202" i="3" s="1"/>
  <c r="J2203" i="3" s="1"/>
  <c r="J2204" i="3" s="1"/>
  <c r="J2205" i="3" s="1"/>
  <c r="J2206" i="3" s="1"/>
  <c r="J2207" i="3" s="1"/>
  <c r="J2208" i="3" s="1"/>
  <c r="J2209" i="3" s="1"/>
  <c r="J2210" i="3" s="1"/>
  <c r="J2211" i="3" s="1"/>
  <c r="J2212" i="3" s="1"/>
  <c r="J2213" i="3" s="1"/>
  <c r="J2214" i="3" s="1"/>
  <c r="J2215" i="3" s="1"/>
  <c r="J2216" i="3" s="1"/>
  <c r="J2217" i="3" s="1"/>
  <c r="J2218" i="3" s="1"/>
  <c r="J2219" i="3" s="1"/>
  <c r="J2220" i="3" s="1"/>
  <c r="J2221" i="3" s="1"/>
  <c r="J2222" i="3" s="1"/>
  <c r="J2223" i="3" s="1"/>
  <c r="J2224" i="3" s="1"/>
  <c r="J2225" i="3" s="1"/>
  <c r="J2226" i="3" s="1"/>
  <c r="J2227" i="3" s="1"/>
  <c r="J2228" i="3" s="1"/>
  <c r="J2229" i="3" s="1"/>
  <c r="J2230" i="3" s="1"/>
  <c r="J2231" i="3" s="1"/>
  <c r="J2232" i="3" s="1"/>
  <c r="J2233" i="3" s="1"/>
  <c r="J2234" i="3" s="1"/>
  <c r="J2235" i="3" s="1"/>
  <c r="J2236" i="3" s="1"/>
  <c r="J2237" i="3" s="1"/>
  <c r="J2238" i="3" s="1"/>
  <c r="J2239" i="3" s="1"/>
  <c r="J2240" i="3" s="1"/>
  <c r="J2241" i="3" s="1"/>
  <c r="J2242" i="3" s="1"/>
  <c r="J2243" i="3" s="1"/>
  <c r="J2244" i="3" s="1"/>
  <c r="J2245" i="3" s="1"/>
  <c r="J2246" i="3" s="1"/>
  <c r="J2247" i="3" s="1"/>
  <c r="J2248" i="3" s="1"/>
  <c r="J2249" i="3" s="1"/>
  <c r="J2250" i="3" s="1"/>
  <c r="J2251" i="3" s="1"/>
  <c r="B7" i="7"/>
  <c r="C10" i="6"/>
  <c r="D10" i="5"/>
  <c r="D10" i="6" s="1"/>
  <c r="E10" i="5"/>
  <c r="E10" i="6" s="1"/>
  <c r="F10" i="5"/>
  <c r="F10" i="6" s="1"/>
  <c r="G10" i="5"/>
  <c r="G10" i="6" s="1"/>
  <c r="E7" i="7" s="1"/>
  <c r="H10" i="5"/>
  <c r="H10" i="6" s="1"/>
  <c r="I10" i="5"/>
  <c r="I10" i="6" s="1"/>
  <c r="F7" i="7" s="1"/>
  <c r="B8" i="7"/>
  <c r="C11" i="6"/>
  <c r="D11" i="5"/>
  <c r="D11" i="6" s="1"/>
  <c r="E11" i="5"/>
  <c r="E11" i="6" s="1"/>
  <c r="F11" i="5"/>
  <c r="F11" i="6" s="1"/>
  <c r="G11" i="5"/>
  <c r="G11" i="6" s="1"/>
  <c r="E8" i="7" s="1"/>
  <c r="H11" i="5"/>
  <c r="H11" i="6" s="1"/>
  <c r="I11" i="5"/>
  <c r="I11" i="6" s="1"/>
  <c r="F8" i="7" s="1"/>
  <c r="B9" i="7"/>
  <c r="C12" i="6"/>
  <c r="D12" i="5"/>
  <c r="D12" i="6" s="1"/>
  <c r="E12" i="5"/>
  <c r="E12" i="6" s="1"/>
  <c r="F12" i="5"/>
  <c r="F12" i="6" s="1"/>
  <c r="G12" i="5"/>
  <c r="G12" i="6" s="1"/>
  <c r="E9" i="7" s="1"/>
  <c r="H12" i="5"/>
  <c r="H12" i="6" s="1"/>
  <c r="I12" i="5"/>
  <c r="I12" i="6" s="1"/>
  <c r="F9" i="7" s="1"/>
  <c r="B10" i="7"/>
  <c r="C13" i="6"/>
  <c r="D13" i="5"/>
  <c r="D13" i="6" s="1"/>
  <c r="E13" i="5"/>
  <c r="E13" i="6" s="1"/>
  <c r="F13" i="5"/>
  <c r="F13" i="6" s="1"/>
  <c r="G13" i="5"/>
  <c r="G13" i="6" s="1"/>
  <c r="E10" i="7" s="1"/>
  <c r="H13" i="5"/>
  <c r="H13" i="6" s="1"/>
  <c r="I13" i="5"/>
  <c r="I13" i="6" s="1"/>
  <c r="F10" i="7" s="1"/>
  <c r="B11" i="7"/>
  <c r="C14" i="6"/>
  <c r="D14" i="5"/>
  <c r="D14" i="6" s="1"/>
  <c r="E14" i="5"/>
  <c r="E14" i="6" s="1"/>
  <c r="F14" i="5"/>
  <c r="F14" i="6" s="1"/>
  <c r="G14" i="5"/>
  <c r="G14" i="6" s="1"/>
  <c r="E11" i="7" s="1"/>
  <c r="H14" i="5"/>
  <c r="H14" i="6" s="1"/>
  <c r="I14" i="5"/>
  <c r="I14" i="6" s="1"/>
  <c r="F11" i="7" s="1"/>
  <c r="B12" i="7"/>
  <c r="C15" i="6"/>
  <c r="D15" i="5"/>
  <c r="D15" i="6" s="1"/>
  <c r="E15" i="5"/>
  <c r="E15" i="6" s="1"/>
  <c r="F15" i="5"/>
  <c r="F15" i="6" s="1"/>
  <c r="G15" i="5"/>
  <c r="G15" i="6" s="1"/>
  <c r="E12" i="7" s="1"/>
  <c r="H15" i="5"/>
  <c r="H15" i="6" s="1"/>
  <c r="I15" i="5"/>
  <c r="I15" i="6" s="1"/>
  <c r="F12" i="7" s="1"/>
  <c r="B13" i="7"/>
  <c r="C16" i="6"/>
  <c r="D16" i="5"/>
  <c r="D16" i="6" s="1"/>
  <c r="E16" i="5"/>
  <c r="E16" i="6" s="1"/>
  <c r="F16" i="5"/>
  <c r="F16" i="6" s="1"/>
  <c r="G16" i="5"/>
  <c r="G16" i="6" s="1"/>
  <c r="E13" i="7" s="1"/>
  <c r="H16" i="5"/>
  <c r="H16" i="6" s="1"/>
  <c r="I16" i="5"/>
  <c r="I16" i="6" s="1"/>
  <c r="F13" i="7" s="1"/>
  <c r="B14" i="7"/>
  <c r="C17" i="6"/>
  <c r="D17" i="5"/>
  <c r="D17" i="6" s="1"/>
  <c r="E17" i="5"/>
  <c r="E17" i="6" s="1"/>
  <c r="F17" i="5"/>
  <c r="F17" i="6" s="1"/>
  <c r="G17" i="5"/>
  <c r="G17" i="6" s="1"/>
  <c r="E14" i="7" s="1"/>
  <c r="H17" i="5"/>
  <c r="H17" i="6" s="1"/>
  <c r="I17" i="5"/>
  <c r="I17" i="6" s="1"/>
  <c r="F14" i="7" s="1"/>
  <c r="B15" i="7"/>
  <c r="C18" i="6"/>
  <c r="D18" i="5"/>
  <c r="D18" i="6" s="1"/>
  <c r="E18" i="5"/>
  <c r="E18" i="6" s="1"/>
  <c r="F18" i="5"/>
  <c r="F18" i="6" s="1"/>
  <c r="G18" i="5"/>
  <c r="G18" i="6" s="1"/>
  <c r="E15" i="7" s="1"/>
  <c r="H18" i="5"/>
  <c r="H18" i="6" s="1"/>
  <c r="I18" i="5"/>
  <c r="I18" i="6" s="1"/>
  <c r="F15" i="7" s="1"/>
  <c r="B16" i="7"/>
  <c r="C19" i="6"/>
  <c r="D19" i="5"/>
  <c r="D19" i="6" s="1"/>
  <c r="E19" i="5"/>
  <c r="E19" i="6" s="1"/>
  <c r="F19" i="5"/>
  <c r="F19" i="6" s="1"/>
  <c r="G19" i="5"/>
  <c r="G19" i="6" s="1"/>
  <c r="E16" i="7" s="1"/>
  <c r="H19" i="5"/>
  <c r="H19" i="6" s="1"/>
  <c r="I19" i="5"/>
  <c r="I19" i="6" s="1"/>
  <c r="F16" i="7" s="1"/>
  <c r="B17" i="7"/>
  <c r="C20" i="6"/>
  <c r="D20" i="5"/>
  <c r="D20" i="6" s="1"/>
  <c r="E20" i="5"/>
  <c r="E20" i="6" s="1"/>
  <c r="F20" i="5"/>
  <c r="F20" i="6" s="1"/>
  <c r="G20" i="5"/>
  <c r="G20" i="6" s="1"/>
  <c r="E17" i="7" s="1"/>
  <c r="H20" i="5"/>
  <c r="H20" i="6" s="1"/>
  <c r="I20" i="5"/>
  <c r="I20" i="6" s="1"/>
  <c r="F17" i="7" s="1"/>
  <c r="B18" i="7"/>
  <c r="C21" i="6"/>
  <c r="D21" i="5"/>
  <c r="D21" i="6" s="1"/>
  <c r="E21" i="5"/>
  <c r="E21" i="6" s="1"/>
  <c r="F21" i="5"/>
  <c r="F21" i="6" s="1"/>
  <c r="G21" i="5"/>
  <c r="G21" i="6" s="1"/>
  <c r="E18" i="7" s="1"/>
  <c r="H21" i="5"/>
  <c r="H21" i="6" s="1"/>
  <c r="I21" i="5"/>
  <c r="I21" i="6" s="1"/>
  <c r="F18" i="7" s="1"/>
  <c r="B19" i="7"/>
  <c r="C22" i="6"/>
  <c r="D22" i="5"/>
  <c r="D22" i="6" s="1"/>
  <c r="E22" i="5"/>
  <c r="E22" i="6" s="1"/>
  <c r="F22" i="5"/>
  <c r="F22" i="6" s="1"/>
  <c r="G22" i="5"/>
  <c r="G22" i="6" s="1"/>
  <c r="E19" i="7" s="1"/>
  <c r="H22" i="5"/>
  <c r="H22" i="6" s="1"/>
  <c r="I22" i="5"/>
  <c r="I22" i="6" s="1"/>
  <c r="F19" i="7" s="1"/>
  <c r="B20" i="7"/>
  <c r="C23" i="6"/>
  <c r="D23" i="5"/>
  <c r="D23" i="6" s="1"/>
  <c r="E23" i="5"/>
  <c r="E23" i="6" s="1"/>
  <c r="F23" i="5"/>
  <c r="F23" i="6" s="1"/>
  <c r="G23" i="5"/>
  <c r="G23" i="6" s="1"/>
  <c r="E20" i="7" s="1"/>
  <c r="H23" i="5"/>
  <c r="H23" i="6" s="1"/>
  <c r="I23" i="5"/>
  <c r="I23" i="6" s="1"/>
  <c r="F20" i="7" s="1"/>
  <c r="B21" i="7"/>
  <c r="C24" i="6"/>
  <c r="D24" i="5"/>
  <c r="D24" i="6" s="1"/>
  <c r="E24" i="5"/>
  <c r="E24" i="6" s="1"/>
  <c r="F24" i="5"/>
  <c r="F24" i="6" s="1"/>
  <c r="G24" i="5"/>
  <c r="G24" i="6" s="1"/>
  <c r="E21" i="7" s="1"/>
  <c r="H24" i="5"/>
  <c r="H24" i="6" s="1"/>
  <c r="I24" i="5"/>
  <c r="I24" i="6" s="1"/>
  <c r="F21" i="7" s="1"/>
  <c r="B22" i="7"/>
  <c r="C25" i="6"/>
  <c r="D25" i="5"/>
  <c r="D25" i="6" s="1"/>
  <c r="E25" i="5"/>
  <c r="E25" i="6" s="1"/>
  <c r="F25" i="5"/>
  <c r="F25" i="6" s="1"/>
  <c r="G25" i="5"/>
  <c r="G25" i="6" s="1"/>
  <c r="E22" i="7" s="1"/>
  <c r="H25" i="5"/>
  <c r="H25" i="6" s="1"/>
  <c r="I25" i="5"/>
  <c r="I25" i="6" s="1"/>
  <c r="F22" i="7" s="1"/>
  <c r="B23" i="7"/>
  <c r="C26" i="6"/>
  <c r="D26" i="5"/>
  <c r="D26" i="6" s="1"/>
  <c r="E26" i="5"/>
  <c r="E26" i="6" s="1"/>
  <c r="F26" i="5"/>
  <c r="F26" i="6" s="1"/>
  <c r="G26" i="5"/>
  <c r="G26" i="6" s="1"/>
  <c r="E23" i="7" s="1"/>
  <c r="H26" i="5"/>
  <c r="H26" i="6" s="1"/>
  <c r="I26" i="5"/>
  <c r="I26" i="6" s="1"/>
  <c r="F23" i="7" s="1"/>
  <c r="B24" i="7"/>
  <c r="C27" i="6"/>
  <c r="D27" i="5"/>
  <c r="D27" i="6" s="1"/>
  <c r="E27" i="5"/>
  <c r="E27" i="6" s="1"/>
  <c r="F27" i="5"/>
  <c r="F27" i="6" s="1"/>
  <c r="G27" i="5"/>
  <c r="G27" i="6" s="1"/>
  <c r="E24" i="7" s="1"/>
  <c r="H27" i="5"/>
  <c r="H27" i="6" s="1"/>
  <c r="I27" i="5"/>
  <c r="I27" i="6" s="1"/>
  <c r="F24" i="7" s="1"/>
  <c r="B25" i="7"/>
  <c r="C28" i="6"/>
  <c r="D28" i="5"/>
  <c r="D28" i="6" s="1"/>
  <c r="E28" i="5"/>
  <c r="E28" i="6" s="1"/>
  <c r="F28" i="5"/>
  <c r="F28" i="6" s="1"/>
  <c r="G28" i="5"/>
  <c r="G28" i="6" s="1"/>
  <c r="E25" i="7" s="1"/>
  <c r="H28" i="5"/>
  <c r="H28" i="6" s="1"/>
  <c r="I28" i="5"/>
  <c r="I28" i="6" s="1"/>
  <c r="F25" i="7" s="1"/>
  <c r="B26" i="7"/>
  <c r="C29" i="6"/>
  <c r="D29" i="5"/>
  <c r="D29" i="6" s="1"/>
  <c r="E29" i="5"/>
  <c r="E29" i="6" s="1"/>
  <c r="F29" i="5"/>
  <c r="F29" i="6" s="1"/>
  <c r="G29" i="5"/>
  <c r="G29" i="6" s="1"/>
  <c r="E26" i="7" s="1"/>
  <c r="H29" i="5"/>
  <c r="H29" i="6" s="1"/>
  <c r="I29" i="5"/>
  <c r="I29" i="6" s="1"/>
  <c r="F26" i="7" s="1"/>
  <c r="B27" i="7"/>
  <c r="C30" i="6"/>
  <c r="D30" i="5"/>
  <c r="D30" i="6" s="1"/>
  <c r="E30" i="5"/>
  <c r="E30" i="6" s="1"/>
  <c r="F30" i="5"/>
  <c r="F30" i="6" s="1"/>
  <c r="G30" i="5"/>
  <c r="G30" i="6" s="1"/>
  <c r="E27" i="7" s="1"/>
  <c r="H30" i="5"/>
  <c r="H30" i="6" s="1"/>
  <c r="I30" i="5"/>
  <c r="I30" i="6" s="1"/>
  <c r="F27" i="7" s="1"/>
  <c r="B28" i="7"/>
  <c r="C31" i="6"/>
  <c r="D31" i="5"/>
  <c r="D31" i="6" s="1"/>
  <c r="E31" i="5"/>
  <c r="E31" i="6" s="1"/>
  <c r="F31" i="5"/>
  <c r="F31" i="6" s="1"/>
  <c r="G31" i="5"/>
  <c r="G31" i="6" s="1"/>
  <c r="E28" i="7" s="1"/>
  <c r="H31" i="5"/>
  <c r="H31" i="6" s="1"/>
  <c r="I31" i="5"/>
  <c r="I31" i="6" s="1"/>
  <c r="F28" i="7" s="1"/>
  <c r="B29" i="7"/>
  <c r="C32" i="6"/>
  <c r="D32" i="5"/>
  <c r="D32" i="6" s="1"/>
  <c r="E32" i="5"/>
  <c r="E32" i="6" s="1"/>
  <c r="F32" i="5"/>
  <c r="F32" i="6" s="1"/>
  <c r="G32" i="5"/>
  <c r="G32" i="6" s="1"/>
  <c r="E29" i="7" s="1"/>
  <c r="H32" i="5"/>
  <c r="H32" i="6" s="1"/>
  <c r="I32" i="5"/>
  <c r="I32" i="6" s="1"/>
  <c r="F29" i="7" s="1"/>
  <c r="B30" i="7"/>
  <c r="C33" i="6"/>
  <c r="D33" i="5"/>
  <c r="D33" i="6" s="1"/>
  <c r="E33" i="5"/>
  <c r="E33" i="6" s="1"/>
  <c r="F33" i="5"/>
  <c r="F33" i="6" s="1"/>
  <c r="G33" i="5"/>
  <c r="G33" i="6" s="1"/>
  <c r="E30" i="7" s="1"/>
  <c r="H33" i="5"/>
  <c r="H33" i="6" s="1"/>
  <c r="I33" i="5"/>
  <c r="I33" i="6" s="1"/>
  <c r="F30" i="7" s="1"/>
  <c r="B31" i="7"/>
  <c r="C34" i="6"/>
  <c r="D34" i="5"/>
  <c r="D34" i="6" s="1"/>
  <c r="E34" i="5"/>
  <c r="E34" i="6" s="1"/>
  <c r="F34" i="5"/>
  <c r="F34" i="6" s="1"/>
  <c r="G34" i="5"/>
  <c r="G34" i="6" s="1"/>
  <c r="E31" i="7" s="1"/>
  <c r="H34" i="5"/>
  <c r="H34" i="6" s="1"/>
  <c r="I34" i="5"/>
  <c r="I34" i="6" s="1"/>
  <c r="F31" i="7" s="1"/>
  <c r="B32" i="7"/>
  <c r="C35" i="6"/>
  <c r="D35" i="5"/>
  <c r="D35" i="6" s="1"/>
  <c r="E35" i="5"/>
  <c r="E35" i="6" s="1"/>
  <c r="F35" i="5"/>
  <c r="F35" i="6" s="1"/>
  <c r="G35" i="5"/>
  <c r="G35" i="6" s="1"/>
  <c r="E32" i="7" s="1"/>
  <c r="H35" i="5"/>
  <c r="H35" i="6" s="1"/>
  <c r="I35" i="5"/>
  <c r="I35" i="6" s="1"/>
  <c r="F32" i="7" s="1"/>
  <c r="B33" i="7"/>
  <c r="C36" i="6"/>
  <c r="D36" i="5"/>
  <c r="D36" i="6" s="1"/>
  <c r="E36" i="5"/>
  <c r="E36" i="6" s="1"/>
  <c r="F36" i="5"/>
  <c r="F36" i="6" s="1"/>
  <c r="G36" i="5"/>
  <c r="G36" i="6" s="1"/>
  <c r="E33" i="7" s="1"/>
  <c r="H36" i="5"/>
  <c r="H36" i="6" s="1"/>
  <c r="I36" i="5"/>
  <c r="I36" i="6" s="1"/>
  <c r="F33" i="7" s="1"/>
  <c r="B34" i="7"/>
  <c r="C37" i="6"/>
  <c r="D37" i="5"/>
  <c r="D37" i="6" s="1"/>
  <c r="E37" i="5"/>
  <c r="E37" i="6" s="1"/>
  <c r="F37" i="5"/>
  <c r="F37" i="6" s="1"/>
  <c r="G37" i="5"/>
  <c r="G37" i="6" s="1"/>
  <c r="E34" i="7" s="1"/>
  <c r="H37" i="5"/>
  <c r="H37" i="6" s="1"/>
  <c r="I37" i="5"/>
  <c r="I37" i="6" s="1"/>
  <c r="F34" i="7" s="1"/>
  <c r="B35" i="7"/>
  <c r="C38" i="6"/>
  <c r="D38" i="5"/>
  <c r="D38" i="6" s="1"/>
  <c r="E38" i="5"/>
  <c r="E38" i="6" s="1"/>
  <c r="F38" i="5"/>
  <c r="F38" i="6" s="1"/>
  <c r="G38" i="5"/>
  <c r="G38" i="6" s="1"/>
  <c r="E35" i="7" s="1"/>
  <c r="H38" i="5"/>
  <c r="H38" i="6" s="1"/>
  <c r="I38" i="5"/>
  <c r="I38" i="6" s="1"/>
  <c r="F35" i="7" s="1"/>
  <c r="B36" i="7"/>
  <c r="C39" i="6"/>
  <c r="D39" i="5"/>
  <c r="D39" i="6" s="1"/>
  <c r="E39" i="5"/>
  <c r="E39" i="6" s="1"/>
  <c r="F39" i="5"/>
  <c r="F39" i="6" s="1"/>
  <c r="G39" i="5"/>
  <c r="G39" i="6" s="1"/>
  <c r="E36" i="7" s="1"/>
  <c r="H39" i="5"/>
  <c r="H39" i="6" s="1"/>
  <c r="I39" i="5"/>
  <c r="I39" i="6" s="1"/>
  <c r="F36" i="7" s="1"/>
  <c r="B37" i="7"/>
  <c r="C40" i="6"/>
  <c r="D40" i="5"/>
  <c r="D40" i="6" s="1"/>
  <c r="E40" i="5"/>
  <c r="E40" i="6" s="1"/>
  <c r="F40" i="5"/>
  <c r="F40" i="6" s="1"/>
  <c r="G40" i="5"/>
  <c r="G40" i="6" s="1"/>
  <c r="E37" i="7" s="1"/>
  <c r="H40" i="5"/>
  <c r="H40" i="6" s="1"/>
  <c r="I40" i="5"/>
  <c r="I40" i="6" s="1"/>
  <c r="F37" i="7" s="1"/>
  <c r="B38" i="7"/>
  <c r="C41" i="6"/>
  <c r="D41" i="5"/>
  <c r="D41" i="6" s="1"/>
  <c r="E41" i="5"/>
  <c r="E41" i="6" s="1"/>
  <c r="F41" i="5"/>
  <c r="F41" i="6" s="1"/>
  <c r="G41" i="5"/>
  <c r="G41" i="6" s="1"/>
  <c r="E38" i="7" s="1"/>
  <c r="H41" i="5"/>
  <c r="H41" i="6" s="1"/>
  <c r="I41" i="5"/>
  <c r="I41" i="6" s="1"/>
  <c r="F38" i="7" s="1"/>
  <c r="B39" i="7"/>
  <c r="C42" i="6"/>
  <c r="D42" i="5"/>
  <c r="D42" i="6" s="1"/>
  <c r="E42" i="5"/>
  <c r="E42" i="6" s="1"/>
  <c r="F42" i="5"/>
  <c r="F42" i="6" s="1"/>
  <c r="G42" i="5"/>
  <c r="G42" i="6" s="1"/>
  <c r="E39" i="7" s="1"/>
  <c r="H42" i="5"/>
  <c r="H42" i="6" s="1"/>
  <c r="I42" i="5"/>
  <c r="I42" i="6" s="1"/>
  <c r="F39" i="7" s="1"/>
  <c r="B40" i="7"/>
  <c r="C43" i="6"/>
  <c r="D43" i="5"/>
  <c r="D43" i="6" s="1"/>
  <c r="E43" i="5"/>
  <c r="E43" i="6" s="1"/>
  <c r="F43" i="5"/>
  <c r="F43" i="6" s="1"/>
  <c r="G43" i="5"/>
  <c r="G43" i="6" s="1"/>
  <c r="E40" i="7" s="1"/>
  <c r="H43" i="5"/>
  <c r="H43" i="6" s="1"/>
  <c r="I43" i="5"/>
  <c r="I43" i="6" s="1"/>
  <c r="F40" i="7" s="1"/>
  <c r="B41" i="7"/>
  <c r="C44" i="6"/>
  <c r="D44" i="5"/>
  <c r="D44" i="6" s="1"/>
  <c r="E44" i="5"/>
  <c r="E44" i="6" s="1"/>
  <c r="F44" i="5"/>
  <c r="F44" i="6" s="1"/>
  <c r="G44" i="5"/>
  <c r="G44" i="6" s="1"/>
  <c r="E41" i="7" s="1"/>
  <c r="H44" i="5"/>
  <c r="H44" i="6" s="1"/>
  <c r="I44" i="5"/>
  <c r="I44" i="6" s="1"/>
  <c r="F41" i="7" s="1"/>
  <c r="B42" i="7"/>
  <c r="C45" i="6"/>
  <c r="D45" i="5"/>
  <c r="D45" i="6" s="1"/>
  <c r="E45" i="5"/>
  <c r="E45" i="6" s="1"/>
  <c r="F45" i="5"/>
  <c r="F45" i="6" s="1"/>
  <c r="G45" i="5"/>
  <c r="G45" i="6" s="1"/>
  <c r="E42" i="7" s="1"/>
  <c r="H45" i="5"/>
  <c r="H45" i="6" s="1"/>
  <c r="I45" i="5"/>
  <c r="I45" i="6" s="1"/>
  <c r="F42" i="7" s="1"/>
  <c r="B43" i="7"/>
  <c r="C46" i="6"/>
  <c r="D46" i="5"/>
  <c r="D46" i="6" s="1"/>
  <c r="E46" i="5"/>
  <c r="E46" i="6" s="1"/>
  <c r="F46" i="5"/>
  <c r="F46" i="6" s="1"/>
  <c r="G46" i="5"/>
  <c r="G46" i="6" s="1"/>
  <c r="E43" i="7" s="1"/>
  <c r="H46" i="5"/>
  <c r="H46" i="6" s="1"/>
  <c r="I46" i="5"/>
  <c r="I46" i="6" s="1"/>
  <c r="F43" i="7" s="1"/>
  <c r="B44" i="7"/>
  <c r="C47" i="6"/>
  <c r="D47" i="5"/>
  <c r="D47" i="6" s="1"/>
  <c r="E47" i="5"/>
  <c r="E47" i="6" s="1"/>
  <c r="F47" i="5"/>
  <c r="F47" i="6" s="1"/>
  <c r="G47" i="5"/>
  <c r="G47" i="6" s="1"/>
  <c r="E44" i="7" s="1"/>
  <c r="H47" i="5"/>
  <c r="H47" i="6" s="1"/>
  <c r="I47" i="5"/>
  <c r="I47" i="6" s="1"/>
  <c r="F44" i="7" s="1"/>
  <c r="B45" i="7"/>
  <c r="C48" i="6"/>
  <c r="D48" i="5"/>
  <c r="D48" i="6" s="1"/>
  <c r="E48" i="5"/>
  <c r="E48" i="6" s="1"/>
  <c r="F48" i="5"/>
  <c r="F48" i="6" s="1"/>
  <c r="G48" i="5"/>
  <c r="G48" i="6" s="1"/>
  <c r="E45" i="7" s="1"/>
  <c r="H48" i="5"/>
  <c r="H48" i="6" s="1"/>
  <c r="I48" i="5"/>
  <c r="I48" i="6" s="1"/>
  <c r="F45" i="7" s="1"/>
  <c r="B46" i="7"/>
  <c r="C49" i="6"/>
  <c r="D49" i="5"/>
  <c r="D49" i="6" s="1"/>
  <c r="E49" i="5"/>
  <c r="E49" i="6" s="1"/>
  <c r="F49" i="5"/>
  <c r="F49" i="6" s="1"/>
  <c r="G49" i="5"/>
  <c r="G49" i="6" s="1"/>
  <c r="E46" i="7" s="1"/>
  <c r="H49" i="5"/>
  <c r="H49" i="6" s="1"/>
  <c r="I49" i="5"/>
  <c r="I49" i="6" s="1"/>
  <c r="F46" i="7" s="1"/>
  <c r="B47" i="7"/>
  <c r="C50" i="6"/>
  <c r="D50" i="5"/>
  <c r="D50" i="6" s="1"/>
  <c r="E50" i="5"/>
  <c r="E50" i="6" s="1"/>
  <c r="F50" i="5"/>
  <c r="F50" i="6" s="1"/>
  <c r="G50" i="5"/>
  <c r="G50" i="6" s="1"/>
  <c r="E47" i="7" s="1"/>
  <c r="H50" i="5"/>
  <c r="H50" i="6" s="1"/>
  <c r="I50" i="5"/>
  <c r="I50" i="6" s="1"/>
  <c r="F47" i="7" s="1"/>
  <c r="B48" i="7"/>
  <c r="C51" i="6"/>
  <c r="D51" i="5"/>
  <c r="D51" i="6" s="1"/>
  <c r="E51" i="5"/>
  <c r="E51" i="6" s="1"/>
  <c r="F51" i="5"/>
  <c r="F51" i="6" s="1"/>
  <c r="G51" i="5"/>
  <c r="G51" i="6" s="1"/>
  <c r="E48" i="7" s="1"/>
  <c r="H51" i="5"/>
  <c r="H51" i="6" s="1"/>
  <c r="I51" i="5"/>
  <c r="I51" i="6" s="1"/>
  <c r="F48" i="7" s="1"/>
  <c r="B49" i="7"/>
  <c r="C52" i="6"/>
  <c r="D52" i="5"/>
  <c r="D52" i="6" s="1"/>
  <c r="E52" i="5"/>
  <c r="E52" i="6" s="1"/>
  <c r="F52" i="5"/>
  <c r="F52" i="6" s="1"/>
  <c r="G52" i="5"/>
  <c r="G52" i="6" s="1"/>
  <c r="E49" i="7" s="1"/>
  <c r="H52" i="5"/>
  <c r="H52" i="6" s="1"/>
  <c r="I52" i="5"/>
  <c r="I52" i="6" s="1"/>
  <c r="F49" i="7" s="1"/>
  <c r="B50" i="7"/>
  <c r="C53" i="6"/>
  <c r="D53" i="5"/>
  <c r="D53" i="6" s="1"/>
  <c r="E53" i="5"/>
  <c r="E53" i="6" s="1"/>
  <c r="F53" i="5"/>
  <c r="F53" i="6" s="1"/>
  <c r="G53" i="5"/>
  <c r="G53" i="6" s="1"/>
  <c r="E50" i="7" s="1"/>
  <c r="H53" i="5"/>
  <c r="H53" i="6" s="1"/>
  <c r="I53" i="5"/>
  <c r="I53" i="6" s="1"/>
  <c r="F50" i="7" s="1"/>
  <c r="B51" i="7"/>
  <c r="C54" i="6"/>
  <c r="D54" i="5"/>
  <c r="D54" i="6" s="1"/>
  <c r="E54" i="5"/>
  <c r="E54" i="6" s="1"/>
  <c r="F54" i="5"/>
  <c r="F54" i="6" s="1"/>
  <c r="G54" i="5"/>
  <c r="G54" i="6" s="1"/>
  <c r="E51" i="7" s="1"/>
  <c r="H54" i="5"/>
  <c r="H54" i="6" s="1"/>
  <c r="I54" i="5"/>
  <c r="I54" i="6" s="1"/>
  <c r="F51" i="7" s="1"/>
  <c r="B52" i="7"/>
  <c r="C55" i="6"/>
  <c r="D55" i="5"/>
  <c r="D55" i="6" s="1"/>
  <c r="E55" i="5"/>
  <c r="E55" i="6" s="1"/>
  <c r="F55" i="5"/>
  <c r="F55" i="6" s="1"/>
  <c r="G55" i="5"/>
  <c r="G55" i="6" s="1"/>
  <c r="E52" i="7" s="1"/>
  <c r="H55" i="5"/>
  <c r="H55" i="6" s="1"/>
  <c r="I55" i="5"/>
  <c r="I55" i="6" s="1"/>
  <c r="F52" i="7" s="1"/>
  <c r="B53" i="7"/>
  <c r="C56" i="6"/>
  <c r="D56" i="5"/>
  <c r="D56" i="6" s="1"/>
  <c r="E56" i="5"/>
  <c r="E56" i="6" s="1"/>
  <c r="F56" i="5"/>
  <c r="F56" i="6" s="1"/>
  <c r="G56" i="5"/>
  <c r="G56" i="6" s="1"/>
  <c r="E53" i="7" s="1"/>
  <c r="H56" i="5"/>
  <c r="H56" i="6" s="1"/>
  <c r="I56" i="5"/>
  <c r="I56" i="6" s="1"/>
  <c r="F53" i="7" s="1"/>
  <c r="B54" i="7"/>
  <c r="C57" i="6"/>
  <c r="D57" i="5"/>
  <c r="D57" i="6" s="1"/>
  <c r="E57" i="5"/>
  <c r="E57" i="6" s="1"/>
  <c r="F57" i="5"/>
  <c r="F57" i="6" s="1"/>
  <c r="G57" i="5"/>
  <c r="G57" i="6" s="1"/>
  <c r="E54" i="7" s="1"/>
  <c r="H57" i="5"/>
  <c r="H57" i="6" s="1"/>
  <c r="I57" i="5"/>
  <c r="I57" i="6" s="1"/>
  <c r="F54" i="7" s="1"/>
  <c r="B55" i="7"/>
  <c r="C58" i="6"/>
  <c r="D58" i="5"/>
  <c r="D58" i="6" s="1"/>
  <c r="E58" i="5"/>
  <c r="E58" i="6" s="1"/>
  <c r="F58" i="5"/>
  <c r="F58" i="6" s="1"/>
  <c r="G58" i="5"/>
  <c r="G58" i="6" s="1"/>
  <c r="E55" i="7" s="1"/>
  <c r="H58" i="5"/>
  <c r="H58" i="6" s="1"/>
  <c r="I58" i="5"/>
  <c r="I58" i="6" s="1"/>
  <c r="F55" i="7" s="1"/>
  <c r="B56" i="7"/>
  <c r="C59" i="6"/>
  <c r="D59" i="5"/>
  <c r="D59" i="6" s="1"/>
  <c r="E59" i="5"/>
  <c r="E59" i="6" s="1"/>
  <c r="F59" i="5"/>
  <c r="F59" i="6" s="1"/>
  <c r="G59" i="5"/>
  <c r="G59" i="6" s="1"/>
  <c r="E56" i="7" s="1"/>
  <c r="H59" i="5"/>
  <c r="H59" i="6" s="1"/>
  <c r="I59" i="5"/>
  <c r="I59" i="6" s="1"/>
  <c r="F56" i="7" s="1"/>
  <c r="B57" i="7"/>
  <c r="C60" i="6"/>
  <c r="D60" i="5"/>
  <c r="D60" i="6" s="1"/>
  <c r="E60" i="5"/>
  <c r="E60" i="6" s="1"/>
  <c r="F60" i="5"/>
  <c r="F60" i="6" s="1"/>
  <c r="G60" i="5"/>
  <c r="G60" i="6" s="1"/>
  <c r="E57" i="7" s="1"/>
  <c r="H60" i="5"/>
  <c r="H60" i="6" s="1"/>
  <c r="I60" i="5"/>
  <c r="I60" i="6" s="1"/>
  <c r="F57" i="7" s="1"/>
  <c r="B58" i="7"/>
  <c r="C61" i="6"/>
  <c r="D61" i="5"/>
  <c r="D61" i="6" s="1"/>
  <c r="E61" i="5"/>
  <c r="E61" i="6" s="1"/>
  <c r="F61" i="5"/>
  <c r="F61" i="6" s="1"/>
  <c r="G61" i="5"/>
  <c r="G61" i="6" s="1"/>
  <c r="E58" i="7" s="1"/>
  <c r="H61" i="5"/>
  <c r="H61" i="6" s="1"/>
  <c r="I61" i="5"/>
  <c r="I61" i="6" s="1"/>
  <c r="F58" i="7" s="1"/>
  <c r="B59" i="7"/>
  <c r="C62" i="6"/>
  <c r="D62" i="5"/>
  <c r="D62" i="6" s="1"/>
  <c r="E62" i="5"/>
  <c r="E62" i="6" s="1"/>
  <c r="F62" i="5"/>
  <c r="F62" i="6" s="1"/>
  <c r="G62" i="5"/>
  <c r="G62" i="6" s="1"/>
  <c r="E59" i="7" s="1"/>
  <c r="H62" i="5"/>
  <c r="H62" i="6" s="1"/>
  <c r="I62" i="5"/>
  <c r="I62" i="6" s="1"/>
  <c r="F59" i="7" s="1"/>
  <c r="B60" i="7"/>
  <c r="C63" i="6"/>
  <c r="D63" i="5"/>
  <c r="D63" i="6" s="1"/>
  <c r="E63" i="5"/>
  <c r="E63" i="6" s="1"/>
  <c r="F63" i="5"/>
  <c r="F63" i="6" s="1"/>
  <c r="G63" i="5"/>
  <c r="G63" i="6" s="1"/>
  <c r="E60" i="7" s="1"/>
  <c r="H63" i="5"/>
  <c r="H63" i="6" s="1"/>
  <c r="I63" i="5"/>
  <c r="I63" i="6" s="1"/>
  <c r="F60" i="7" s="1"/>
  <c r="B61" i="7"/>
  <c r="C64" i="6"/>
  <c r="D64" i="5"/>
  <c r="D64" i="6" s="1"/>
  <c r="E64" i="5"/>
  <c r="E64" i="6" s="1"/>
  <c r="F64" i="5"/>
  <c r="F64" i="6" s="1"/>
  <c r="G64" i="5"/>
  <c r="G64" i="6" s="1"/>
  <c r="E61" i="7" s="1"/>
  <c r="H64" i="5"/>
  <c r="H64" i="6" s="1"/>
  <c r="I64" i="5"/>
  <c r="I64" i="6" s="1"/>
  <c r="F61" i="7" s="1"/>
  <c r="B62" i="7"/>
  <c r="C65" i="6"/>
  <c r="D65" i="5"/>
  <c r="D65" i="6" s="1"/>
  <c r="E65" i="5"/>
  <c r="E65" i="6" s="1"/>
  <c r="F65" i="5"/>
  <c r="F65" i="6" s="1"/>
  <c r="G65" i="5"/>
  <c r="G65" i="6" s="1"/>
  <c r="E62" i="7" s="1"/>
  <c r="H65" i="5"/>
  <c r="H65" i="6" s="1"/>
  <c r="I65" i="5"/>
  <c r="I65" i="6" s="1"/>
  <c r="F62" i="7" s="1"/>
  <c r="B63" i="7"/>
  <c r="C66" i="6"/>
  <c r="D66" i="5"/>
  <c r="D66" i="6" s="1"/>
  <c r="E66" i="5"/>
  <c r="E66" i="6" s="1"/>
  <c r="F66" i="5"/>
  <c r="F66" i="6" s="1"/>
  <c r="G66" i="5"/>
  <c r="G66" i="6" s="1"/>
  <c r="E63" i="7" s="1"/>
  <c r="H66" i="5"/>
  <c r="H66" i="6" s="1"/>
  <c r="I66" i="5"/>
  <c r="I66" i="6" s="1"/>
  <c r="F63" i="7" s="1"/>
  <c r="B64" i="7"/>
  <c r="C67" i="6"/>
  <c r="D67" i="5"/>
  <c r="D67" i="6" s="1"/>
  <c r="E67" i="5"/>
  <c r="E67" i="6" s="1"/>
  <c r="F67" i="5"/>
  <c r="F67" i="6" s="1"/>
  <c r="G67" i="5"/>
  <c r="G67" i="6" s="1"/>
  <c r="E64" i="7" s="1"/>
  <c r="H67" i="5"/>
  <c r="H67" i="6" s="1"/>
  <c r="I67" i="5"/>
  <c r="I67" i="6" s="1"/>
  <c r="F64" i="7" s="1"/>
  <c r="B65" i="7"/>
  <c r="C68" i="6"/>
  <c r="D68" i="5"/>
  <c r="D68" i="6" s="1"/>
  <c r="E68" i="5"/>
  <c r="E68" i="6" s="1"/>
  <c r="F68" i="5"/>
  <c r="F68" i="6" s="1"/>
  <c r="G68" i="5"/>
  <c r="G68" i="6" s="1"/>
  <c r="E65" i="7" s="1"/>
  <c r="H68" i="5"/>
  <c r="H68" i="6" s="1"/>
  <c r="I68" i="5"/>
  <c r="I68" i="6" s="1"/>
  <c r="F65" i="7" s="1"/>
  <c r="B66" i="7"/>
  <c r="C69" i="6"/>
  <c r="D69" i="5"/>
  <c r="D69" i="6" s="1"/>
  <c r="E69" i="5"/>
  <c r="E69" i="6" s="1"/>
  <c r="F69" i="5"/>
  <c r="F69" i="6" s="1"/>
  <c r="G69" i="5"/>
  <c r="G69" i="6" s="1"/>
  <c r="E66" i="7" s="1"/>
  <c r="H69" i="5"/>
  <c r="H69" i="6" s="1"/>
  <c r="I69" i="5"/>
  <c r="I69" i="6" s="1"/>
  <c r="F66" i="7" s="1"/>
  <c r="B67" i="7"/>
  <c r="C70" i="6"/>
  <c r="D70" i="5"/>
  <c r="D70" i="6" s="1"/>
  <c r="E70" i="5"/>
  <c r="E70" i="6" s="1"/>
  <c r="F70" i="5"/>
  <c r="F70" i="6" s="1"/>
  <c r="G70" i="5"/>
  <c r="G70" i="6" s="1"/>
  <c r="E67" i="7" s="1"/>
  <c r="H70" i="5"/>
  <c r="H70" i="6" s="1"/>
  <c r="I70" i="5"/>
  <c r="I70" i="6" s="1"/>
  <c r="F67" i="7" s="1"/>
  <c r="B68" i="7"/>
  <c r="C71" i="6"/>
  <c r="D71" i="6"/>
  <c r="E71" i="5"/>
  <c r="E71" i="6" s="1"/>
  <c r="F71" i="5"/>
  <c r="F71" i="6" s="1"/>
  <c r="G71" i="5"/>
  <c r="G71" i="6" s="1"/>
  <c r="E68" i="7" s="1"/>
  <c r="H71" i="5"/>
  <c r="H71" i="6" s="1"/>
  <c r="I71" i="5"/>
  <c r="I71" i="6" s="1"/>
  <c r="F68" i="7" s="1"/>
  <c r="B69" i="7"/>
  <c r="C72" i="6"/>
  <c r="D72" i="5"/>
  <c r="D72" i="6" s="1"/>
  <c r="E72" i="5"/>
  <c r="E72" i="6" s="1"/>
  <c r="F72" i="5"/>
  <c r="F72" i="6" s="1"/>
  <c r="G72" i="5"/>
  <c r="G72" i="6" s="1"/>
  <c r="E69" i="7" s="1"/>
  <c r="H72" i="5"/>
  <c r="H72" i="6" s="1"/>
  <c r="I72" i="5"/>
  <c r="I72" i="6" s="1"/>
  <c r="F69" i="7" s="1"/>
  <c r="B70" i="7"/>
  <c r="C73" i="6"/>
  <c r="D73" i="5"/>
  <c r="D73" i="6" s="1"/>
  <c r="E73" i="5"/>
  <c r="E73" i="6" s="1"/>
  <c r="F73" i="5"/>
  <c r="F73" i="6" s="1"/>
  <c r="G73" i="5"/>
  <c r="G73" i="6" s="1"/>
  <c r="E70" i="7" s="1"/>
  <c r="H73" i="5"/>
  <c r="H73" i="6" s="1"/>
  <c r="I73" i="5"/>
  <c r="I73" i="6" s="1"/>
  <c r="F70" i="7" s="1"/>
  <c r="B71" i="7"/>
  <c r="C74" i="6"/>
  <c r="D74" i="5"/>
  <c r="D74" i="6" s="1"/>
  <c r="E74" i="5"/>
  <c r="E74" i="6" s="1"/>
  <c r="F74" i="5"/>
  <c r="F74" i="6" s="1"/>
  <c r="G74" i="5"/>
  <c r="G74" i="6" s="1"/>
  <c r="E71" i="7" s="1"/>
  <c r="H74" i="5"/>
  <c r="H74" i="6" s="1"/>
  <c r="I74" i="5"/>
  <c r="I74" i="6" s="1"/>
  <c r="F71" i="7" s="1"/>
  <c r="B72" i="7"/>
  <c r="C75" i="6"/>
  <c r="D75" i="5"/>
  <c r="D75" i="6" s="1"/>
  <c r="E75" i="5"/>
  <c r="E75" i="6" s="1"/>
  <c r="F75" i="5"/>
  <c r="F75" i="6" s="1"/>
  <c r="G75" i="5"/>
  <c r="G75" i="6" s="1"/>
  <c r="E72" i="7" s="1"/>
  <c r="H75" i="5"/>
  <c r="H75" i="6" s="1"/>
  <c r="I75" i="5"/>
  <c r="I75" i="6" s="1"/>
  <c r="F72" i="7" s="1"/>
  <c r="B73" i="7"/>
  <c r="C76" i="6"/>
  <c r="D76" i="5"/>
  <c r="D76" i="6" s="1"/>
  <c r="E76" i="5"/>
  <c r="E76" i="6" s="1"/>
  <c r="F76" i="5"/>
  <c r="F76" i="6" s="1"/>
  <c r="G76" i="5"/>
  <c r="G76" i="6" s="1"/>
  <c r="E73" i="7" s="1"/>
  <c r="H76" i="5"/>
  <c r="H76" i="6" s="1"/>
  <c r="I76" i="5"/>
  <c r="I76" i="6" s="1"/>
  <c r="F73" i="7" s="1"/>
  <c r="B74" i="7"/>
  <c r="C77" i="6"/>
  <c r="D77" i="5"/>
  <c r="D77" i="6" s="1"/>
  <c r="E77" i="5"/>
  <c r="E77" i="6" s="1"/>
  <c r="F77" i="5"/>
  <c r="F77" i="6" s="1"/>
  <c r="G77" i="5"/>
  <c r="G77" i="6" s="1"/>
  <c r="E74" i="7" s="1"/>
  <c r="H77" i="5"/>
  <c r="H77" i="6" s="1"/>
  <c r="I77" i="5"/>
  <c r="I77" i="6" s="1"/>
  <c r="F74" i="7" s="1"/>
  <c r="B75" i="7"/>
  <c r="C78" i="6"/>
  <c r="D78" i="5"/>
  <c r="D78" i="6" s="1"/>
  <c r="E78" i="5"/>
  <c r="E78" i="6" s="1"/>
  <c r="F78" i="5"/>
  <c r="F78" i="6" s="1"/>
  <c r="G78" i="5"/>
  <c r="G78" i="6" s="1"/>
  <c r="E75" i="7" s="1"/>
  <c r="H78" i="5"/>
  <c r="H78" i="6" s="1"/>
  <c r="I78" i="5"/>
  <c r="I78" i="6" s="1"/>
  <c r="F75" i="7" s="1"/>
  <c r="B76" i="7"/>
  <c r="C79" i="6"/>
  <c r="D79" i="5"/>
  <c r="D79" i="6" s="1"/>
  <c r="E79" i="5"/>
  <c r="E79" i="6" s="1"/>
  <c r="F79" i="5"/>
  <c r="F79" i="6" s="1"/>
  <c r="G79" i="5"/>
  <c r="G79" i="6" s="1"/>
  <c r="E76" i="7" s="1"/>
  <c r="H79" i="5"/>
  <c r="H79" i="6" s="1"/>
  <c r="I79" i="5"/>
  <c r="I79" i="6" s="1"/>
  <c r="F76" i="7" s="1"/>
  <c r="B77" i="7"/>
  <c r="C80" i="6"/>
  <c r="D80" i="5"/>
  <c r="D80" i="6" s="1"/>
  <c r="E80" i="5"/>
  <c r="E80" i="6" s="1"/>
  <c r="F80" i="5"/>
  <c r="F80" i="6" s="1"/>
  <c r="G80" i="5"/>
  <c r="G80" i="6" s="1"/>
  <c r="E77" i="7" s="1"/>
  <c r="H80" i="5"/>
  <c r="H80" i="6" s="1"/>
  <c r="I80" i="5"/>
  <c r="I80" i="6" s="1"/>
  <c r="F77" i="7" s="1"/>
  <c r="B78" i="7"/>
  <c r="C81" i="6"/>
  <c r="D81" i="5"/>
  <c r="D81" i="6" s="1"/>
  <c r="E81" i="5"/>
  <c r="E81" i="6" s="1"/>
  <c r="F81" i="5"/>
  <c r="F81" i="6" s="1"/>
  <c r="G81" i="5"/>
  <c r="G81" i="6" s="1"/>
  <c r="E78" i="7" s="1"/>
  <c r="H81" i="5"/>
  <c r="H81" i="6" s="1"/>
  <c r="I81" i="5"/>
  <c r="I81" i="6" s="1"/>
  <c r="F78" i="7" s="1"/>
  <c r="B79" i="7"/>
  <c r="C82" i="6"/>
  <c r="D82" i="5"/>
  <c r="D82" i="6" s="1"/>
  <c r="E82" i="5"/>
  <c r="E82" i="6" s="1"/>
  <c r="F82" i="5"/>
  <c r="F82" i="6" s="1"/>
  <c r="G82" i="5"/>
  <c r="G82" i="6" s="1"/>
  <c r="E79" i="7" s="1"/>
  <c r="H82" i="5"/>
  <c r="H82" i="6" s="1"/>
  <c r="I82" i="5"/>
  <c r="I82" i="6" s="1"/>
  <c r="F79" i="7" s="1"/>
  <c r="B80" i="7"/>
  <c r="C83" i="6"/>
  <c r="D83" i="5"/>
  <c r="D83" i="6" s="1"/>
  <c r="E83" i="5"/>
  <c r="E83" i="6" s="1"/>
  <c r="F83" i="5"/>
  <c r="F83" i="6" s="1"/>
  <c r="G83" i="5"/>
  <c r="G83" i="6" s="1"/>
  <c r="E80" i="7" s="1"/>
  <c r="H83" i="5"/>
  <c r="H83" i="6" s="1"/>
  <c r="I83" i="5"/>
  <c r="I83" i="6" s="1"/>
  <c r="F80" i="7" s="1"/>
  <c r="B81" i="7"/>
  <c r="C84" i="6"/>
  <c r="D84" i="5"/>
  <c r="D84" i="6" s="1"/>
  <c r="E84" i="5"/>
  <c r="E84" i="6" s="1"/>
  <c r="F84" i="5"/>
  <c r="F84" i="6" s="1"/>
  <c r="G84" i="5"/>
  <c r="G84" i="6" s="1"/>
  <c r="E81" i="7" s="1"/>
  <c r="H84" i="5"/>
  <c r="H84" i="6" s="1"/>
  <c r="I84" i="5"/>
  <c r="I84" i="6" s="1"/>
  <c r="F81" i="7" s="1"/>
  <c r="B82" i="7"/>
  <c r="C85" i="6"/>
  <c r="D85" i="5"/>
  <c r="D85" i="6" s="1"/>
  <c r="E85" i="5"/>
  <c r="E85" i="6" s="1"/>
  <c r="F85" i="5"/>
  <c r="F85" i="6" s="1"/>
  <c r="G85" i="5"/>
  <c r="G85" i="6" s="1"/>
  <c r="E82" i="7" s="1"/>
  <c r="H85" i="5"/>
  <c r="H85" i="6" s="1"/>
  <c r="I85" i="5"/>
  <c r="I85" i="6" s="1"/>
  <c r="F82" i="7" s="1"/>
  <c r="B83" i="7"/>
  <c r="C86" i="6"/>
  <c r="D86" i="5"/>
  <c r="D86" i="6" s="1"/>
  <c r="E86" i="5"/>
  <c r="E86" i="6" s="1"/>
  <c r="F86" i="5"/>
  <c r="F86" i="6" s="1"/>
  <c r="G86" i="5"/>
  <c r="G86" i="6" s="1"/>
  <c r="E83" i="7" s="1"/>
  <c r="H86" i="5"/>
  <c r="H86" i="6" s="1"/>
  <c r="I86" i="5"/>
  <c r="I86" i="6" s="1"/>
  <c r="F83" i="7" s="1"/>
  <c r="B84" i="7"/>
  <c r="C87" i="6"/>
  <c r="D87" i="5"/>
  <c r="D87" i="6" s="1"/>
  <c r="E87" i="5"/>
  <c r="E87" i="6" s="1"/>
  <c r="F87" i="5"/>
  <c r="F87" i="6" s="1"/>
  <c r="G87" i="5"/>
  <c r="G87" i="6" s="1"/>
  <c r="E84" i="7" s="1"/>
  <c r="H87" i="5"/>
  <c r="H87" i="6" s="1"/>
  <c r="I87" i="5"/>
  <c r="I87" i="6" s="1"/>
  <c r="F84" i="7" s="1"/>
  <c r="B85" i="7"/>
  <c r="C88" i="6"/>
  <c r="D88" i="5"/>
  <c r="D88" i="6" s="1"/>
  <c r="E88" i="5"/>
  <c r="E88" i="6" s="1"/>
  <c r="F88" i="5"/>
  <c r="F88" i="6" s="1"/>
  <c r="G88" i="5"/>
  <c r="G88" i="6" s="1"/>
  <c r="E85" i="7" s="1"/>
  <c r="H88" i="5"/>
  <c r="H88" i="6" s="1"/>
  <c r="I88" i="5"/>
  <c r="I88" i="6" s="1"/>
  <c r="F85" i="7" s="1"/>
  <c r="B86" i="7"/>
  <c r="C89" i="6"/>
  <c r="D89" i="5"/>
  <c r="D89" i="6" s="1"/>
  <c r="E89" i="5"/>
  <c r="E89" i="6" s="1"/>
  <c r="F89" i="5"/>
  <c r="F89" i="6" s="1"/>
  <c r="G89" i="5"/>
  <c r="G89" i="6" s="1"/>
  <c r="E86" i="7" s="1"/>
  <c r="H89" i="5"/>
  <c r="H89" i="6" s="1"/>
  <c r="I89" i="5"/>
  <c r="I89" i="6" s="1"/>
  <c r="F86" i="7" s="1"/>
  <c r="B87" i="7"/>
  <c r="C90" i="6"/>
  <c r="D90" i="5"/>
  <c r="D90" i="6" s="1"/>
  <c r="E90" i="5"/>
  <c r="E90" i="6" s="1"/>
  <c r="F90" i="5"/>
  <c r="F90" i="6" s="1"/>
  <c r="G90" i="5"/>
  <c r="G90" i="6" s="1"/>
  <c r="E87" i="7" s="1"/>
  <c r="H90" i="5"/>
  <c r="H90" i="6" s="1"/>
  <c r="I90" i="5"/>
  <c r="I90" i="6" s="1"/>
  <c r="F87" i="7" s="1"/>
  <c r="B88" i="7"/>
  <c r="C91" i="6"/>
  <c r="D91" i="5"/>
  <c r="D91" i="6" s="1"/>
  <c r="E91" i="5"/>
  <c r="E91" i="6" s="1"/>
  <c r="F91" i="5"/>
  <c r="F91" i="6" s="1"/>
  <c r="G91" i="5"/>
  <c r="G91" i="6" s="1"/>
  <c r="E88" i="7" s="1"/>
  <c r="H91" i="5"/>
  <c r="H91" i="6" s="1"/>
  <c r="I91" i="5"/>
  <c r="I91" i="6" s="1"/>
  <c r="F88" i="7" s="1"/>
  <c r="B89" i="7"/>
  <c r="C92" i="6"/>
  <c r="D92" i="5"/>
  <c r="D92" i="6" s="1"/>
  <c r="E92" i="5"/>
  <c r="E92" i="6" s="1"/>
  <c r="F92" i="5"/>
  <c r="F92" i="6" s="1"/>
  <c r="G92" i="5"/>
  <c r="G92" i="6" s="1"/>
  <c r="E89" i="7" s="1"/>
  <c r="H92" i="5"/>
  <c r="H92" i="6" s="1"/>
  <c r="I92" i="5"/>
  <c r="I92" i="6" s="1"/>
  <c r="F89" i="7" s="1"/>
  <c r="B90" i="7"/>
  <c r="C93" i="6"/>
  <c r="D93" i="5"/>
  <c r="D93" i="6" s="1"/>
  <c r="E93" i="5"/>
  <c r="E93" i="6" s="1"/>
  <c r="F93" i="5"/>
  <c r="F93" i="6" s="1"/>
  <c r="G93" i="5"/>
  <c r="G93" i="6" s="1"/>
  <c r="E90" i="7" s="1"/>
  <c r="H93" i="5"/>
  <c r="H93" i="6" s="1"/>
  <c r="I93" i="5"/>
  <c r="I93" i="6" s="1"/>
  <c r="F90" i="7" s="1"/>
  <c r="B91" i="7"/>
  <c r="C94" i="6"/>
  <c r="D94" i="5"/>
  <c r="D94" i="6" s="1"/>
  <c r="E94" i="5"/>
  <c r="E94" i="6" s="1"/>
  <c r="F94" i="5"/>
  <c r="F94" i="6" s="1"/>
  <c r="G94" i="5"/>
  <c r="G94" i="6" s="1"/>
  <c r="E91" i="7" s="1"/>
  <c r="H94" i="5"/>
  <c r="H94" i="6" s="1"/>
  <c r="I94" i="5"/>
  <c r="I94" i="6" s="1"/>
  <c r="F91" i="7" s="1"/>
  <c r="B92" i="7"/>
  <c r="C95" i="6"/>
  <c r="D95" i="5"/>
  <c r="D95" i="6" s="1"/>
  <c r="E95" i="5"/>
  <c r="E95" i="6" s="1"/>
  <c r="F95" i="5"/>
  <c r="F95" i="6" s="1"/>
  <c r="G95" i="5"/>
  <c r="G95" i="6" s="1"/>
  <c r="E92" i="7" s="1"/>
  <c r="H95" i="5"/>
  <c r="H95" i="6" s="1"/>
  <c r="I95" i="5"/>
  <c r="I95" i="6" s="1"/>
  <c r="F92" i="7" s="1"/>
  <c r="B93" i="7"/>
  <c r="C96" i="6"/>
  <c r="D96" i="5"/>
  <c r="D96" i="6" s="1"/>
  <c r="E96" i="5"/>
  <c r="E96" i="6" s="1"/>
  <c r="F96" i="5"/>
  <c r="F96" i="6" s="1"/>
  <c r="G96" i="5"/>
  <c r="G96" i="6" s="1"/>
  <c r="E93" i="7" s="1"/>
  <c r="H96" i="5"/>
  <c r="H96" i="6" s="1"/>
  <c r="I96" i="5"/>
  <c r="I96" i="6" s="1"/>
  <c r="F93" i="7" s="1"/>
  <c r="B94" i="7"/>
  <c r="C97" i="6"/>
  <c r="D97" i="5"/>
  <c r="D97" i="6" s="1"/>
  <c r="E97" i="5"/>
  <c r="E97" i="6" s="1"/>
  <c r="F97" i="5"/>
  <c r="F97" i="6" s="1"/>
  <c r="G97" i="5"/>
  <c r="G97" i="6" s="1"/>
  <c r="E94" i="7" s="1"/>
  <c r="H97" i="5"/>
  <c r="H97" i="6" s="1"/>
  <c r="I97" i="5"/>
  <c r="I97" i="6" s="1"/>
  <c r="F94" i="7" s="1"/>
  <c r="B95" i="7"/>
  <c r="C98" i="6"/>
  <c r="D98" i="5"/>
  <c r="D98" i="6" s="1"/>
  <c r="E98" i="5"/>
  <c r="E98" i="6" s="1"/>
  <c r="F98" i="5"/>
  <c r="F98" i="6" s="1"/>
  <c r="G98" i="5"/>
  <c r="G98" i="6" s="1"/>
  <c r="E95" i="7" s="1"/>
  <c r="H98" i="5"/>
  <c r="H98" i="6" s="1"/>
  <c r="I98" i="5"/>
  <c r="I98" i="6" s="1"/>
  <c r="F95" i="7" s="1"/>
  <c r="B96" i="7"/>
  <c r="C99" i="6"/>
  <c r="D99" i="5"/>
  <c r="D99" i="6" s="1"/>
  <c r="E99" i="5"/>
  <c r="E99" i="6" s="1"/>
  <c r="F99" i="5"/>
  <c r="F99" i="6" s="1"/>
  <c r="G99" i="5"/>
  <c r="G99" i="6" s="1"/>
  <c r="E96" i="7" s="1"/>
  <c r="H99" i="5"/>
  <c r="H99" i="6" s="1"/>
  <c r="I99" i="5"/>
  <c r="I99" i="6" s="1"/>
  <c r="F96" i="7" s="1"/>
  <c r="B97" i="7"/>
  <c r="C100" i="6"/>
  <c r="D100" i="5"/>
  <c r="D100" i="6" s="1"/>
  <c r="E100" i="5"/>
  <c r="E100" i="6" s="1"/>
  <c r="F100" i="5"/>
  <c r="F100" i="6" s="1"/>
  <c r="G100" i="5"/>
  <c r="G100" i="6" s="1"/>
  <c r="E97" i="7" s="1"/>
  <c r="H100" i="5"/>
  <c r="H100" i="6" s="1"/>
  <c r="I100" i="5"/>
  <c r="I100" i="6" s="1"/>
  <c r="F97" i="7" s="1"/>
  <c r="B98" i="7"/>
  <c r="C101" i="6"/>
  <c r="D101" i="5"/>
  <c r="D101" i="6" s="1"/>
  <c r="E101" i="5"/>
  <c r="E101" i="6" s="1"/>
  <c r="F101" i="5"/>
  <c r="F101" i="6" s="1"/>
  <c r="G101" i="5"/>
  <c r="G101" i="6" s="1"/>
  <c r="E98" i="7" s="1"/>
  <c r="H101" i="5"/>
  <c r="H101" i="6" s="1"/>
  <c r="I101" i="5"/>
  <c r="I101" i="6" s="1"/>
  <c r="F98" i="7" s="1"/>
  <c r="B99" i="7"/>
  <c r="C102" i="6"/>
  <c r="D102" i="5"/>
  <c r="D102" i="6" s="1"/>
  <c r="E102" i="5"/>
  <c r="E102" i="6" s="1"/>
  <c r="F102" i="5"/>
  <c r="F102" i="6" s="1"/>
  <c r="G102" i="5"/>
  <c r="G102" i="6" s="1"/>
  <c r="E99" i="7" s="1"/>
  <c r="H102" i="5"/>
  <c r="H102" i="6" s="1"/>
  <c r="I102" i="5"/>
  <c r="I102" i="6" s="1"/>
  <c r="F99" i="7" s="1"/>
  <c r="B100" i="7"/>
  <c r="C103" i="6"/>
  <c r="D103" i="5"/>
  <c r="D103" i="6" s="1"/>
  <c r="E103" i="5"/>
  <c r="E103" i="6" s="1"/>
  <c r="F103" i="5"/>
  <c r="F103" i="6" s="1"/>
  <c r="G103" i="5"/>
  <c r="G103" i="6" s="1"/>
  <c r="E100" i="7" s="1"/>
  <c r="H103" i="5"/>
  <c r="H103" i="6" s="1"/>
  <c r="I103" i="5"/>
  <c r="I103" i="6" s="1"/>
  <c r="F100" i="7" s="1"/>
  <c r="B101" i="7"/>
  <c r="C104" i="6"/>
  <c r="D104" i="5"/>
  <c r="D104" i="6" s="1"/>
  <c r="E104" i="5"/>
  <c r="E104" i="6" s="1"/>
  <c r="F104" i="5"/>
  <c r="F104" i="6" s="1"/>
  <c r="G104" i="5"/>
  <c r="G104" i="6" s="1"/>
  <c r="E101" i="7" s="1"/>
  <c r="H104" i="5"/>
  <c r="H104" i="6" s="1"/>
  <c r="I104" i="5"/>
  <c r="I104" i="6" s="1"/>
  <c r="F101" i="7" s="1"/>
  <c r="B102" i="7"/>
  <c r="C105" i="6"/>
  <c r="D105" i="5"/>
  <c r="D105" i="6" s="1"/>
  <c r="E105" i="5"/>
  <c r="E105" i="6" s="1"/>
  <c r="F105" i="5"/>
  <c r="F105" i="6" s="1"/>
  <c r="G105" i="5"/>
  <c r="G105" i="6" s="1"/>
  <c r="E102" i="7" s="1"/>
  <c r="H105" i="5"/>
  <c r="H105" i="6" s="1"/>
  <c r="I105" i="5"/>
  <c r="I105" i="6" s="1"/>
  <c r="F102" i="7" s="1"/>
  <c r="B103" i="7"/>
  <c r="C106" i="6"/>
  <c r="D106" i="5"/>
  <c r="D106" i="6" s="1"/>
  <c r="E106" i="5"/>
  <c r="E106" i="6" s="1"/>
  <c r="F106" i="5"/>
  <c r="F106" i="6" s="1"/>
  <c r="G106" i="5"/>
  <c r="G106" i="6" s="1"/>
  <c r="E103" i="7" s="1"/>
  <c r="H106" i="5"/>
  <c r="H106" i="6" s="1"/>
  <c r="I106" i="5"/>
  <c r="I106" i="6" s="1"/>
  <c r="F103" i="7" s="1"/>
  <c r="B104" i="7"/>
  <c r="C107" i="6"/>
  <c r="D107" i="5"/>
  <c r="D107" i="6" s="1"/>
  <c r="E107" i="5"/>
  <c r="E107" i="6" s="1"/>
  <c r="F107" i="5"/>
  <c r="F107" i="6" s="1"/>
  <c r="G107" i="5"/>
  <c r="G107" i="6" s="1"/>
  <c r="E104" i="7" s="1"/>
  <c r="H107" i="5"/>
  <c r="H107" i="6" s="1"/>
  <c r="I107" i="5"/>
  <c r="I107" i="6" s="1"/>
  <c r="F104" i="7" s="1"/>
  <c r="B105" i="7"/>
  <c r="C108" i="6"/>
  <c r="D108" i="5"/>
  <c r="D108" i="6" s="1"/>
  <c r="E108" i="5"/>
  <c r="E108" i="6" s="1"/>
  <c r="F108" i="5"/>
  <c r="F108" i="6" s="1"/>
  <c r="G108" i="5"/>
  <c r="G108" i="6" s="1"/>
  <c r="E105" i="7" s="1"/>
  <c r="H108" i="5"/>
  <c r="H108" i="6" s="1"/>
  <c r="I108" i="5"/>
  <c r="I108" i="6" s="1"/>
  <c r="F105" i="7" s="1"/>
  <c r="B106" i="7"/>
  <c r="C109" i="6"/>
  <c r="D109" i="5"/>
  <c r="D109" i="6" s="1"/>
  <c r="E109" i="5"/>
  <c r="E109" i="6" s="1"/>
  <c r="F109" i="5"/>
  <c r="F109" i="6" s="1"/>
  <c r="G109" i="5"/>
  <c r="G109" i="6" s="1"/>
  <c r="E106" i="7" s="1"/>
  <c r="H109" i="5"/>
  <c r="H109" i="6" s="1"/>
  <c r="I109" i="5"/>
  <c r="I109" i="6" s="1"/>
  <c r="F106" i="7" s="1"/>
  <c r="I9" i="5"/>
  <c r="I9" i="6" s="1"/>
  <c r="F6" i="7" s="1"/>
  <c r="G9" i="5"/>
  <c r="G9" i="6" s="1"/>
  <c r="E6" i="7" s="1"/>
  <c r="H9" i="5"/>
  <c r="H9" i="6" s="1"/>
  <c r="N9" i="10" s="1"/>
  <c r="E9" i="5"/>
  <c r="E9" i="6" s="1"/>
  <c r="C7" i="10" s="1"/>
  <c r="F9" i="5"/>
  <c r="F9" i="6" s="1"/>
  <c r="C8" i="10" s="1"/>
  <c r="D9" i="5"/>
  <c r="D9" i="6" s="1"/>
  <c r="C6" i="10" s="1"/>
  <c r="C9" i="6"/>
  <c r="B6" i="7"/>
  <c r="K4" i="5"/>
  <c r="O9" i="6" l="1"/>
  <c r="C9" i="10"/>
  <c r="BH7" i="6"/>
  <c r="J4" i="6"/>
  <c r="J111" i="6" s="1"/>
  <c r="G5" i="8"/>
  <c r="O5" i="8" s="1"/>
  <c r="A13" i="10"/>
  <c r="BY14" i="5"/>
  <c r="BM13" i="6"/>
  <c r="C8" i="8"/>
  <c r="AT9" i="6"/>
  <c r="BF9" i="6"/>
  <c r="V9" i="6"/>
  <c r="AH9" i="6"/>
  <c r="C107" i="8"/>
  <c r="AT108" i="6"/>
  <c r="BF108" i="6"/>
  <c r="AH108" i="6"/>
  <c r="O108" i="6"/>
  <c r="V108" i="6"/>
  <c r="C106" i="8"/>
  <c r="V107" i="6"/>
  <c r="BF107" i="6"/>
  <c r="AH107" i="6"/>
  <c r="AT107" i="6"/>
  <c r="O107" i="6"/>
  <c r="C104" i="8"/>
  <c r="AH105" i="6"/>
  <c r="O105" i="6"/>
  <c r="V105" i="6"/>
  <c r="AT105" i="6"/>
  <c r="BF105" i="6"/>
  <c r="C102" i="8"/>
  <c r="V103" i="6"/>
  <c r="BF103" i="6"/>
  <c r="O103" i="6"/>
  <c r="AT103" i="6"/>
  <c r="AH103" i="6"/>
  <c r="C101" i="8"/>
  <c r="V102" i="6"/>
  <c r="AT102" i="6"/>
  <c r="BF102" i="6"/>
  <c r="AH102" i="6"/>
  <c r="O102" i="6"/>
  <c r="C99" i="8"/>
  <c r="BF100" i="6"/>
  <c r="V100" i="6"/>
  <c r="O100" i="6"/>
  <c r="AT100" i="6"/>
  <c r="AH100" i="6"/>
  <c r="C97" i="8"/>
  <c r="AT98" i="6"/>
  <c r="BF98" i="6"/>
  <c r="AH98" i="6"/>
  <c r="O98" i="6"/>
  <c r="V98" i="6"/>
  <c r="C96" i="8"/>
  <c r="AH97" i="6"/>
  <c r="V97" i="6"/>
  <c r="AT97" i="6"/>
  <c r="O97" i="6"/>
  <c r="BF97" i="6"/>
  <c r="C93" i="8"/>
  <c r="BF94" i="6"/>
  <c r="O94" i="6"/>
  <c r="AT94" i="6"/>
  <c r="V94" i="6"/>
  <c r="AH94" i="6"/>
  <c r="C92" i="8"/>
  <c r="BF93" i="6"/>
  <c r="O93" i="6"/>
  <c r="AH93" i="6"/>
  <c r="V93" i="6"/>
  <c r="AT93" i="6"/>
  <c r="C91" i="8"/>
  <c r="AT92" i="6"/>
  <c r="BF92" i="6"/>
  <c r="AH92" i="6"/>
  <c r="O92" i="6"/>
  <c r="V92" i="6"/>
  <c r="C90" i="8"/>
  <c r="AT91" i="6"/>
  <c r="O91" i="6"/>
  <c r="AH91" i="6"/>
  <c r="BF91" i="6"/>
  <c r="V91" i="6"/>
  <c r="C89" i="8"/>
  <c r="O90" i="6"/>
  <c r="V90" i="6"/>
  <c r="AH90" i="6"/>
  <c r="AT90" i="6"/>
  <c r="BF90" i="6"/>
  <c r="C88" i="8"/>
  <c r="V89" i="6"/>
  <c r="BF89" i="6"/>
  <c r="AT89" i="6"/>
  <c r="AH89" i="6"/>
  <c r="O89" i="6"/>
  <c r="C87" i="8"/>
  <c r="V88" i="6"/>
  <c r="BF88" i="6"/>
  <c r="AH88" i="6"/>
  <c r="O88" i="6"/>
  <c r="AT88" i="6"/>
  <c r="C86" i="8"/>
  <c r="BF87" i="6"/>
  <c r="V87" i="6"/>
  <c r="AH87" i="6"/>
  <c r="O87" i="6"/>
  <c r="AT87" i="6"/>
  <c r="C85" i="8"/>
  <c r="V86" i="6"/>
  <c r="AT86" i="6"/>
  <c r="BF86" i="6"/>
  <c r="AH86" i="6"/>
  <c r="O86" i="6"/>
  <c r="C84" i="8"/>
  <c r="AT85" i="6"/>
  <c r="AH85" i="6"/>
  <c r="V85" i="6"/>
  <c r="O85" i="6"/>
  <c r="BF85" i="6"/>
  <c r="C83" i="8"/>
  <c r="BF84" i="6"/>
  <c r="V84" i="6"/>
  <c r="O84" i="6"/>
  <c r="AT84" i="6"/>
  <c r="AH84" i="6"/>
  <c r="C82" i="8"/>
  <c r="AT83" i="6"/>
  <c r="AH83" i="6"/>
  <c r="V83" i="6"/>
  <c r="BF83" i="6"/>
  <c r="O83" i="6"/>
  <c r="C81" i="8"/>
  <c r="AT82" i="6"/>
  <c r="BF82" i="6"/>
  <c r="AH82" i="6"/>
  <c r="O82" i="6"/>
  <c r="V82" i="6"/>
  <c r="C80" i="8"/>
  <c r="V81" i="6"/>
  <c r="AT81" i="6"/>
  <c r="O81" i="6"/>
  <c r="AH81" i="6"/>
  <c r="BF81" i="6"/>
  <c r="C79" i="8"/>
  <c r="O80" i="6"/>
  <c r="AT80" i="6"/>
  <c r="AH80" i="6"/>
  <c r="BF80" i="6"/>
  <c r="V80" i="6"/>
  <c r="C78" i="8"/>
  <c r="AH79" i="6"/>
  <c r="BF79" i="6"/>
  <c r="V79" i="6"/>
  <c r="O79" i="6"/>
  <c r="AT79" i="6"/>
  <c r="C77" i="8"/>
  <c r="BF78" i="6"/>
  <c r="O78" i="6"/>
  <c r="AT78" i="6"/>
  <c r="V78" i="6"/>
  <c r="AH78" i="6"/>
  <c r="C76" i="8"/>
  <c r="AH77" i="6"/>
  <c r="V77" i="6"/>
  <c r="AT77" i="6"/>
  <c r="BF77" i="6"/>
  <c r="O77" i="6"/>
  <c r="C75" i="8"/>
  <c r="V76" i="6"/>
  <c r="AT76" i="6"/>
  <c r="BF76" i="6"/>
  <c r="AH76" i="6"/>
  <c r="O76" i="6"/>
  <c r="C74" i="8"/>
  <c r="AT75" i="6"/>
  <c r="O75" i="6"/>
  <c r="AH75" i="6"/>
  <c r="BF75" i="6"/>
  <c r="V75" i="6"/>
  <c r="C73" i="8"/>
  <c r="O74" i="6"/>
  <c r="V74" i="6"/>
  <c r="AH74" i="6"/>
  <c r="AT74" i="6"/>
  <c r="BF74" i="6"/>
  <c r="C72" i="8"/>
  <c r="AH73" i="6"/>
  <c r="O73" i="6"/>
  <c r="V73" i="6"/>
  <c r="BF73" i="6"/>
  <c r="AT73" i="6"/>
  <c r="C71" i="8"/>
  <c r="BF72" i="6"/>
  <c r="AH72" i="6"/>
  <c r="O72" i="6"/>
  <c r="V72" i="6"/>
  <c r="AT72" i="6"/>
  <c r="C70" i="8"/>
  <c r="V71" i="6"/>
  <c r="BF71" i="6"/>
  <c r="O71" i="6"/>
  <c r="AT71" i="6"/>
  <c r="AH71" i="6"/>
  <c r="C69" i="8"/>
  <c r="V70" i="6"/>
  <c r="AT70" i="6"/>
  <c r="BF70" i="6"/>
  <c r="AH70" i="6"/>
  <c r="O70" i="6"/>
  <c r="C68" i="8"/>
  <c r="AH69" i="6"/>
  <c r="BF69" i="6"/>
  <c r="AT69" i="6"/>
  <c r="V69" i="6"/>
  <c r="O69" i="6"/>
  <c r="C67" i="8"/>
  <c r="V68" i="6"/>
  <c r="AH68" i="6"/>
  <c r="BF68" i="6"/>
  <c r="O68" i="6"/>
  <c r="AT68" i="6"/>
  <c r="C66" i="8"/>
  <c r="AT67" i="6"/>
  <c r="V67" i="6"/>
  <c r="O67" i="6"/>
  <c r="BF67" i="6"/>
  <c r="AH67" i="6"/>
  <c r="C65" i="8"/>
  <c r="AT66" i="6"/>
  <c r="BF66" i="6"/>
  <c r="O66" i="6"/>
  <c r="AH66" i="6"/>
  <c r="V66" i="6"/>
  <c r="C64" i="8"/>
  <c r="BF65" i="6"/>
  <c r="AH65" i="6"/>
  <c r="AT65" i="6"/>
  <c r="V65" i="6"/>
  <c r="O65" i="6"/>
  <c r="C63" i="8"/>
  <c r="O64" i="6"/>
  <c r="AT64" i="6"/>
  <c r="AH64" i="6"/>
  <c r="BF64" i="6"/>
  <c r="V64" i="6"/>
  <c r="C62" i="8"/>
  <c r="BF63" i="6"/>
  <c r="O63" i="6"/>
  <c r="AT63" i="6"/>
  <c r="AH63" i="6"/>
  <c r="V63" i="6"/>
  <c r="C61" i="8"/>
  <c r="BF62" i="6"/>
  <c r="AT62" i="6"/>
  <c r="O62" i="6"/>
  <c r="AH62" i="6"/>
  <c r="V62" i="6"/>
  <c r="C60" i="8"/>
  <c r="AH61" i="6"/>
  <c r="V61" i="6"/>
  <c r="AT61" i="6"/>
  <c r="O61" i="6"/>
  <c r="BF61" i="6"/>
  <c r="C59" i="8"/>
  <c r="AT60" i="6"/>
  <c r="BF60" i="6"/>
  <c r="AH60" i="6"/>
  <c r="O60" i="6"/>
  <c r="V60" i="6"/>
  <c r="C58" i="8"/>
  <c r="AT59" i="6"/>
  <c r="AH59" i="6"/>
  <c r="V59" i="6"/>
  <c r="BF59" i="6"/>
  <c r="O59" i="6"/>
  <c r="C57" i="8"/>
  <c r="O58" i="6"/>
  <c r="V58" i="6"/>
  <c r="AH58" i="6"/>
  <c r="AT58" i="6"/>
  <c r="BF58" i="6"/>
  <c r="C56" i="8"/>
  <c r="AT57" i="6"/>
  <c r="AH57" i="6"/>
  <c r="O57" i="6"/>
  <c r="V57" i="6"/>
  <c r="BF57" i="6"/>
  <c r="C55" i="8"/>
  <c r="V56" i="6"/>
  <c r="BF56" i="6"/>
  <c r="AH56" i="6"/>
  <c r="O56" i="6"/>
  <c r="AT56" i="6"/>
  <c r="C54" i="8"/>
  <c r="AH55" i="6"/>
  <c r="BF55" i="6"/>
  <c r="O55" i="6"/>
  <c r="V55" i="6"/>
  <c r="AT55" i="6"/>
  <c r="C53" i="8"/>
  <c r="V54" i="6"/>
  <c r="AT54" i="6"/>
  <c r="BF54" i="6"/>
  <c r="AH54" i="6"/>
  <c r="O54" i="6"/>
  <c r="C52" i="8"/>
  <c r="AT53" i="6"/>
  <c r="V53" i="6"/>
  <c r="O53" i="6"/>
  <c r="AH53" i="6"/>
  <c r="BF53" i="6"/>
  <c r="C51" i="8"/>
  <c r="BF52" i="6"/>
  <c r="V52" i="6"/>
  <c r="O52" i="6"/>
  <c r="AT52" i="6"/>
  <c r="AH52" i="6"/>
  <c r="C50" i="8"/>
  <c r="AH51" i="6"/>
  <c r="V51" i="6"/>
  <c r="BF51" i="6"/>
  <c r="O51" i="6"/>
  <c r="AT51" i="6"/>
  <c r="C49" i="8"/>
  <c r="AT50" i="6"/>
  <c r="BF50" i="6"/>
  <c r="O50" i="6"/>
  <c r="AH50" i="6"/>
  <c r="V50" i="6"/>
  <c r="C48" i="8"/>
  <c r="V49" i="6"/>
  <c r="O49" i="6"/>
  <c r="BF49" i="6"/>
  <c r="AH49" i="6"/>
  <c r="AT49" i="6"/>
  <c r="C47" i="8"/>
  <c r="BF48" i="6"/>
  <c r="O48" i="6"/>
  <c r="V48" i="6"/>
  <c r="AT48" i="6"/>
  <c r="AH48" i="6"/>
  <c r="C46" i="8"/>
  <c r="V47" i="6"/>
  <c r="AT47" i="6"/>
  <c r="AH47" i="6"/>
  <c r="O47" i="6"/>
  <c r="BF47" i="6"/>
  <c r="C45" i="8"/>
  <c r="BF46" i="6"/>
  <c r="AT46" i="6"/>
  <c r="O46" i="6"/>
  <c r="AH46" i="6"/>
  <c r="V46" i="6"/>
  <c r="C44" i="8"/>
  <c r="O45" i="6"/>
  <c r="BF45" i="6"/>
  <c r="AH45" i="6"/>
  <c r="V45" i="6"/>
  <c r="AT45" i="6"/>
  <c r="C43" i="8"/>
  <c r="AT44" i="6"/>
  <c r="BF44" i="6"/>
  <c r="AH44" i="6"/>
  <c r="O44" i="6"/>
  <c r="V44" i="6"/>
  <c r="C42" i="8"/>
  <c r="V43" i="6"/>
  <c r="BF43" i="6"/>
  <c r="O43" i="6"/>
  <c r="AT43" i="6"/>
  <c r="AH43" i="6"/>
  <c r="C41" i="8"/>
  <c r="O42" i="6"/>
  <c r="V42" i="6"/>
  <c r="AH42" i="6"/>
  <c r="AT42" i="6"/>
  <c r="BF42" i="6"/>
  <c r="C40" i="8"/>
  <c r="V41" i="6"/>
  <c r="BF41" i="6"/>
  <c r="AT41" i="6"/>
  <c r="AH41" i="6"/>
  <c r="O41" i="6"/>
  <c r="C39" i="8"/>
  <c r="BF40" i="6"/>
  <c r="AH40" i="6"/>
  <c r="O40" i="6"/>
  <c r="AT40" i="6"/>
  <c r="V40" i="6"/>
  <c r="C38" i="8"/>
  <c r="BF39" i="6"/>
  <c r="O39" i="6"/>
  <c r="AH39" i="6"/>
  <c r="AT39" i="6"/>
  <c r="V39" i="6"/>
  <c r="C37" i="8"/>
  <c r="V38" i="6"/>
  <c r="AT38" i="6"/>
  <c r="BF38" i="6"/>
  <c r="AH38" i="6"/>
  <c r="O38" i="6"/>
  <c r="C36" i="8"/>
  <c r="AH37" i="6"/>
  <c r="BF37" i="6"/>
  <c r="AT37" i="6"/>
  <c r="V37" i="6"/>
  <c r="O37" i="6"/>
  <c r="C35" i="8"/>
  <c r="BF36" i="6"/>
  <c r="V36" i="6"/>
  <c r="O36" i="6"/>
  <c r="AT36" i="6"/>
  <c r="AH36" i="6"/>
  <c r="C34" i="8"/>
  <c r="BF35" i="6"/>
  <c r="O35" i="6"/>
  <c r="AT35" i="6"/>
  <c r="AH35" i="6"/>
  <c r="V35" i="6"/>
  <c r="C33" i="8"/>
  <c r="AT34" i="6"/>
  <c r="BF34" i="6"/>
  <c r="O34" i="6"/>
  <c r="AH34" i="6"/>
  <c r="V34" i="6"/>
  <c r="C32" i="8"/>
  <c r="BF33" i="6"/>
  <c r="AH33" i="6"/>
  <c r="AT33" i="6"/>
  <c r="V33" i="6"/>
  <c r="O33" i="6"/>
  <c r="C31" i="8"/>
  <c r="O32" i="6"/>
  <c r="AH32" i="6"/>
  <c r="BF32" i="6"/>
  <c r="AT32" i="6"/>
  <c r="V32" i="6"/>
  <c r="C30" i="8"/>
  <c r="AT31" i="6"/>
  <c r="V31" i="6"/>
  <c r="BF31" i="6"/>
  <c r="AH31" i="6"/>
  <c r="O31" i="6"/>
  <c r="C29" i="8"/>
  <c r="AH30" i="6"/>
  <c r="BF30" i="6"/>
  <c r="O30" i="6"/>
  <c r="V30" i="6"/>
  <c r="AT30" i="6"/>
  <c r="C28" i="8"/>
  <c r="AH29" i="6"/>
  <c r="AT29" i="6"/>
  <c r="V29" i="6"/>
  <c r="O29" i="6"/>
  <c r="BF29" i="6"/>
  <c r="C27" i="8"/>
  <c r="O28" i="6"/>
  <c r="AH28" i="6"/>
  <c r="BF28" i="6"/>
  <c r="AT28" i="6"/>
  <c r="V28" i="6"/>
  <c r="C26" i="8"/>
  <c r="AT27" i="6"/>
  <c r="AH27" i="6"/>
  <c r="V27" i="6"/>
  <c r="BF27" i="6"/>
  <c r="O27" i="6"/>
  <c r="C25" i="8"/>
  <c r="BF26" i="6"/>
  <c r="O26" i="6"/>
  <c r="AT26" i="6"/>
  <c r="V26" i="6"/>
  <c r="AH26" i="6"/>
  <c r="C24" i="8"/>
  <c r="BF25" i="6"/>
  <c r="O25" i="6"/>
  <c r="AH25" i="6"/>
  <c r="V25" i="6"/>
  <c r="AT25" i="6"/>
  <c r="C23" i="8"/>
  <c r="AT24" i="6"/>
  <c r="V24" i="6"/>
  <c r="BF24" i="6"/>
  <c r="O24" i="6"/>
  <c r="AH24" i="6"/>
  <c r="C22" i="8"/>
  <c r="AH23" i="6"/>
  <c r="AT23" i="6"/>
  <c r="O23" i="6"/>
  <c r="V23" i="6"/>
  <c r="BF23" i="6"/>
  <c r="C21" i="8"/>
  <c r="AT22" i="6"/>
  <c r="V22" i="6"/>
  <c r="AH22" i="6"/>
  <c r="BF22" i="6"/>
  <c r="O22" i="6"/>
  <c r="C20" i="8"/>
  <c r="BF21" i="6"/>
  <c r="V21" i="6"/>
  <c r="AH21" i="6"/>
  <c r="AT21" i="6"/>
  <c r="O21" i="6"/>
  <c r="C19" i="8"/>
  <c r="V20" i="6"/>
  <c r="AT20" i="6"/>
  <c r="BF20" i="6"/>
  <c r="O20" i="6"/>
  <c r="AH20" i="6"/>
  <c r="C18" i="8"/>
  <c r="V19" i="6"/>
  <c r="AH19" i="6"/>
  <c r="AT19" i="6"/>
  <c r="BF19" i="6"/>
  <c r="O19" i="6"/>
  <c r="C17" i="8"/>
  <c r="AH18" i="6"/>
  <c r="BF18" i="6"/>
  <c r="O18" i="6"/>
  <c r="AT18" i="6"/>
  <c r="V18" i="6"/>
  <c r="C16" i="8"/>
  <c r="BF17" i="6"/>
  <c r="AH17" i="6"/>
  <c r="AT17" i="6"/>
  <c r="V17" i="6"/>
  <c r="O17" i="6"/>
  <c r="C15" i="8"/>
  <c r="O16" i="6"/>
  <c r="AH16" i="6"/>
  <c r="V16" i="6"/>
  <c r="BF16" i="6"/>
  <c r="AT16" i="6"/>
  <c r="C14" i="8"/>
  <c r="AH15" i="6"/>
  <c r="V15" i="6"/>
  <c r="BF15" i="6"/>
  <c r="O15" i="6"/>
  <c r="AT15" i="6"/>
  <c r="C13" i="8"/>
  <c r="AH14" i="6"/>
  <c r="BF14" i="6"/>
  <c r="O14" i="6"/>
  <c r="V14" i="6"/>
  <c r="AT14" i="6"/>
  <c r="C12" i="8"/>
  <c r="AH13" i="6"/>
  <c r="AT13" i="6"/>
  <c r="V13" i="6"/>
  <c r="O13" i="6"/>
  <c r="BF13" i="6"/>
  <c r="C11" i="8"/>
  <c r="O12" i="6"/>
  <c r="AH12" i="6"/>
  <c r="BF12" i="6"/>
  <c r="V12" i="6"/>
  <c r="AT12" i="6"/>
  <c r="C10" i="8"/>
  <c r="BF11" i="6"/>
  <c r="O11" i="6"/>
  <c r="AH11" i="6"/>
  <c r="V11" i="6"/>
  <c r="AT11" i="6"/>
  <c r="C9" i="8"/>
  <c r="BF10" i="6"/>
  <c r="O10" i="6"/>
  <c r="AT10" i="6"/>
  <c r="V10" i="6"/>
  <c r="AH10" i="6"/>
  <c r="C108" i="8"/>
  <c r="V109" i="6"/>
  <c r="AT109" i="6"/>
  <c r="BF109" i="6"/>
  <c r="O109" i="6"/>
  <c r="AH109" i="6"/>
  <c r="C105" i="8"/>
  <c r="O106" i="6"/>
  <c r="V106" i="6"/>
  <c r="AH106" i="6"/>
  <c r="AT106" i="6"/>
  <c r="BF106" i="6"/>
  <c r="C103" i="8"/>
  <c r="BF104" i="6"/>
  <c r="AH104" i="6"/>
  <c r="O104" i="6"/>
  <c r="V104" i="6"/>
  <c r="AT104" i="6"/>
  <c r="C100" i="8"/>
  <c r="O101" i="6"/>
  <c r="V101" i="6"/>
  <c r="AH101" i="6"/>
  <c r="BF101" i="6"/>
  <c r="AT101" i="6"/>
  <c r="C98" i="8"/>
  <c r="AH99" i="6"/>
  <c r="BF99" i="6"/>
  <c r="O99" i="6"/>
  <c r="AT99" i="6"/>
  <c r="V99" i="6"/>
  <c r="C95" i="8"/>
  <c r="O96" i="6"/>
  <c r="AT96" i="6"/>
  <c r="AH96" i="6"/>
  <c r="BF96" i="6"/>
  <c r="V96" i="6"/>
  <c r="C94" i="8"/>
  <c r="BF95" i="6"/>
  <c r="V95" i="6"/>
  <c r="O95" i="6"/>
  <c r="AT95" i="6"/>
  <c r="AH95" i="6"/>
  <c r="K14" i="9"/>
  <c r="K7" i="9"/>
  <c r="J11" i="9"/>
  <c r="J6" i="9"/>
  <c r="K11" i="9"/>
  <c r="K6" i="9"/>
  <c r="J10" i="9"/>
  <c r="J5" i="9"/>
  <c r="J9" i="9"/>
  <c r="K10" i="9"/>
  <c r="K5" i="9"/>
  <c r="K9" i="9"/>
  <c r="J14" i="9"/>
  <c r="J7" i="9"/>
  <c r="D106" i="7"/>
  <c r="D108" i="8"/>
  <c r="D105" i="7"/>
  <c r="D107" i="8"/>
  <c r="D104" i="7"/>
  <c r="D106" i="8"/>
  <c r="D103" i="7"/>
  <c r="D105" i="8"/>
  <c r="D102" i="7"/>
  <c r="D104" i="8"/>
  <c r="D101" i="7"/>
  <c r="D103" i="8"/>
  <c r="D100" i="7"/>
  <c r="D102" i="8"/>
  <c r="D99" i="7"/>
  <c r="D101" i="8"/>
  <c r="D98" i="7"/>
  <c r="D100" i="8"/>
  <c r="D97" i="7"/>
  <c r="D99" i="8"/>
  <c r="D96" i="7"/>
  <c r="D98" i="8"/>
  <c r="D95" i="7"/>
  <c r="D97" i="8"/>
  <c r="D94" i="7"/>
  <c r="D96" i="8"/>
  <c r="D93" i="7"/>
  <c r="D95" i="8"/>
  <c r="D92" i="7"/>
  <c r="D94" i="8"/>
  <c r="D91" i="7"/>
  <c r="D93" i="8"/>
  <c r="D90" i="7"/>
  <c r="D92" i="8"/>
  <c r="D89" i="7"/>
  <c r="D91" i="8"/>
  <c r="D88" i="7"/>
  <c r="D90" i="8"/>
  <c r="D87" i="7"/>
  <c r="D89" i="8"/>
  <c r="D86" i="7"/>
  <c r="D88" i="8"/>
  <c r="D85" i="7"/>
  <c r="D87" i="8"/>
  <c r="D84" i="7"/>
  <c r="D86" i="8"/>
  <c r="D83" i="7"/>
  <c r="D85" i="8"/>
  <c r="D82" i="7"/>
  <c r="D84" i="8"/>
  <c r="D81" i="7"/>
  <c r="D83" i="8"/>
  <c r="D80" i="7"/>
  <c r="D82" i="8"/>
  <c r="D79" i="7"/>
  <c r="D81" i="8"/>
  <c r="D78" i="7"/>
  <c r="D80" i="8"/>
  <c r="D77" i="7"/>
  <c r="D79" i="8"/>
  <c r="D76" i="7"/>
  <c r="D78" i="8"/>
  <c r="D75" i="7"/>
  <c r="D77" i="8"/>
  <c r="D74" i="7"/>
  <c r="D76" i="8"/>
  <c r="D73" i="7"/>
  <c r="D75" i="8"/>
  <c r="D72" i="7"/>
  <c r="D74" i="8"/>
  <c r="D71" i="7"/>
  <c r="D73" i="8"/>
  <c r="D70" i="7"/>
  <c r="D72" i="8"/>
  <c r="D69" i="7"/>
  <c r="D71" i="8"/>
  <c r="D68" i="7"/>
  <c r="D70" i="8"/>
  <c r="D67" i="7"/>
  <c r="D69" i="8"/>
  <c r="D66" i="7"/>
  <c r="D68" i="8"/>
  <c r="D65" i="7"/>
  <c r="D67" i="8"/>
  <c r="D64" i="7"/>
  <c r="D66" i="8"/>
  <c r="D63" i="7"/>
  <c r="D65" i="8"/>
  <c r="D62" i="7"/>
  <c r="D64" i="8"/>
  <c r="D61" i="7"/>
  <c r="D63" i="8"/>
  <c r="D60" i="7"/>
  <c r="D62" i="8"/>
  <c r="D59" i="7"/>
  <c r="D61" i="8"/>
  <c r="D58" i="7"/>
  <c r="D60" i="8"/>
  <c r="D57" i="7"/>
  <c r="D59" i="8"/>
  <c r="D56" i="7"/>
  <c r="D58" i="8"/>
  <c r="D55" i="7"/>
  <c r="D57" i="8"/>
  <c r="D54" i="7"/>
  <c r="D56" i="8"/>
  <c r="D53" i="7"/>
  <c r="D55" i="8"/>
  <c r="D52" i="7"/>
  <c r="D54" i="8"/>
  <c r="D51" i="7"/>
  <c r="D53" i="8"/>
  <c r="D50" i="7"/>
  <c r="D52" i="8"/>
  <c r="D49" i="7"/>
  <c r="D51" i="8"/>
  <c r="D48" i="7"/>
  <c r="D50" i="8"/>
  <c r="D47" i="7"/>
  <c r="D49" i="8"/>
  <c r="D46" i="7"/>
  <c r="D48" i="8"/>
  <c r="D45" i="7"/>
  <c r="D47" i="8"/>
  <c r="D44" i="7"/>
  <c r="D46" i="8"/>
  <c r="D43" i="7"/>
  <c r="D45" i="8"/>
  <c r="D42" i="7"/>
  <c r="D44" i="8"/>
  <c r="D41" i="7"/>
  <c r="D43" i="8"/>
  <c r="D40" i="7"/>
  <c r="D42" i="8"/>
  <c r="D39" i="7"/>
  <c r="D41" i="8"/>
  <c r="D38" i="7"/>
  <c r="D40" i="8"/>
  <c r="D37" i="7"/>
  <c r="D39" i="8"/>
  <c r="D36" i="7"/>
  <c r="D38" i="8"/>
  <c r="D35" i="7"/>
  <c r="D37" i="8"/>
  <c r="D34" i="7"/>
  <c r="D36" i="8"/>
  <c r="D33" i="7"/>
  <c r="D35" i="8"/>
  <c r="D32" i="7"/>
  <c r="D34" i="8"/>
  <c r="D31" i="7"/>
  <c r="D33" i="8"/>
  <c r="D30" i="7"/>
  <c r="D32" i="8"/>
  <c r="D29" i="7"/>
  <c r="D31" i="8"/>
  <c r="D28" i="7"/>
  <c r="D30" i="8"/>
  <c r="D27" i="7"/>
  <c r="D29" i="8"/>
  <c r="D26" i="7"/>
  <c r="D28" i="8"/>
  <c r="D25" i="7"/>
  <c r="D27" i="8"/>
  <c r="D24" i="7"/>
  <c r="D26" i="8"/>
  <c r="D23" i="7"/>
  <c r="D25" i="8"/>
  <c r="D22" i="7"/>
  <c r="D24" i="8"/>
  <c r="D21" i="7"/>
  <c r="D23" i="8"/>
  <c r="D20" i="7"/>
  <c r="D22" i="8"/>
  <c r="D19" i="7"/>
  <c r="D21" i="8"/>
  <c r="D18" i="7"/>
  <c r="D20" i="8"/>
  <c r="D17" i="7"/>
  <c r="D19" i="8"/>
  <c r="D16" i="7"/>
  <c r="D18" i="8"/>
  <c r="D15" i="7"/>
  <c r="D17" i="8"/>
  <c r="D14" i="7"/>
  <c r="D16" i="8"/>
  <c r="D13" i="7"/>
  <c r="D15" i="8"/>
  <c r="D12" i="7"/>
  <c r="D14" i="8"/>
  <c r="D11" i="7"/>
  <c r="D13" i="8"/>
  <c r="D10" i="7"/>
  <c r="D12" i="8"/>
  <c r="D9" i="7"/>
  <c r="D11" i="8"/>
  <c r="D8" i="7"/>
  <c r="D10" i="8"/>
  <c r="D7" i="7"/>
  <c r="D9" i="8"/>
  <c r="D6" i="7"/>
  <c r="D8" i="8"/>
  <c r="C105" i="7"/>
  <c r="BU108" i="6"/>
  <c r="CB108" i="6"/>
  <c r="CI108" i="6"/>
  <c r="C103" i="7"/>
  <c r="BU106" i="6"/>
  <c r="CI106" i="6"/>
  <c r="CB106" i="6"/>
  <c r="C101" i="7"/>
  <c r="BU104" i="6"/>
  <c r="CB104" i="6"/>
  <c r="CI104" i="6"/>
  <c r="C98" i="7"/>
  <c r="BU101" i="6"/>
  <c r="CI101" i="6"/>
  <c r="CB101" i="6"/>
  <c r="C96" i="7"/>
  <c r="BU99" i="6"/>
  <c r="CB99" i="6"/>
  <c r="CI99" i="6"/>
  <c r="C94" i="7"/>
  <c r="BU97" i="6"/>
  <c r="CI97" i="6"/>
  <c r="CB97" i="6"/>
  <c r="C92" i="7"/>
  <c r="BU95" i="6"/>
  <c r="CB95" i="6"/>
  <c r="CI95" i="6"/>
  <c r="C90" i="7"/>
  <c r="BU93" i="6"/>
  <c r="CI93" i="6"/>
  <c r="CB93" i="6"/>
  <c r="C88" i="7"/>
  <c r="BU91" i="6"/>
  <c r="CI91" i="6"/>
  <c r="CB91" i="6"/>
  <c r="C86" i="7"/>
  <c r="BU89" i="6"/>
  <c r="CI89" i="6"/>
  <c r="CB89" i="6"/>
  <c r="C83" i="7"/>
  <c r="BU86" i="6"/>
  <c r="CB86" i="6"/>
  <c r="CI86" i="6"/>
  <c r="C80" i="7"/>
  <c r="BU83" i="6"/>
  <c r="CI83" i="6"/>
  <c r="CB83" i="6"/>
  <c r="C79" i="7"/>
  <c r="BU82" i="6"/>
  <c r="CI82" i="6"/>
  <c r="CB82" i="6"/>
  <c r="C78" i="7"/>
  <c r="BU81" i="6"/>
  <c r="CI81" i="6"/>
  <c r="CB81" i="6"/>
  <c r="C77" i="7"/>
  <c r="BU80" i="6"/>
  <c r="CI80" i="6"/>
  <c r="CB80" i="6"/>
  <c r="C76" i="7"/>
  <c r="BU79" i="6"/>
  <c r="CB79" i="6"/>
  <c r="CI79" i="6"/>
  <c r="C75" i="7"/>
  <c r="BU78" i="6"/>
  <c r="CB78" i="6"/>
  <c r="CI78" i="6"/>
  <c r="C74" i="7"/>
  <c r="BU77" i="6"/>
  <c r="CI77" i="6"/>
  <c r="CB77" i="6"/>
  <c r="C73" i="7"/>
  <c r="BU76" i="6"/>
  <c r="CB76" i="6"/>
  <c r="CI76" i="6"/>
  <c r="C72" i="7"/>
  <c r="BU75" i="6"/>
  <c r="CB75" i="6"/>
  <c r="CI75" i="6"/>
  <c r="C71" i="7"/>
  <c r="BU74" i="6"/>
  <c r="CI74" i="6"/>
  <c r="CB74" i="6"/>
  <c r="C70" i="7"/>
  <c r="BU73" i="6"/>
  <c r="CI73" i="6"/>
  <c r="CB73" i="6"/>
  <c r="C69" i="7"/>
  <c r="BU72" i="6"/>
  <c r="CI72" i="6"/>
  <c r="CB72" i="6"/>
  <c r="C68" i="7"/>
  <c r="BU71" i="6"/>
  <c r="CI71" i="6"/>
  <c r="CB71" i="6"/>
  <c r="C67" i="7"/>
  <c r="BU70" i="6"/>
  <c r="CB70" i="6"/>
  <c r="CI70" i="6"/>
  <c r="C66" i="7"/>
  <c r="BU69" i="6"/>
  <c r="CI69" i="6"/>
  <c r="CB69" i="6"/>
  <c r="C65" i="7"/>
  <c r="BU68" i="6"/>
  <c r="CB68" i="6"/>
  <c r="CI68" i="6"/>
  <c r="C64" i="7"/>
  <c r="BU67" i="6"/>
  <c r="CI67" i="6"/>
  <c r="CB67" i="6"/>
  <c r="C63" i="7"/>
  <c r="BU66" i="6"/>
  <c r="CI66" i="6"/>
  <c r="CB66" i="6"/>
  <c r="C62" i="7"/>
  <c r="BU65" i="6"/>
  <c r="CI65" i="6"/>
  <c r="CB65" i="6"/>
  <c r="C61" i="7"/>
  <c r="BU64" i="6"/>
  <c r="CI64" i="6"/>
  <c r="CB64" i="6"/>
  <c r="C60" i="7"/>
  <c r="BU63" i="6"/>
  <c r="CB63" i="6"/>
  <c r="CI63" i="6"/>
  <c r="C59" i="7"/>
  <c r="BU62" i="6"/>
  <c r="CI62" i="6"/>
  <c r="CB62" i="6"/>
  <c r="C58" i="7"/>
  <c r="BU61" i="6"/>
  <c r="CI61" i="6"/>
  <c r="CB61" i="6"/>
  <c r="C57" i="7"/>
  <c r="BU60" i="6"/>
  <c r="CI60" i="6"/>
  <c r="CB60" i="6"/>
  <c r="C56" i="7"/>
  <c r="BU59" i="6"/>
  <c r="CI59" i="6"/>
  <c r="CB59" i="6"/>
  <c r="C55" i="7"/>
  <c r="BU58" i="6"/>
  <c r="CI58" i="6"/>
  <c r="CB58" i="6"/>
  <c r="C54" i="7"/>
  <c r="BU57" i="6"/>
  <c r="CI57" i="6"/>
  <c r="CB57" i="6"/>
  <c r="C53" i="7"/>
  <c r="BU56" i="6"/>
  <c r="CB56" i="6"/>
  <c r="CI56" i="6"/>
  <c r="C52" i="7"/>
  <c r="BU55" i="6"/>
  <c r="CB55" i="6"/>
  <c r="CI55" i="6"/>
  <c r="C51" i="7"/>
  <c r="BU54" i="6"/>
  <c r="CB54" i="6"/>
  <c r="CI54" i="6"/>
  <c r="C50" i="7"/>
  <c r="BU53" i="6"/>
  <c r="CI53" i="6"/>
  <c r="CB53" i="6"/>
  <c r="C49" i="7"/>
  <c r="BU52" i="6"/>
  <c r="CB52" i="6"/>
  <c r="CI52" i="6"/>
  <c r="C48" i="7"/>
  <c r="BU51" i="6"/>
  <c r="CI51" i="6"/>
  <c r="CB51" i="6"/>
  <c r="C47" i="7"/>
  <c r="BU50" i="6"/>
  <c r="CI50" i="6"/>
  <c r="CB50" i="6"/>
  <c r="C46" i="7"/>
  <c r="BU49" i="6"/>
  <c r="CI49" i="6"/>
  <c r="CB49" i="6"/>
  <c r="C45" i="7"/>
  <c r="BU48" i="6"/>
  <c r="CI48" i="6"/>
  <c r="CB48" i="6"/>
  <c r="C44" i="7"/>
  <c r="BU47" i="6"/>
  <c r="CB47" i="6"/>
  <c r="CI47" i="6"/>
  <c r="C43" i="7"/>
  <c r="BU46" i="6"/>
  <c r="CB46" i="6"/>
  <c r="CI46" i="6"/>
  <c r="C42" i="7"/>
  <c r="BU45" i="6"/>
  <c r="CI45" i="6"/>
  <c r="CB45" i="6"/>
  <c r="C41" i="7"/>
  <c r="BU44" i="6"/>
  <c r="CB44" i="6"/>
  <c r="CI44" i="6"/>
  <c r="C40" i="7"/>
  <c r="BU43" i="6"/>
  <c r="CB43" i="6"/>
  <c r="CI43" i="6"/>
  <c r="C39" i="7"/>
  <c r="BU42" i="6"/>
  <c r="CB42" i="6"/>
  <c r="CI42" i="6"/>
  <c r="C38" i="7"/>
  <c r="BU41" i="6"/>
  <c r="CI41" i="6"/>
  <c r="CB41" i="6"/>
  <c r="C37" i="7"/>
  <c r="BU40" i="6"/>
  <c r="CI40" i="6"/>
  <c r="CB40" i="6"/>
  <c r="C36" i="7"/>
  <c r="BU39" i="6"/>
  <c r="CB39" i="6"/>
  <c r="CI39" i="6"/>
  <c r="C35" i="7"/>
  <c r="BU38" i="6"/>
  <c r="CB38" i="6"/>
  <c r="CI38" i="6"/>
  <c r="C34" i="7"/>
  <c r="BU37" i="6"/>
  <c r="CI37" i="6"/>
  <c r="CB37" i="6"/>
  <c r="C33" i="7"/>
  <c r="BU36" i="6"/>
  <c r="CB36" i="6"/>
  <c r="CI36" i="6"/>
  <c r="C32" i="7"/>
  <c r="BU35" i="6"/>
  <c r="CI35" i="6"/>
  <c r="CB35" i="6"/>
  <c r="C31" i="7"/>
  <c r="BU34" i="6"/>
  <c r="CB34" i="6"/>
  <c r="CI34" i="6"/>
  <c r="C30" i="7"/>
  <c r="BU33" i="6"/>
  <c r="CI33" i="6"/>
  <c r="CB33" i="6"/>
  <c r="C29" i="7"/>
  <c r="BU32" i="6"/>
  <c r="CI32" i="6"/>
  <c r="CB32" i="6"/>
  <c r="C28" i="7"/>
  <c r="BU31" i="6"/>
  <c r="CI31" i="6"/>
  <c r="CB31" i="6"/>
  <c r="C27" i="7"/>
  <c r="BU30" i="6"/>
  <c r="CI30" i="6"/>
  <c r="CB30" i="6"/>
  <c r="C26" i="7"/>
  <c r="BU29" i="6"/>
  <c r="CI29" i="6"/>
  <c r="CB29" i="6"/>
  <c r="C25" i="7"/>
  <c r="BU28" i="6"/>
  <c r="CB28" i="6"/>
  <c r="CI28" i="6"/>
  <c r="C24" i="7"/>
  <c r="BU27" i="6"/>
  <c r="CB27" i="6"/>
  <c r="CI27" i="6"/>
  <c r="C23" i="7"/>
  <c r="BU26" i="6"/>
  <c r="CI26" i="6"/>
  <c r="CB26" i="6"/>
  <c r="C22" i="7"/>
  <c r="BU25" i="6"/>
  <c r="CI25" i="6"/>
  <c r="CB25" i="6"/>
  <c r="C21" i="7"/>
  <c r="BU24" i="6"/>
  <c r="CB24" i="6"/>
  <c r="CI24" i="6"/>
  <c r="C20" i="7"/>
  <c r="BU23" i="6"/>
  <c r="CI23" i="6"/>
  <c r="CB23" i="6"/>
  <c r="C19" i="7"/>
  <c r="BU22" i="6"/>
  <c r="CI22" i="6"/>
  <c r="CB22" i="6"/>
  <c r="C18" i="7"/>
  <c r="BU21" i="6"/>
  <c r="CI21" i="6"/>
  <c r="CB21" i="6"/>
  <c r="C17" i="7"/>
  <c r="BU20" i="6"/>
  <c r="CB20" i="6"/>
  <c r="CI20" i="6"/>
  <c r="C16" i="7"/>
  <c r="BU19" i="6"/>
  <c r="CI19" i="6"/>
  <c r="CB19" i="6"/>
  <c r="C15" i="7"/>
  <c r="BU18" i="6"/>
  <c r="CB18" i="6"/>
  <c r="CI18" i="6"/>
  <c r="C14" i="7"/>
  <c r="BU17" i="6"/>
  <c r="CI17" i="6"/>
  <c r="CB17" i="6"/>
  <c r="C13" i="7"/>
  <c r="BU16" i="6"/>
  <c r="CI16" i="6"/>
  <c r="CB16" i="6"/>
  <c r="C12" i="7"/>
  <c r="BU15" i="6"/>
  <c r="CB15" i="6"/>
  <c r="CI15" i="6"/>
  <c r="C11" i="7"/>
  <c r="BU14" i="6"/>
  <c r="CB14" i="6"/>
  <c r="CI14" i="6"/>
  <c r="C10" i="7"/>
  <c r="BU13" i="6"/>
  <c r="CI13" i="6"/>
  <c r="CB13" i="6"/>
  <c r="C9" i="7"/>
  <c r="BU12" i="6"/>
  <c r="CB12" i="6"/>
  <c r="CI12" i="6"/>
  <c r="C8" i="7"/>
  <c r="BU11" i="6"/>
  <c r="CB11" i="6"/>
  <c r="CI11" i="6"/>
  <c r="C7" i="7"/>
  <c r="BU10" i="6"/>
  <c r="CB10" i="6"/>
  <c r="CI10" i="6"/>
  <c r="C6" i="7"/>
  <c r="BU9" i="6"/>
  <c r="C24" i="10" s="1"/>
  <c r="CI9" i="6"/>
  <c r="H24" i="10" s="1"/>
  <c r="CB9" i="6"/>
  <c r="F24" i="10" s="1"/>
  <c r="C106" i="7"/>
  <c r="BU109" i="6"/>
  <c r="CI109" i="6"/>
  <c r="CB109" i="6"/>
  <c r="C104" i="7"/>
  <c r="BU107" i="6"/>
  <c r="CI107" i="6"/>
  <c r="CB107" i="6"/>
  <c r="C102" i="7"/>
  <c r="BU105" i="6"/>
  <c r="CI105" i="6"/>
  <c r="CB105" i="6"/>
  <c r="C100" i="7"/>
  <c r="BU103" i="6"/>
  <c r="CI103" i="6"/>
  <c r="CB103" i="6"/>
  <c r="C99" i="7"/>
  <c r="BU102" i="6"/>
  <c r="CI102" i="6"/>
  <c r="CB102" i="6"/>
  <c r="C97" i="7"/>
  <c r="BU100" i="6"/>
  <c r="CB100" i="6"/>
  <c r="CI100" i="6"/>
  <c r="C95" i="7"/>
  <c r="BU98" i="6"/>
  <c r="CB98" i="6"/>
  <c r="CI98" i="6"/>
  <c r="C93" i="7"/>
  <c r="BU96" i="6"/>
  <c r="CI96" i="6"/>
  <c r="CB96" i="6"/>
  <c r="C91" i="7"/>
  <c r="BU94" i="6"/>
  <c r="CB94" i="6"/>
  <c r="CI94" i="6"/>
  <c r="C89" i="7"/>
  <c r="BU92" i="6"/>
  <c r="CI92" i="6"/>
  <c r="CB92" i="6"/>
  <c r="C87" i="7"/>
  <c r="BU90" i="6"/>
  <c r="CI90" i="6"/>
  <c r="CB90" i="6"/>
  <c r="C85" i="7"/>
  <c r="BU88" i="6"/>
  <c r="CB88" i="6"/>
  <c r="CI88" i="6"/>
  <c r="C84" i="7"/>
  <c r="BU87" i="6"/>
  <c r="CB87" i="6"/>
  <c r="CI87" i="6"/>
  <c r="C82" i="7"/>
  <c r="BU85" i="6"/>
  <c r="CI85" i="6"/>
  <c r="CB85" i="6"/>
  <c r="C81" i="7"/>
  <c r="BU84" i="6"/>
  <c r="CB84" i="6"/>
  <c r="CI84" i="6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A2" i="5"/>
  <c r="A2" i="6" s="1"/>
  <c r="A111" i="6" s="1"/>
  <c r="A6" i="4"/>
  <c r="A10" i="5" s="1"/>
  <c r="A10" i="6" s="1"/>
  <c r="A7" i="4"/>
  <c r="A11" i="5" s="1"/>
  <c r="A11" i="6" s="1"/>
  <c r="A8" i="4"/>
  <c r="A12" i="5" s="1"/>
  <c r="A12" i="6" s="1"/>
  <c r="A9" i="4"/>
  <c r="A13" i="5" s="1"/>
  <c r="A13" i="6" s="1"/>
  <c r="A10" i="4"/>
  <c r="A14" i="5" s="1"/>
  <c r="A14" i="6" s="1"/>
  <c r="A11" i="4"/>
  <c r="A15" i="5" s="1"/>
  <c r="A15" i="6" s="1"/>
  <c r="A12" i="4"/>
  <c r="A16" i="5" s="1"/>
  <c r="A16" i="6" s="1"/>
  <c r="A13" i="4"/>
  <c r="A17" i="5" s="1"/>
  <c r="A17" i="6" s="1"/>
  <c r="A14" i="4"/>
  <c r="A18" i="5" s="1"/>
  <c r="A18" i="6" s="1"/>
  <c r="A15" i="4"/>
  <c r="A19" i="5" s="1"/>
  <c r="A19" i="6" s="1"/>
  <c r="A16" i="4"/>
  <c r="A20" i="5" s="1"/>
  <c r="A20" i="6" s="1"/>
  <c r="A17" i="4"/>
  <c r="A21" i="5" s="1"/>
  <c r="A21" i="6" s="1"/>
  <c r="A18" i="4"/>
  <c r="A22" i="5" s="1"/>
  <c r="A22" i="6" s="1"/>
  <c r="A19" i="4"/>
  <c r="A23" i="5" s="1"/>
  <c r="A23" i="6" s="1"/>
  <c r="A20" i="4"/>
  <c r="A24" i="5" s="1"/>
  <c r="A24" i="6" s="1"/>
  <c r="A21" i="4"/>
  <c r="A25" i="5" s="1"/>
  <c r="A25" i="6" s="1"/>
  <c r="A22" i="4"/>
  <c r="A26" i="5" s="1"/>
  <c r="A26" i="6" s="1"/>
  <c r="A23" i="4"/>
  <c r="A27" i="5" s="1"/>
  <c r="A27" i="6" s="1"/>
  <c r="A24" i="4"/>
  <c r="A28" i="5" s="1"/>
  <c r="A28" i="6" s="1"/>
  <c r="A25" i="4"/>
  <c r="A29" i="5" s="1"/>
  <c r="A29" i="6" s="1"/>
  <c r="A26" i="4"/>
  <c r="A30" i="5" s="1"/>
  <c r="A30" i="6" s="1"/>
  <c r="A27" i="4"/>
  <c r="A31" i="5" s="1"/>
  <c r="A31" i="6" s="1"/>
  <c r="A28" i="4"/>
  <c r="A32" i="5" s="1"/>
  <c r="A32" i="6" s="1"/>
  <c r="A29" i="4"/>
  <c r="A33" i="5" s="1"/>
  <c r="A33" i="6" s="1"/>
  <c r="A30" i="4"/>
  <c r="A34" i="5" s="1"/>
  <c r="A34" i="6" s="1"/>
  <c r="A31" i="4"/>
  <c r="A35" i="5" s="1"/>
  <c r="A35" i="6" s="1"/>
  <c r="A32" i="4"/>
  <c r="A36" i="5" s="1"/>
  <c r="A36" i="6" s="1"/>
  <c r="A33" i="4"/>
  <c r="A37" i="5" s="1"/>
  <c r="A37" i="6" s="1"/>
  <c r="A34" i="4"/>
  <c r="A38" i="5" s="1"/>
  <c r="A38" i="6" s="1"/>
  <c r="A35" i="4"/>
  <c r="A39" i="5" s="1"/>
  <c r="A39" i="6" s="1"/>
  <c r="A36" i="4"/>
  <c r="A40" i="5" s="1"/>
  <c r="A40" i="6" s="1"/>
  <c r="A37" i="4"/>
  <c r="A41" i="5" s="1"/>
  <c r="A41" i="6" s="1"/>
  <c r="A38" i="4"/>
  <c r="A42" i="5" s="1"/>
  <c r="A42" i="6" s="1"/>
  <c r="A39" i="4"/>
  <c r="A43" i="5" s="1"/>
  <c r="A43" i="6" s="1"/>
  <c r="A40" i="4"/>
  <c r="A44" i="5" s="1"/>
  <c r="A44" i="6" s="1"/>
  <c r="A41" i="4"/>
  <c r="A45" i="5" s="1"/>
  <c r="A45" i="6" s="1"/>
  <c r="A42" i="4"/>
  <c r="A46" i="5" s="1"/>
  <c r="A46" i="6" s="1"/>
  <c r="A43" i="4"/>
  <c r="A47" i="5" s="1"/>
  <c r="A47" i="6" s="1"/>
  <c r="A44" i="4"/>
  <c r="A48" i="5" s="1"/>
  <c r="A48" i="6" s="1"/>
  <c r="A45" i="4"/>
  <c r="A49" i="5" s="1"/>
  <c r="A49" i="6" s="1"/>
  <c r="A46" i="4"/>
  <c r="A50" i="5" s="1"/>
  <c r="A50" i="6" s="1"/>
  <c r="A47" i="4"/>
  <c r="A51" i="5" s="1"/>
  <c r="A51" i="6" s="1"/>
  <c r="A48" i="4"/>
  <c r="A52" i="5" s="1"/>
  <c r="A52" i="6" s="1"/>
  <c r="A49" i="4"/>
  <c r="A53" i="5" s="1"/>
  <c r="A53" i="6" s="1"/>
  <c r="A50" i="4"/>
  <c r="A54" i="5" s="1"/>
  <c r="A54" i="6" s="1"/>
  <c r="A51" i="4"/>
  <c r="A55" i="5" s="1"/>
  <c r="A55" i="6" s="1"/>
  <c r="A52" i="4"/>
  <c r="A56" i="5" s="1"/>
  <c r="A56" i="6" s="1"/>
  <c r="A53" i="4"/>
  <c r="A57" i="5" s="1"/>
  <c r="A57" i="6" s="1"/>
  <c r="A54" i="4"/>
  <c r="A58" i="5" s="1"/>
  <c r="A58" i="6" s="1"/>
  <c r="A55" i="4"/>
  <c r="A59" i="5" s="1"/>
  <c r="A59" i="6" s="1"/>
  <c r="A56" i="4"/>
  <c r="A60" i="5" s="1"/>
  <c r="A60" i="6" s="1"/>
  <c r="A57" i="4"/>
  <c r="A61" i="5" s="1"/>
  <c r="A61" i="6" s="1"/>
  <c r="A58" i="4"/>
  <c r="A62" i="5" s="1"/>
  <c r="A62" i="6" s="1"/>
  <c r="A59" i="4"/>
  <c r="A63" i="5" s="1"/>
  <c r="A63" i="6" s="1"/>
  <c r="A60" i="4"/>
  <c r="A64" i="5" s="1"/>
  <c r="A64" i="6" s="1"/>
  <c r="A61" i="4"/>
  <c r="A65" i="5" s="1"/>
  <c r="A65" i="6" s="1"/>
  <c r="A62" i="4"/>
  <c r="A66" i="5" s="1"/>
  <c r="A66" i="6" s="1"/>
  <c r="A63" i="4"/>
  <c r="A67" i="5" s="1"/>
  <c r="A67" i="6" s="1"/>
  <c r="A64" i="4"/>
  <c r="A68" i="5" s="1"/>
  <c r="A68" i="6" s="1"/>
  <c r="A65" i="4"/>
  <c r="A69" i="5" s="1"/>
  <c r="A69" i="6" s="1"/>
  <c r="A66" i="4"/>
  <c r="A70" i="5" s="1"/>
  <c r="A70" i="6" s="1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5" i="4"/>
  <c r="A9" i="5" s="1"/>
  <c r="A9" i="6" s="1"/>
  <c r="A1" i="4"/>
  <c r="CM6" i="6" l="1"/>
  <c r="CX6" i="6" s="1"/>
  <c r="DD6" i="6"/>
  <c r="G5" i="7"/>
  <c r="K8" i="9"/>
  <c r="K12" i="9" s="1"/>
  <c r="K13" i="9" s="1"/>
  <c r="BY15" i="5"/>
  <c r="BM14" i="6"/>
  <c r="Q6" i="7"/>
  <c r="A65" i="7"/>
  <c r="A67" i="8"/>
  <c r="A49" i="7"/>
  <c r="A51" i="8"/>
  <c r="A33" i="7"/>
  <c r="A35" i="8"/>
  <c r="A6" i="7"/>
  <c r="A8" i="8"/>
  <c r="A64" i="7"/>
  <c r="A66" i="8"/>
  <c r="A52" i="7"/>
  <c r="A54" i="8"/>
  <c r="A44" i="7"/>
  <c r="A46" i="8"/>
  <c r="A32" i="7"/>
  <c r="A34" i="8"/>
  <c r="A20" i="7"/>
  <c r="A22" i="8"/>
  <c r="A16" i="7"/>
  <c r="A18" i="8"/>
  <c r="A8" i="7"/>
  <c r="A10" i="8"/>
  <c r="A67" i="7"/>
  <c r="A69" i="8"/>
  <c r="A59" i="7"/>
  <c r="A61" i="8"/>
  <c r="A51" i="7"/>
  <c r="A53" i="8"/>
  <c r="A47" i="7"/>
  <c r="A49" i="8"/>
  <c r="A39" i="7"/>
  <c r="A41" i="8"/>
  <c r="A31" i="7"/>
  <c r="A33" i="8"/>
  <c r="A23" i="7"/>
  <c r="A25" i="8"/>
  <c r="A15" i="7"/>
  <c r="A17" i="8"/>
  <c r="A66" i="7"/>
  <c r="A68" i="8"/>
  <c r="A62" i="7"/>
  <c r="A64" i="8"/>
  <c r="A58" i="7"/>
  <c r="A60" i="8"/>
  <c r="A54" i="7"/>
  <c r="A56" i="8"/>
  <c r="A50" i="7"/>
  <c r="A52" i="8"/>
  <c r="A46" i="7"/>
  <c r="A48" i="8"/>
  <c r="A42" i="7"/>
  <c r="A44" i="8"/>
  <c r="A38" i="7"/>
  <c r="A40" i="8"/>
  <c r="A34" i="7"/>
  <c r="A36" i="8"/>
  <c r="A30" i="7"/>
  <c r="A32" i="8"/>
  <c r="A26" i="7"/>
  <c r="A28" i="8"/>
  <c r="A22" i="7"/>
  <c r="A24" i="8"/>
  <c r="A18" i="7"/>
  <c r="A20" i="8"/>
  <c r="A14" i="7"/>
  <c r="A16" i="8"/>
  <c r="A10" i="7"/>
  <c r="A12" i="8"/>
  <c r="J8" i="9"/>
  <c r="J12" i="9" s="1"/>
  <c r="J13" i="9" s="1"/>
  <c r="A53" i="7"/>
  <c r="A55" i="8"/>
  <c r="A37" i="7"/>
  <c r="A39" i="8"/>
  <c r="A25" i="7"/>
  <c r="A27" i="8"/>
  <c r="A17" i="7"/>
  <c r="A19" i="8"/>
  <c r="A13" i="7"/>
  <c r="A15" i="8"/>
  <c r="A9" i="7"/>
  <c r="A11" i="8"/>
  <c r="A61" i="7"/>
  <c r="A63" i="8"/>
  <c r="A45" i="7"/>
  <c r="A47" i="8"/>
  <c r="A29" i="7"/>
  <c r="A31" i="8"/>
  <c r="A56" i="7"/>
  <c r="A58" i="8"/>
  <c r="A40" i="7"/>
  <c r="A42" i="8"/>
  <c r="A28" i="7"/>
  <c r="A30" i="8"/>
  <c r="A12" i="7"/>
  <c r="A14" i="8"/>
  <c r="A57" i="7"/>
  <c r="A59" i="8"/>
  <c r="A41" i="7"/>
  <c r="A43" i="8"/>
  <c r="A21" i="7"/>
  <c r="A23" i="8"/>
  <c r="A60" i="7"/>
  <c r="A62" i="8"/>
  <c r="A48" i="7"/>
  <c r="A50" i="8"/>
  <c r="A36" i="7"/>
  <c r="A38" i="8"/>
  <c r="A24" i="7"/>
  <c r="A26" i="8"/>
  <c r="A63" i="7"/>
  <c r="A65" i="8"/>
  <c r="A55" i="7"/>
  <c r="A57" i="8"/>
  <c r="A43" i="7"/>
  <c r="A45" i="8"/>
  <c r="A35" i="7"/>
  <c r="A37" i="8"/>
  <c r="A27" i="7"/>
  <c r="A29" i="8"/>
  <c r="A19" i="7"/>
  <c r="A21" i="8"/>
  <c r="A11" i="7"/>
  <c r="A13" i="8"/>
  <c r="A7" i="7"/>
  <c r="A9" i="8"/>
  <c r="A98" i="5"/>
  <c r="A98" i="6" s="1"/>
  <c r="A82" i="5"/>
  <c r="A82" i="6" s="1"/>
  <c r="A102" i="5"/>
  <c r="A102" i="6" s="1"/>
  <c r="A86" i="5"/>
  <c r="A86" i="6" s="1"/>
  <c r="A74" i="5"/>
  <c r="A74" i="6" s="1"/>
  <c r="A109" i="5"/>
  <c r="A109" i="6" s="1"/>
  <c r="A105" i="5"/>
  <c r="A105" i="6" s="1"/>
  <c r="A101" i="5"/>
  <c r="A101" i="6" s="1"/>
  <c r="A97" i="5"/>
  <c r="A97" i="6" s="1"/>
  <c r="A93" i="5"/>
  <c r="A93" i="6" s="1"/>
  <c r="A89" i="5"/>
  <c r="A89" i="6" s="1"/>
  <c r="A85" i="5"/>
  <c r="A85" i="6" s="1"/>
  <c r="A81" i="5"/>
  <c r="A81" i="6" s="1"/>
  <c r="A77" i="5"/>
  <c r="A77" i="6" s="1"/>
  <c r="A73" i="5"/>
  <c r="A73" i="6" s="1"/>
  <c r="O95" i="7"/>
  <c r="DO98" i="6"/>
  <c r="M95" i="7" s="1"/>
  <c r="DP98" i="6"/>
  <c r="N95" i="7" s="1"/>
  <c r="DN98" i="6"/>
  <c r="L95" i="7" s="1"/>
  <c r="O97" i="7"/>
  <c r="DP100" i="6"/>
  <c r="N97" i="7" s="1"/>
  <c r="DO100" i="6"/>
  <c r="M97" i="7" s="1"/>
  <c r="DN100" i="6"/>
  <c r="L97" i="7" s="1"/>
  <c r="O99" i="7"/>
  <c r="DO102" i="6"/>
  <c r="M99" i="7" s="1"/>
  <c r="DP102" i="6"/>
  <c r="N99" i="7" s="1"/>
  <c r="DN102" i="6"/>
  <c r="L99" i="7" s="1"/>
  <c r="O101" i="7"/>
  <c r="DP104" i="6"/>
  <c r="N101" i="7" s="1"/>
  <c r="DO104" i="6"/>
  <c r="M101" i="7" s="1"/>
  <c r="DN104" i="6"/>
  <c r="L101" i="7" s="1"/>
  <c r="O103" i="7"/>
  <c r="DO106" i="6"/>
  <c r="M103" i="7" s="1"/>
  <c r="DP106" i="6"/>
  <c r="N103" i="7" s="1"/>
  <c r="DN106" i="6"/>
  <c r="L103" i="7" s="1"/>
  <c r="O105" i="7"/>
  <c r="DP108" i="6"/>
  <c r="N105" i="7" s="1"/>
  <c r="DO108" i="6"/>
  <c r="M105" i="7" s="1"/>
  <c r="DN108" i="6"/>
  <c r="L105" i="7" s="1"/>
  <c r="O69" i="7"/>
  <c r="DP72" i="6"/>
  <c r="N69" i="7" s="1"/>
  <c r="DO72" i="6"/>
  <c r="M69" i="7" s="1"/>
  <c r="DN72" i="6"/>
  <c r="L69" i="7" s="1"/>
  <c r="O71" i="7"/>
  <c r="DO74" i="6"/>
  <c r="M71" i="7" s="1"/>
  <c r="DP74" i="6"/>
  <c r="N71" i="7" s="1"/>
  <c r="DN74" i="6"/>
  <c r="L71" i="7" s="1"/>
  <c r="O73" i="7"/>
  <c r="DP76" i="6"/>
  <c r="N73" i="7" s="1"/>
  <c r="DO76" i="6"/>
  <c r="M73" i="7" s="1"/>
  <c r="DN76" i="6"/>
  <c r="L73" i="7" s="1"/>
  <c r="O75" i="7"/>
  <c r="DP78" i="6"/>
  <c r="N75" i="7" s="1"/>
  <c r="DO78" i="6"/>
  <c r="M75" i="7" s="1"/>
  <c r="DN78" i="6"/>
  <c r="L75" i="7" s="1"/>
  <c r="O77" i="7"/>
  <c r="DP80" i="6"/>
  <c r="N77" i="7" s="1"/>
  <c r="DO80" i="6"/>
  <c r="M77" i="7" s="1"/>
  <c r="DN80" i="6"/>
  <c r="L77" i="7" s="1"/>
  <c r="O79" i="7"/>
  <c r="DO82" i="6"/>
  <c r="M79" i="7" s="1"/>
  <c r="DP82" i="6"/>
  <c r="N79" i="7" s="1"/>
  <c r="DN82" i="6"/>
  <c r="L79" i="7" s="1"/>
  <c r="O81" i="7"/>
  <c r="DP84" i="6"/>
  <c r="N81" i="7" s="1"/>
  <c r="DO84" i="6"/>
  <c r="M81" i="7" s="1"/>
  <c r="DN84" i="6"/>
  <c r="L81" i="7" s="1"/>
  <c r="O83" i="7"/>
  <c r="DO86" i="6"/>
  <c r="M83" i="7" s="1"/>
  <c r="DP86" i="6"/>
  <c r="N83" i="7" s="1"/>
  <c r="DN86" i="6"/>
  <c r="L83" i="7" s="1"/>
  <c r="O85" i="7"/>
  <c r="DP88" i="6"/>
  <c r="N85" i="7" s="1"/>
  <c r="DO88" i="6"/>
  <c r="M85" i="7" s="1"/>
  <c r="DN88" i="6"/>
  <c r="L85" i="7" s="1"/>
  <c r="O87" i="7"/>
  <c r="DP90" i="6"/>
  <c r="N87" i="7" s="1"/>
  <c r="DO90" i="6"/>
  <c r="M87" i="7" s="1"/>
  <c r="DN90" i="6"/>
  <c r="L87" i="7" s="1"/>
  <c r="O89" i="7"/>
  <c r="DP92" i="6"/>
  <c r="N89" i="7" s="1"/>
  <c r="DO92" i="6"/>
  <c r="M89" i="7" s="1"/>
  <c r="DN92" i="6"/>
  <c r="L89" i="7" s="1"/>
  <c r="O91" i="7"/>
  <c r="DP94" i="6"/>
  <c r="N91" i="7" s="1"/>
  <c r="DO94" i="6"/>
  <c r="M91" i="7" s="1"/>
  <c r="DN94" i="6"/>
  <c r="L91" i="7" s="1"/>
  <c r="O93" i="7"/>
  <c r="DP96" i="6"/>
  <c r="N93" i="7" s="1"/>
  <c r="DO96" i="6"/>
  <c r="M93" i="7" s="1"/>
  <c r="DN96" i="6"/>
  <c r="L93" i="7" s="1"/>
  <c r="A106" i="5"/>
  <c r="A106" i="6" s="1"/>
  <c r="A90" i="5"/>
  <c r="A90" i="6" s="1"/>
  <c r="A100" i="5"/>
  <c r="A100" i="6" s="1"/>
  <c r="A96" i="5"/>
  <c r="A96" i="6" s="1"/>
  <c r="A92" i="5"/>
  <c r="A92" i="6" s="1"/>
  <c r="A88" i="5"/>
  <c r="A88" i="6" s="1"/>
  <c r="A84" i="5"/>
  <c r="A84" i="6" s="1"/>
  <c r="A80" i="5"/>
  <c r="A80" i="6" s="1"/>
  <c r="A76" i="5"/>
  <c r="A76" i="6" s="1"/>
  <c r="A72" i="5"/>
  <c r="A72" i="6" s="1"/>
  <c r="A94" i="5"/>
  <c r="A94" i="6" s="1"/>
  <c r="A78" i="5"/>
  <c r="A78" i="6" s="1"/>
  <c r="A108" i="5"/>
  <c r="A108" i="6" s="1"/>
  <c r="A104" i="5"/>
  <c r="A104" i="6" s="1"/>
  <c r="A107" i="5"/>
  <c r="A107" i="6" s="1"/>
  <c r="A103" i="5"/>
  <c r="A103" i="6" s="1"/>
  <c r="A99" i="5"/>
  <c r="A99" i="6" s="1"/>
  <c r="A95" i="5"/>
  <c r="A95" i="6" s="1"/>
  <c r="A91" i="5"/>
  <c r="A91" i="6" s="1"/>
  <c r="A87" i="5"/>
  <c r="A87" i="6" s="1"/>
  <c r="A83" i="5"/>
  <c r="A83" i="6" s="1"/>
  <c r="A79" i="5"/>
  <c r="A79" i="6" s="1"/>
  <c r="A75" i="5"/>
  <c r="A75" i="6" s="1"/>
  <c r="A71" i="5"/>
  <c r="A71" i="6" s="1"/>
  <c r="O94" i="7"/>
  <c r="DP97" i="6"/>
  <c r="N94" i="7" s="1"/>
  <c r="DO97" i="6"/>
  <c r="M94" i="7" s="1"/>
  <c r="DN97" i="6"/>
  <c r="L94" i="7" s="1"/>
  <c r="O96" i="7"/>
  <c r="DO99" i="6"/>
  <c r="M96" i="7" s="1"/>
  <c r="DN99" i="6"/>
  <c r="L96" i="7" s="1"/>
  <c r="DP99" i="6"/>
  <c r="N96" i="7" s="1"/>
  <c r="O98" i="7"/>
  <c r="DP101" i="6"/>
  <c r="N98" i="7" s="1"/>
  <c r="DO101" i="6"/>
  <c r="M98" i="7" s="1"/>
  <c r="DN101" i="6"/>
  <c r="L98" i="7" s="1"/>
  <c r="O100" i="7"/>
  <c r="DO103" i="6"/>
  <c r="M100" i="7" s="1"/>
  <c r="DN103" i="6"/>
  <c r="L100" i="7" s="1"/>
  <c r="DP103" i="6"/>
  <c r="N100" i="7" s="1"/>
  <c r="O102" i="7"/>
  <c r="DP105" i="6"/>
  <c r="N102" i="7" s="1"/>
  <c r="DO105" i="6"/>
  <c r="M102" i="7" s="1"/>
  <c r="DN105" i="6"/>
  <c r="L102" i="7" s="1"/>
  <c r="O104" i="7"/>
  <c r="DO107" i="6"/>
  <c r="M104" i="7" s="1"/>
  <c r="DN107" i="6"/>
  <c r="L104" i="7" s="1"/>
  <c r="DP107" i="6"/>
  <c r="N104" i="7" s="1"/>
  <c r="O106" i="7"/>
  <c r="DP109" i="6"/>
  <c r="N106" i="7" s="1"/>
  <c r="DO109" i="6"/>
  <c r="M106" i="7" s="1"/>
  <c r="DN109" i="6"/>
  <c r="L106" i="7" s="1"/>
  <c r="O68" i="7"/>
  <c r="DO71" i="6"/>
  <c r="M68" i="7" s="1"/>
  <c r="DN71" i="6"/>
  <c r="L68" i="7" s="1"/>
  <c r="DP71" i="6"/>
  <c r="N68" i="7" s="1"/>
  <c r="O70" i="7"/>
  <c r="DP73" i="6"/>
  <c r="N70" i="7" s="1"/>
  <c r="DO73" i="6"/>
  <c r="M70" i="7" s="1"/>
  <c r="DN73" i="6"/>
  <c r="L70" i="7" s="1"/>
  <c r="O72" i="7"/>
  <c r="DO75" i="6"/>
  <c r="M72" i="7" s="1"/>
  <c r="DN75" i="6"/>
  <c r="L72" i="7" s="1"/>
  <c r="DP75" i="6"/>
  <c r="N72" i="7" s="1"/>
  <c r="O74" i="7"/>
  <c r="DP77" i="6"/>
  <c r="N74" i="7" s="1"/>
  <c r="DO77" i="6"/>
  <c r="M74" i="7" s="1"/>
  <c r="DN77" i="6"/>
  <c r="L74" i="7" s="1"/>
  <c r="O76" i="7"/>
  <c r="DO79" i="6"/>
  <c r="M76" i="7" s="1"/>
  <c r="DN79" i="6"/>
  <c r="L76" i="7" s="1"/>
  <c r="DP79" i="6"/>
  <c r="N76" i="7" s="1"/>
  <c r="O78" i="7"/>
  <c r="DP81" i="6"/>
  <c r="N78" i="7" s="1"/>
  <c r="DO81" i="6"/>
  <c r="M78" i="7" s="1"/>
  <c r="DN81" i="6"/>
  <c r="L78" i="7" s="1"/>
  <c r="O80" i="7"/>
  <c r="DO83" i="6"/>
  <c r="M80" i="7" s="1"/>
  <c r="DN83" i="6"/>
  <c r="L80" i="7" s="1"/>
  <c r="DP83" i="6"/>
  <c r="N80" i="7" s="1"/>
  <c r="O82" i="7"/>
  <c r="DP85" i="6"/>
  <c r="N82" i="7" s="1"/>
  <c r="DO85" i="6"/>
  <c r="M82" i="7" s="1"/>
  <c r="DN85" i="6"/>
  <c r="L82" i="7" s="1"/>
  <c r="O84" i="7"/>
  <c r="DO87" i="6"/>
  <c r="M84" i="7" s="1"/>
  <c r="DN87" i="6"/>
  <c r="L84" i="7" s="1"/>
  <c r="DP87" i="6"/>
  <c r="N84" i="7" s="1"/>
  <c r="O86" i="7"/>
  <c r="DP89" i="6"/>
  <c r="N86" i="7" s="1"/>
  <c r="DO89" i="6"/>
  <c r="M86" i="7" s="1"/>
  <c r="DN89" i="6"/>
  <c r="L86" i="7" s="1"/>
  <c r="O88" i="7"/>
  <c r="DO91" i="6"/>
  <c r="M88" i="7" s="1"/>
  <c r="DN91" i="6"/>
  <c r="L88" i="7" s="1"/>
  <c r="DP91" i="6"/>
  <c r="N88" i="7" s="1"/>
  <c r="O90" i="7"/>
  <c r="DP93" i="6"/>
  <c r="N90" i="7" s="1"/>
  <c r="DO93" i="6"/>
  <c r="M90" i="7" s="1"/>
  <c r="DN93" i="6"/>
  <c r="L90" i="7" s="1"/>
  <c r="O92" i="7"/>
  <c r="DO95" i="6"/>
  <c r="M92" i="7" s="1"/>
  <c r="DN95" i="6"/>
  <c r="L92" i="7" s="1"/>
  <c r="DP95" i="6"/>
  <c r="N92" i="7" s="1"/>
  <c r="CK98" i="6"/>
  <c r="CK100" i="6"/>
  <c r="CK102" i="6"/>
  <c r="CK104" i="6"/>
  <c r="CK106" i="6"/>
  <c r="CK108" i="6"/>
  <c r="CK71" i="6"/>
  <c r="CK73" i="6"/>
  <c r="CK75" i="6"/>
  <c r="CK77" i="6"/>
  <c r="CK79" i="6"/>
  <c r="CK81" i="6"/>
  <c r="CK83" i="6"/>
  <c r="CK85" i="6"/>
  <c r="CK87" i="6"/>
  <c r="CK89" i="6"/>
  <c r="CK91" i="6"/>
  <c r="CK93" i="6"/>
  <c r="CK95" i="6"/>
  <c r="CK97" i="6"/>
  <c r="CK99" i="6"/>
  <c r="CK101" i="6"/>
  <c r="CK103" i="6"/>
  <c r="CK105" i="6"/>
  <c r="CK107" i="6"/>
  <c r="CK109" i="6"/>
  <c r="CK72" i="6"/>
  <c r="CK74" i="6"/>
  <c r="CK76" i="6"/>
  <c r="CK78" i="6"/>
  <c r="CK80" i="6"/>
  <c r="CK82" i="6"/>
  <c r="CK84" i="6"/>
  <c r="CK86" i="6"/>
  <c r="CK88" i="6"/>
  <c r="CK90" i="6"/>
  <c r="CK92" i="6"/>
  <c r="CK94" i="6"/>
  <c r="CK96" i="6"/>
  <c r="P94" i="7"/>
  <c r="P102" i="7"/>
  <c r="P69" i="7"/>
  <c r="P74" i="7"/>
  <c r="P79" i="7"/>
  <c r="P89" i="7"/>
  <c r="P96" i="7"/>
  <c r="P71" i="7"/>
  <c r="P81" i="7"/>
  <c r="P83" i="7"/>
  <c r="P91" i="7"/>
  <c r="P104" i="7"/>
  <c r="P98" i="7"/>
  <c r="P106" i="7"/>
  <c r="P73" i="7"/>
  <c r="P75" i="7"/>
  <c r="P85" i="7"/>
  <c r="P93" i="7"/>
  <c r="P100" i="7"/>
  <c r="P77" i="7"/>
  <c r="P82" i="7"/>
  <c r="P87" i="7"/>
  <c r="P97" i="7"/>
  <c r="P101" i="7"/>
  <c r="P105" i="7"/>
  <c r="P68" i="7"/>
  <c r="P72" i="7"/>
  <c r="P76" i="7"/>
  <c r="P80" i="7"/>
  <c r="P84" i="7"/>
  <c r="P88" i="7"/>
  <c r="P92" i="7"/>
  <c r="P95" i="7"/>
  <c r="P99" i="7"/>
  <c r="P103" i="7"/>
  <c r="P70" i="7"/>
  <c r="P78" i="7"/>
  <c r="P86" i="7"/>
  <c r="P90" i="7"/>
  <c r="AI9" i="6"/>
  <c r="CO9" i="6"/>
  <c r="P99" i="6"/>
  <c r="CX99" i="6" s="1"/>
  <c r="DD99" i="6" s="1"/>
  <c r="CM99" i="6"/>
  <c r="AI11" i="6"/>
  <c r="CZ11" i="6" s="1"/>
  <c r="CO11" i="6"/>
  <c r="BG9" i="6"/>
  <c r="CQ9" i="6"/>
  <c r="BG99" i="6"/>
  <c r="DB99" i="6" s="1"/>
  <c r="DL99" i="6" s="1"/>
  <c r="K96" i="7" s="1"/>
  <c r="CQ99" i="6"/>
  <c r="W10" i="6"/>
  <c r="CY10" i="6" s="1"/>
  <c r="CN10" i="6"/>
  <c r="P11" i="6"/>
  <c r="CX11" i="6" s="1"/>
  <c r="CM11" i="6"/>
  <c r="BG13" i="6"/>
  <c r="DB13" i="6" s="1"/>
  <c r="CQ13" i="6"/>
  <c r="AU14" i="6"/>
  <c r="DA14" i="6" s="1"/>
  <c r="CP14" i="6"/>
  <c r="P15" i="6"/>
  <c r="CX15" i="6" s="1"/>
  <c r="CM15" i="6"/>
  <c r="P17" i="6"/>
  <c r="CX17" i="6" s="1"/>
  <c r="CM17" i="6"/>
  <c r="AU9" i="6"/>
  <c r="CP9" i="6"/>
  <c r="AU99" i="6"/>
  <c r="DA99" i="6" s="1"/>
  <c r="DJ99" i="6" s="1"/>
  <c r="J96" i="7" s="1"/>
  <c r="CP99" i="6"/>
  <c r="W99" i="6"/>
  <c r="CY99" i="6" s="1"/>
  <c r="DF99" i="6" s="1"/>
  <c r="CN99" i="6"/>
  <c r="W100" i="6"/>
  <c r="CY100" i="6" s="1"/>
  <c r="DF100" i="6" s="1"/>
  <c r="CN100" i="6"/>
  <c r="BG10" i="6"/>
  <c r="DB10" i="6" s="1"/>
  <c r="CQ10" i="6"/>
  <c r="AU11" i="6"/>
  <c r="DA11" i="6" s="1"/>
  <c r="CP11" i="6"/>
  <c r="BG12" i="6"/>
  <c r="DB12" i="6" s="1"/>
  <c r="CQ12" i="6"/>
  <c r="W12" i="6"/>
  <c r="CY12" i="6" s="1"/>
  <c r="CN12" i="6"/>
  <c r="AI13" i="6"/>
  <c r="CZ13" i="6" s="1"/>
  <c r="CO13" i="6"/>
  <c r="BG14" i="6"/>
  <c r="DB14" i="6" s="1"/>
  <c r="CQ14" i="6"/>
  <c r="W14" i="6"/>
  <c r="CY14" i="6" s="1"/>
  <c r="CN14" i="6"/>
  <c r="BG15" i="6"/>
  <c r="DB15" i="6" s="1"/>
  <c r="CQ15" i="6"/>
  <c r="W16" i="6"/>
  <c r="CY16" i="6" s="1"/>
  <c r="CN16" i="6"/>
  <c r="BG18" i="6"/>
  <c r="DB18" i="6" s="1"/>
  <c r="CQ18" i="6"/>
  <c r="W18" i="6"/>
  <c r="CY18" i="6" s="1"/>
  <c r="CN18" i="6"/>
  <c r="BG19" i="6"/>
  <c r="DB19" i="6" s="1"/>
  <c r="CQ19" i="6"/>
  <c r="AI20" i="6"/>
  <c r="CZ20" i="6" s="1"/>
  <c r="CO20" i="6"/>
  <c r="W20" i="6"/>
  <c r="CY20" i="6" s="1"/>
  <c r="CN20" i="6"/>
  <c r="AU21" i="6"/>
  <c r="DA21" i="6" s="1"/>
  <c r="CP21" i="6"/>
  <c r="BG22" i="6"/>
  <c r="DB22" i="6" s="1"/>
  <c r="CQ22" i="6"/>
  <c r="W22" i="6"/>
  <c r="CY22" i="6" s="1"/>
  <c r="CN22" i="6"/>
  <c r="AI23" i="6"/>
  <c r="CZ23" i="6" s="1"/>
  <c r="CO23" i="6"/>
  <c r="BG24" i="6"/>
  <c r="DB24" i="6" s="1"/>
  <c r="CQ24" i="6"/>
  <c r="W24" i="6"/>
  <c r="CY24" i="6" s="1"/>
  <c r="CN24" i="6"/>
  <c r="AU25" i="6"/>
  <c r="DA25" i="6" s="1"/>
  <c r="CP25" i="6"/>
  <c r="BG26" i="6"/>
  <c r="DB26" i="6" s="1"/>
  <c r="CQ26" i="6"/>
  <c r="W26" i="6"/>
  <c r="CY26" i="6" s="1"/>
  <c r="CN26" i="6"/>
  <c r="AU27" i="6"/>
  <c r="DA27" i="6" s="1"/>
  <c r="CP27" i="6"/>
  <c r="AI28" i="6"/>
  <c r="CZ28" i="6" s="1"/>
  <c r="CO28" i="6"/>
  <c r="W28" i="6"/>
  <c r="CY28" i="6" s="1"/>
  <c r="CN28" i="6"/>
  <c r="BG30" i="6"/>
  <c r="DB30" i="6" s="1"/>
  <c r="CQ30" i="6"/>
  <c r="W30" i="6"/>
  <c r="CY30" i="6" s="1"/>
  <c r="CN30" i="6"/>
  <c r="AI31" i="6"/>
  <c r="CZ31" i="6" s="1"/>
  <c r="CO31" i="6"/>
  <c r="W32" i="6"/>
  <c r="CY32" i="6" s="1"/>
  <c r="CN32" i="6"/>
  <c r="AU33" i="6"/>
  <c r="DA33" i="6" s="1"/>
  <c r="CP33" i="6"/>
  <c r="BG34" i="6"/>
  <c r="DB34" i="6" s="1"/>
  <c r="CQ34" i="6"/>
  <c r="W34" i="6"/>
  <c r="CY34" i="6" s="1"/>
  <c r="CN34" i="6"/>
  <c r="AI35" i="6"/>
  <c r="CZ35" i="6" s="1"/>
  <c r="CO35" i="6"/>
  <c r="W36" i="6"/>
  <c r="CY36" i="6" s="1"/>
  <c r="CN36" i="6"/>
  <c r="BG37" i="6"/>
  <c r="DB37" i="6" s="1"/>
  <c r="CQ37" i="6"/>
  <c r="BG38" i="6"/>
  <c r="DB38" i="6" s="1"/>
  <c r="CQ38" i="6"/>
  <c r="W38" i="6"/>
  <c r="CY38" i="6" s="1"/>
  <c r="CN38" i="6"/>
  <c r="AU39" i="6"/>
  <c r="DA39" i="6" s="1"/>
  <c r="CP39" i="6"/>
  <c r="W40" i="6"/>
  <c r="CY40" i="6" s="1"/>
  <c r="CN40" i="6"/>
  <c r="AI41" i="6"/>
  <c r="CZ41" i="6" s="1"/>
  <c r="CO41" i="6"/>
  <c r="BG42" i="6"/>
  <c r="DB42" i="6" s="1"/>
  <c r="CQ42" i="6"/>
  <c r="W42" i="6"/>
  <c r="CY42" i="6" s="1"/>
  <c r="CN42" i="6"/>
  <c r="BG44" i="6"/>
  <c r="DB44" i="6" s="1"/>
  <c r="CQ44" i="6"/>
  <c r="W44" i="6"/>
  <c r="CY44" i="6" s="1"/>
  <c r="CN44" i="6"/>
  <c r="AI45" i="6"/>
  <c r="CZ45" i="6" s="1"/>
  <c r="CO45" i="6"/>
  <c r="BG46" i="6"/>
  <c r="DB46" i="6" s="1"/>
  <c r="CQ46" i="6"/>
  <c r="W46" i="6"/>
  <c r="CY46" i="6" s="1"/>
  <c r="CN46" i="6"/>
  <c r="BG47" i="6"/>
  <c r="DB47" i="6" s="1"/>
  <c r="CQ47" i="6"/>
  <c r="W48" i="6"/>
  <c r="CY48" i="6" s="1"/>
  <c r="CN48" i="6"/>
  <c r="BG50" i="6"/>
  <c r="DB50" i="6" s="1"/>
  <c r="CQ50" i="6"/>
  <c r="W50" i="6"/>
  <c r="CY50" i="6" s="1"/>
  <c r="CN50" i="6"/>
  <c r="AI52" i="6"/>
  <c r="CZ52" i="6" s="1"/>
  <c r="CO52" i="6"/>
  <c r="W52" i="6"/>
  <c r="CY52" i="6" s="1"/>
  <c r="CN52" i="6"/>
  <c r="BG54" i="6"/>
  <c r="DB54" i="6" s="1"/>
  <c r="CQ54" i="6"/>
  <c r="W54" i="6"/>
  <c r="CY54" i="6" s="1"/>
  <c r="CN54" i="6"/>
  <c r="AI55" i="6"/>
  <c r="CZ55" i="6" s="1"/>
  <c r="CO55" i="6"/>
  <c r="W56" i="6"/>
  <c r="CY56" i="6" s="1"/>
  <c r="CN56" i="6"/>
  <c r="AI57" i="6"/>
  <c r="CZ57" i="6" s="1"/>
  <c r="CO57" i="6"/>
  <c r="BG58" i="6"/>
  <c r="DB58" i="6" s="1"/>
  <c r="CQ58" i="6"/>
  <c r="W58" i="6"/>
  <c r="CY58" i="6" s="1"/>
  <c r="CN58" i="6"/>
  <c r="AI59" i="6"/>
  <c r="CZ59" i="6" s="1"/>
  <c r="CO59" i="6"/>
  <c r="AI60" i="6"/>
  <c r="CZ60" i="6" s="1"/>
  <c r="CO60" i="6"/>
  <c r="W60" i="6"/>
  <c r="CY60" i="6" s="1"/>
  <c r="CN60" i="6"/>
  <c r="AI61" i="6"/>
  <c r="CZ61" i="6" s="1"/>
  <c r="CO61" i="6"/>
  <c r="BG62" i="6"/>
  <c r="DB62" i="6" s="1"/>
  <c r="CQ62" i="6"/>
  <c r="W62" i="6"/>
  <c r="CY62" i="6" s="1"/>
  <c r="CN62" i="6"/>
  <c r="W64" i="6"/>
  <c r="CY64" i="6" s="1"/>
  <c r="CN64" i="6"/>
  <c r="AU65" i="6"/>
  <c r="DA65" i="6" s="1"/>
  <c r="CP65" i="6"/>
  <c r="BG66" i="6"/>
  <c r="DB66" i="6" s="1"/>
  <c r="CQ66" i="6"/>
  <c r="W66" i="6"/>
  <c r="CY66" i="6" s="1"/>
  <c r="CN66" i="6"/>
  <c r="AU67" i="6"/>
  <c r="DA67" i="6" s="1"/>
  <c r="CP67" i="6"/>
  <c r="AU68" i="6"/>
  <c r="DA68" i="6" s="1"/>
  <c r="CP68" i="6"/>
  <c r="W68" i="6"/>
  <c r="CY68" i="6" s="1"/>
  <c r="CN68" i="6"/>
  <c r="BG69" i="6"/>
  <c r="DB69" i="6" s="1"/>
  <c r="CQ69" i="6"/>
  <c r="BG70" i="6"/>
  <c r="DB70" i="6" s="1"/>
  <c r="CQ70" i="6"/>
  <c r="W70" i="6"/>
  <c r="CY70" i="6" s="1"/>
  <c r="CN70" i="6"/>
  <c r="W72" i="6"/>
  <c r="CY72" i="6" s="1"/>
  <c r="DF72" i="6" s="1"/>
  <c r="CN72" i="6"/>
  <c r="AI73" i="6"/>
  <c r="CZ73" i="6" s="1"/>
  <c r="DH73" i="6" s="1"/>
  <c r="CO73" i="6"/>
  <c r="BG74" i="6"/>
  <c r="DB74" i="6" s="1"/>
  <c r="DL74" i="6" s="1"/>
  <c r="K71" i="7" s="1"/>
  <c r="CQ74" i="6"/>
  <c r="W74" i="6"/>
  <c r="CY74" i="6" s="1"/>
  <c r="DF74" i="6" s="1"/>
  <c r="CN74" i="6"/>
  <c r="BG76" i="6"/>
  <c r="DB76" i="6" s="1"/>
  <c r="DL76" i="6" s="1"/>
  <c r="K73" i="7" s="1"/>
  <c r="CQ76" i="6"/>
  <c r="W76" i="6"/>
  <c r="CY76" i="6" s="1"/>
  <c r="DF76" i="6" s="1"/>
  <c r="CN76" i="6"/>
  <c r="BG78" i="6"/>
  <c r="DB78" i="6" s="1"/>
  <c r="DL78" i="6" s="1"/>
  <c r="K75" i="7" s="1"/>
  <c r="CQ78" i="6"/>
  <c r="W78" i="6"/>
  <c r="CY78" i="6" s="1"/>
  <c r="DF78" i="6" s="1"/>
  <c r="CN78" i="6"/>
  <c r="W80" i="6"/>
  <c r="CY80" i="6" s="1"/>
  <c r="DF80" i="6" s="1"/>
  <c r="CN80" i="6"/>
  <c r="AU81" i="6"/>
  <c r="DA81" i="6" s="1"/>
  <c r="DJ81" i="6" s="1"/>
  <c r="J78" i="7" s="1"/>
  <c r="CP81" i="6"/>
  <c r="AU82" i="6"/>
  <c r="DA82" i="6" s="1"/>
  <c r="DJ82" i="6" s="1"/>
  <c r="J79" i="7" s="1"/>
  <c r="CP82" i="6"/>
  <c r="W82" i="6"/>
  <c r="CY82" i="6" s="1"/>
  <c r="DF82" i="6" s="1"/>
  <c r="CN82" i="6"/>
  <c r="AU84" i="6"/>
  <c r="DA84" i="6" s="1"/>
  <c r="DJ84" i="6" s="1"/>
  <c r="J81" i="7" s="1"/>
  <c r="CP84" i="6"/>
  <c r="W84" i="6"/>
  <c r="CY84" i="6" s="1"/>
  <c r="DF84" i="6" s="1"/>
  <c r="CN84" i="6"/>
  <c r="BG86" i="6"/>
  <c r="DB86" i="6" s="1"/>
  <c r="DL86" i="6" s="1"/>
  <c r="K83" i="7" s="1"/>
  <c r="CQ86" i="6"/>
  <c r="W86" i="6"/>
  <c r="CY86" i="6" s="1"/>
  <c r="DF86" i="6" s="1"/>
  <c r="CN86" i="6"/>
  <c r="W88" i="6"/>
  <c r="CY88" i="6" s="1"/>
  <c r="DF88" i="6" s="1"/>
  <c r="CN88" i="6"/>
  <c r="BG89" i="6"/>
  <c r="DB89" i="6" s="1"/>
  <c r="DL89" i="6" s="1"/>
  <c r="K86" i="7" s="1"/>
  <c r="CQ89" i="6"/>
  <c r="AU90" i="6"/>
  <c r="DA90" i="6" s="1"/>
  <c r="DJ90" i="6" s="1"/>
  <c r="J87" i="7" s="1"/>
  <c r="CP90" i="6"/>
  <c r="W90" i="6"/>
  <c r="CY90" i="6" s="1"/>
  <c r="DF90" i="6" s="1"/>
  <c r="CN90" i="6"/>
  <c r="BG91" i="6"/>
  <c r="DB91" i="6" s="1"/>
  <c r="DL91" i="6" s="1"/>
  <c r="K88" i="7" s="1"/>
  <c r="CQ91" i="6"/>
  <c r="AI92" i="6"/>
  <c r="CZ92" i="6" s="1"/>
  <c r="DH92" i="6" s="1"/>
  <c r="CO92" i="6"/>
  <c r="W92" i="6"/>
  <c r="CY92" i="6" s="1"/>
  <c r="DF92" i="6" s="1"/>
  <c r="CN92" i="6"/>
  <c r="BG94" i="6"/>
  <c r="DB94" i="6" s="1"/>
  <c r="DL94" i="6" s="1"/>
  <c r="K91" i="7" s="1"/>
  <c r="CQ94" i="6"/>
  <c r="W94" i="6"/>
  <c r="CY94" i="6" s="1"/>
  <c r="DF94" i="6" s="1"/>
  <c r="CN94" i="6"/>
  <c r="W96" i="6"/>
  <c r="CY96" i="6" s="1"/>
  <c r="DF96" i="6" s="1"/>
  <c r="CN96" i="6"/>
  <c r="AU97" i="6"/>
  <c r="DA97" i="6" s="1"/>
  <c r="DJ97" i="6" s="1"/>
  <c r="J94" i="7" s="1"/>
  <c r="CP97" i="6"/>
  <c r="W98" i="6"/>
  <c r="CY98" i="6" s="1"/>
  <c r="DF98" i="6" s="1"/>
  <c r="CN98" i="6"/>
  <c r="AU102" i="6"/>
  <c r="DA102" i="6" s="1"/>
  <c r="DJ102" i="6" s="1"/>
  <c r="J99" i="7" s="1"/>
  <c r="CP102" i="6"/>
  <c r="W102" i="6"/>
  <c r="CY102" i="6" s="1"/>
  <c r="DF102" i="6" s="1"/>
  <c r="CN102" i="6"/>
  <c r="AI103" i="6"/>
  <c r="CZ103" i="6" s="1"/>
  <c r="DH103" i="6" s="1"/>
  <c r="CO103" i="6"/>
  <c r="BG104" i="6"/>
  <c r="DB104" i="6" s="1"/>
  <c r="DL104" i="6" s="1"/>
  <c r="K101" i="7" s="1"/>
  <c r="CQ104" i="6"/>
  <c r="AI104" i="6"/>
  <c r="CZ104" i="6" s="1"/>
  <c r="DH104" i="6" s="1"/>
  <c r="CO104" i="6"/>
  <c r="BG105" i="6"/>
  <c r="DB105" i="6" s="1"/>
  <c r="DL105" i="6" s="1"/>
  <c r="K102" i="7" s="1"/>
  <c r="CQ105" i="6"/>
  <c r="W106" i="6"/>
  <c r="CY106" i="6" s="1"/>
  <c r="DF106" i="6" s="1"/>
  <c r="CN106" i="6"/>
  <c r="AU107" i="6"/>
  <c r="DA107" i="6" s="1"/>
  <c r="DJ107" i="6" s="1"/>
  <c r="J104" i="7" s="1"/>
  <c r="CP107" i="6"/>
  <c r="AI108" i="6"/>
  <c r="CZ108" i="6" s="1"/>
  <c r="DH108" i="6" s="1"/>
  <c r="CO108" i="6"/>
  <c r="W108" i="6"/>
  <c r="CY108" i="6" s="1"/>
  <c r="DF108" i="6" s="1"/>
  <c r="CN108" i="6"/>
  <c r="P10" i="6"/>
  <c r="CX10" i="6" s="1"/>
  <c r="CM10" i="6"/>
  <c r="P12" i="6"/>
  <c r="CX12" i="6" s="1"/>
  <c r="CM12" i="6"/>
  <c r="AI14" i="6"/>
  <c r="CZ14" i="6" s="1"/>
  <c r="CO14" i="6"/>
  <c r="P14" i="6"/>
  <c r="CX14" i="6" s="1"/>
  <c r="CM14" i="6"/>
  <c r="AU16" i="6"/>
  <c r="DA16" i="6" s="1"/>
  <c r="CP16" i="6"/>
  <c r="P16" i="6"/>
  <c r="CX16" i="6" s="1"/>
  <c r="CM16" i="6"/>
  <c r="AU17" i="6"/>
  <c r="DA17" i="6" s="1"/>
  <c r="CP17" i="6"/>
  <c r="AU18" i="6"/>
  <c r="DA18" i="6" s="1"/>
  <c r="CP18" i="6"/>
  <c r="P18" i="6"/>
  <c r="CX18" i="6" s="1"/>
  <c r="CM18" i="6"/>
  <c r="AU19" i="6"/>
  <c r="DA19" i="6" s="1"/>
  <c r="CP19" i="6"/>
  <c r="P20" i="6"/>
  <c r="CX20" i="6" s="1"/>
  <c r="CM20" i="6"/>
  <c r="AI21" i="6"/>
  <c r="CZ21" i="6" s="1"/>
  <c r="CO21" i="6"/>
  <c r="AU22" i="6"/>
  <c r="DA22" i="6" s="1"/>
  <c r="CP22" i="6"/>
  <c r="P22" i="6"/>
  <c r="CX22" i="6" s="1"/>
  <c r="CM22" i="6"/>
  <c r="AU23" i="6"/>
  <c r="DA23" i="6" s="1"/>
  <c r="CP23" i="6"/>
  <c r="AU24" i="6"/>
  <c r="DA24" i="6" s="1"/>
  <c r="CP24" i="6"/>
  <c r="P24" i="6"/>
  <c r="CX24" i="6" s="1"/>
  <c r="CM24" i="6"/>
  <c r="BG25" i="6"/>
  <c r="DB25" i="6" s="1"/>
  <c r="CQ25" i="6"/>
  <c r="P26" i="6"/>
  <c r="CX26" i="6" s="1"/>
  <c r="CM26" i="6"/>
  <c r="BG27" i="6"/>
  <c r="DB27" i="6" s="1"/>
  <c r="CQ27" i="6"/>
  <c r="P28" i="6"/>
  <c r="CX28" i="6" s="1"/>
  <c r="CM28" i="6"/>
  <c r="BG29" i="6"/>
  <c r="DB29" i="6" s="1"/>
  <c r="CQ29" i="6"/>
  <c r="AI30" i="6"/>
  <c r="CZ30" i="6" s="1"/>
  <c r="CO30" i="6"/>
  <c r="P30" i="6"/>
  <c r="CX30" i="6" s="1"/>
  <c r="CM30" i="6"/>
  <c r="BG32" i="6"/>
  <c r="DB32" i="6" s="1"/>
  <c r="CQ32" i="6"/>
  <c r="P32" i="6"/>
  <c r="CX32" i="6" s="1"/>
  <c r="CM32" i="6"/>
  <c r="AI33" i="6"/>
  <c r="CZ33" i="6" s="1"/>
  <c r="CO33" i="6"/>
  <c r="AU34" i="6"/>
  <c r="DA34" i="6" s="1"/>
  <c r="CP34" i="6"/>
  <c r="P34" i="6"/>
  <c r="CX34" i="6" s="1"/>
  <c r="CM34" i="6"/>
  <c r="AU35" i="6"/>
  <c r="DA35" i="6" s="1"/>
  <c r="CP35" i="6"/>
  <c r="AU36" i="6"/>
  <c r="DA36" i="6" s="1"/>
  <c r="CP36" i="6"/>
  <c r="P36" i="6"/>
  <c r="CX36" i="6" s="1"/>
  <c r="CM36" i="6"/>
  <c r="AI37" i="6"/>
  <c r="CZ37" i="6" s="1"/>
  <c r="CO37" i="6"/>
  <c r="AI38" i="6"/>
  <c r="CZ38" i="6" s="1"/>
  <c r="CO38" i="6"/>
  <c r="P38" i="6"/>
  <c r="CX38" i="6" s="1"/>
  <c r="CM38" i="6"/>
  <c r="AI39" i="6"/>
  <c r="CZ39" i="6" s="1"/>
  <c r="CO39" i="6"/>
  <c r="AU40" i="6"/>
  <c r="DA40" i="6" s="1"/>
  <c r="CP40" i="6"/>
  <c r="P40" i="6"/>
  <c r="CX40" i="6" s="1"/>
  <c r="CM40" i="6"/>
  <c r="AU41" i="6"/>
  <c r="DA41" i="6" s="1"/>
  <c r="CP41" i="6"/>
  <c r="P42" i="6"/>
  <c r="CX42" i="6" s="1"/>
  <c r="CM42" i="6"/>
  <c r="AI43" i="6"/>
  <c r="CZ43" i="6" s="1"/>
  <c r="CO43" i="6"/>
  <c r="P44" i="6"/>
  <c r="CX44" i="6" s="1"/>
  <c r="CM44" i="6"/>
  <c r="AI46" i="6"/>
  <c r="CZ46" i="6" s="1"/>
  <c r="CO46" i="6"/>
  <c r="P46" i="6"/>
  <c r="CX46" i="6" s="1"/>
  <c r="CM46" i="6"/>
  <c r="AU48" i="6"/>
  <c r="DA48" i="6" s="1"/>
  <c r="CP48" i="6"/>
  <c r="P48" i="6"/>
  <c r="CX48" i="6" s="1"/>
  <c r="CM48" i="6"/>
  <c r="AU49" i="6"/>
  <c r="DA49" i="6" s="1"/>
  <c r="CP49" i="6"/>
  <c r="AU50" i="6"/>
  <c r="DA50" i="6" s="1"/>
  <c r="CP50" i="6"/>
  <c r="P50" i="6"/>
  <c r="CX50" i="6" s="1"/>
  <c r="CM50" i="6"/>
  <c r="BG51" i="6"/>
  <c r="DB51" i="6" s="1"/>
  <c r="CQ51" i="6"/>
  <c r="P52" i="6"/>
  <c r="CX52" i="6" s="1"/>
  <c r="CM52" i="6"/>
  <c r="AI53" i="6"/>
  <c r="CZ53" i="6" s="1"/>
  <c r="CO53" i="6"/>
  <c r="AU54" i="6"/>
  <c r="DA54" i="6" s="1"/>
  <c r="CP54" i="6"/>
  <c r="P54" i="6"/>
  <c r="CX54" i="6" s="1"/>
  <c r="CM54" i="6"/>
  <c r="AU55" i="6"/>
  <c r="DA55" i="6" s="1"/>
  <c r="CP55" i="6"/>
  <c r="BG56" i="6"/>
  <c r="DB56" i="6" s="1"/>
  <c r="CQ56" i="6"/>
  <c r="P56" i="6"/>
  <c r="CX56" i="6" s="1"/>
  <c r="CM56" i="6"/>
  <c r="BG57" i="6"/>
  <c r="DB57" i="6" s="1"/>
  <c r="CQ57" i="6"/>
  <c r="P58" i="6"/>
  <c r="CX58" i="6" s="1"/>
  <c r="CM58" i="6"/>
  <c r="BG59" i="6"/>
  <c r="DB59" i="6" s="1"/>
  <c r="CQ59" i="6"/>
  <c r="P60" i="6"/>
  <c r="CX60" i="6" s="1"/>
  <c r="CM60" i="6"/>
  <c r="AI62" i="6"/>
  <c r="CZ62" i="6" s="1"/>
  <c r="CO62" i="6"/>
  <c r="P62" i="6"/>
  <c r="CX62" i="6" s="1"/>
  <c r="CM62" i="6"/>
  <c r="AI63" i="6"/>
  <c r="CZ63" i="6" s="1"/>
  <c r="CO63" i="6"/>
  <c r="BG64" i="6"/>
  <c r="DB64" i="6" s="1"/>
  <c r="CQ64" i="6"/>
  <c r="P64" i="6"/>
  <c r="CX64" i="6" s="1"/>
  <c r="CM64" i="6"/>
  <c r="AI65" i="6"/>
  <c r="CZ65" i="6" s="1"/>
  <c r="CO65" i="6"/>
  <c r="P66" i="6"/>
  <c r="CX66" i="6" s="1"/>
  <c r="CM66" i="6"/>
  <c r="AI67" i="6"/>
  <c r="CZ67" i="6" s="1"/>
  <c r="CO67" i="6"/>
  <c r="P68" i="6"/>
  <c r="CX68" i="6" s="1"/>
  <c r="CM68" i="6"/>
  <c r="AI69" i="6"/>
  <c r="CZ69" i="6" s="1"/>
  <c r="CO69" i="6"/>
  <c r="AI70" i="6"/>
  <c r="CZ70" i="6" s="1"/>
  <c r="CO70" i="6"/>
  <c r="P70" i="6"/>
  <c r="CX70" i="6" s="1"/>
  <c r="CM70" i="6"/>
  <c r="AI71" i="6"/>
  <c r="CZ71" i="6" s="1"/>
  <c r="DH71" i="6" s="1"/>
  <c r="CO71" i="6"/>
  <c r="AI72" i="6"/>
  <c r="CZ72" i="6" s="1"/>
  <c r="DH72" i="6" s="1"/>
  <c r="CO72" i="6"/>
  <c r="P72" i="6"/>
  <c r="CX72" i="6" s="1"/>
  <c r="DD72" i="6" s="1"/>
  <c r="CM72" i="6"/>
  <c r="AU73" i="6"/>
  <c r="DA73" i="6" s="1"/>
  <c r="DJ73" i="6" s="1"/>
  <c r="J70" i="7" s="1"/>
  <c r="CP73" i="6"/>
  <c r="P74" i="6"/>
  <c r="CX74" i="6" s="1"/>
  <c r="DD74" i="6" s="1"/>
  <c r="CM74" i="6"/>
  <c r="AU75" i="6"/>
  <c r="DA75" i="6" s="1"/>
  <c r="DJ75" i="6" s="1"/>
  <c r="J72" i="7" s="1"/>
  <c r="CP75" i="6"/>
  <c r="AI76" i="6"/>
  <c r="CZ76" i="6" s="1"/>
  <c r="DH76" i="6" s="1"/>
  <c r="CO76" i="6"/>
  <c r="P76" i="6"/>
  <c r="CX76" i="6" s="1"/>
  <c r="DD76" i="6" s="1"/>
  <c r="CM76" i="6"/>
  <c r="AI77" i="6"/>
  <c r="CZ77" i="6" s="1"/>
  <c r="DH77" i="6" s="1"/>
  <c r="CO77" i="6"/>
  <c r="AI78" i="6"/>
  <c r="CZ78" i="6" s="1"/>
  <c r="DH78" i="6" s="1"/>
  <c r="CO78" i="6"/>
  <c r="P78" i="6"/>
  <c r="CX78" i="6" s="1"/>
  <c r="DD78" i="6" s="1"/>
  <c r="CM78" i="6"/>
  <c r="AI79" i="6"/>
  <c r="CZ79" i="6" s="1"/>
  <c r="DH79" i="6" s="1"/>
  <c r="CO79" i="6"/>
  <c r="AU80" i="6"/>
  <c r="DA80" i="6" s="1"/>
  <c r="DJ80" i="6" s="1"/>
  <c r="J77" i="7" s="1"/>
  <c r="CP80" i="6"/>
  <c r="P80" i="6"/>
  <c r="CX80" i="6" s="1"/>
  <c r="DD80" i="6" s="1"/>
  <c r="CM80" i="6"/>
  <c r="BG81" i="6"/>
  <c r="DB81" i="6" s="1"/>
  <c r="DL81" i="6" s="1"/>
  <c r="K78" i="7" s="1"/>
  <c r="CQ81" i="6"/>
  <c r="P82" i="6"/>
  <c r="CX82" i="6" s="1"/>
  <c r="DD82" i="6" s="1"/>
  <c r="CM82" i="6"/>
  <c r="AU83" i="6"/>
  <c r="DA83" i="6" s="1"/>
  <c r="DJ83" i="6" s="1"/>
  <c r="J80" i="7" s="1"/>
  <c r="CP83" i="6"/>
  <c r="P84" i="6"/>
  <c r="CX84" i="6" s="1"/>
  <c r="DD84" i="6" s="1"/>
  <c r="CM84" i="6"/>
  <c r="AI85" i="6"/>
  <c r="CZ85" i="6" s="1"/>
  <c r="DH85" i="6" s="1"/>
  <c r="CO85" i="6"/>
  <c r="AI86" i="6"/>
  <c r="CZ86" i="6" s="1"/>
  <c r="DH86" i="6" s="1"/>
  <c r="CO86" i="6"/>
  <c r="P86" i="6"/>
  <c r="CX86" i="6" s="1"/>
  <c r="DD86" i="6" s="1"/>
  <c r="CM86" i="6"/>
  <c r="AI87" i="6"/>
  <c r="CZ87" i="6" s="1"/>
  <c r="DH87" i="6" s="1"/>
  <c r="CO87" i="6"/>
  <c r="AI88" i="6"/>
  <c r="CZ88" i="6" s="1"/>
  <c r="DH88" i="6" s="1"/>
  <c r="CO88" i="6"/>
  <c r="P88" i="6"/>
  <c r="CX88" i="6" s="1"/>
  <c r="DD88" i="6" s="1"/>
  <c r="CM88" i="6"/>
  <c r="AU89" i="6"/>
  <c r="DA89" i="6" s="1"/>
  <c r="DJ89" i="6" s="1"/>
  <c r="J86" i="7" s="1"/>
  <c r="CP89" i="6"/>
  <c r="P90" i="6"/>
  <c r="CX90" i="6" s="1"/>
  <c r="DD90" i="6" s="1"/>
  <c r="CM90" i="6"/>
  <c r="AU91" i="6"/>
  <c r="DA91" i="6" s="1"/>
  <c r="DJ91" i="6" s="1"/>
  <c r="J88" i="7" s="1"/>
  <c r="CP91" i="6"/>
  <c r="BG92" i="6"/>
  <c r="DB92" i="6" s="1"/>
  <c r="DL92" i="6" s="1"/>
  <c r="K89" i="7" s="1"/>
  <c r="CQ92" i="6"/>
  <c r="P92" i="6"/>
  <c r="CX92" i="6" s="1"/>
  <c r="DD92" i="6" s="1"/>
  <c r="CM92" i="6"/>
  <c r="AI93" i="6"/>
  <c r="CZ93" i="6" s="1"/>
  <c r="DH93" i="6" s="1"/>
  <c r="CO93" i="6"/>
  <c r="AI94" i="6"/>
  <c r="CZ94" i="6" s="1"/>
  <c r="DH94" i="6" s="1"/>
  <c r="CO94" i="6"/>
  <c r="P94" i="6"/>
  <c r="CX94" i="6" s="1"/>
  <c r="DD94" i="6" s="1"/>
  <c r="CM94" i="6"/>
  <c r="AI95" i="6"/>
  <c r="CZ95" i="6" s="1"/>
  <c r="DH95" i="6" s="1"/>
  <c r="CO95" i="6"/>
  <c r="BG96" i="6"/>
  <c r="DB96" i="6" s="1"/>
  <c r="DL96" i="6" s="1"/>
  <c r="K93" i="7" s="1"/>
  <c r="CQ96" i="6"/>
  <c r="P96" i="6"/>
  <c r="CX96" i="6" s="1"/>
  <c r="DD96" i="6" s="1"/>
  <c r="CM96" i="6"/>
  <c r="BG97" i="6"/>
  <c r="DB97" i="6" s="1"/>
  <c r="DL97" i="6" s="1"/>
  <c r="K94" i="7" s="1"/>
  <c r="CQ97" i="6"/>
  <c r="AU98" i="6"/>
  <c r="DA98" i="6" s="1"/>
  <c r="DJ98" i="6" s="1"/>
  <c r="J95" i="7" s="1"/>
  <c r="CP98" i="6"/>
  <c r="P98" i="6"/>
  <c r="CX98" i="6" s="1"/>
  <c r="DD98" i="6" s="1"/>
  <c r="CM98" i="6"/>
  <c r="AI101" i="6"/>
  <c r="CZ101" i="6" s="1"/>
  <c r="DH101" i="6" s="1"/>
  <c r="CO101" i="6"/>
  <c r="AI102" i="6"/>
  <c r="CZ102" i="6" s="1"/>
  <c r="DH102" i="6" s="1"/>
  <c r="CO102" i="6"/>
  <c r="P102" i="6"/>
  <c r="CX102" i="6" s="1"/>
  <c r="DD102" i="6" s="1"/>
  <c r="CM102" i="6"/>
  <c r="AU103" i="6"/>
  <c r="DA103" i="6" s="1"/>
  <c r="DJ103" i="6" s="1"/>
  <c r="J100" i="7" s="1"/>
  <c r="CP103" i="6"/>
  <c r="W104" i="6"/>
  <c r="CY104" i="6" s="1"/>
  <c r="DF104" i="6" s="1"/>
  <c r="CN104" i="6"/>
  <c r="P104" i="6"/>
  <c r="CX104" i="6" s="1"/>
  <c r="DD104" i="6" s="1"/>
  <c r="CM104" i="6"/>
  <c r="AU105" i="6"/>
  <c r="DA105" i="6" s="1"/>
  <c r="DJ105" i="6" s="1"/>
  <c r="J102" i="7" s="1"/>
  <c r="CP105" i="6"/>
  <c r="BG106" i="6"/>
  <c r="DB106" i="6" s="1"/>
  <c r="DL106" i="6" s="1"/>
  <c r="K103" i="7" s="1"/>
  <c r="CQ106" i="6"/>
  <c r="P106" i="6"/>
  <c r="CX106" i="6" s="1"/>
  <c r="DD106" i="6" s="1"/>
  <c r="CM106" i="6"/>
  <c r="BG107" i="6"/>
  <c r="DB107" i="6" s="1"/>
  <c r="DL107" i="6" s="1"/>
  <c r="K104" i="7" s="1"/>
  <c r="CQ107" i="6"/>
  <c r="P108" i="6"/>
  <c r="CX108" i="6" s="1"/>
  <c r="DD108" i="6" s="1"/>
  <c r="CM108" i="6"/>
  <c r="AI109" i="6"/>
  <c r="CZ109" i="6" s="1"/>
  <c r="DH109" i="6" s="1"/>
  <c r="CO109" i="6"/>
  <c r="BG100" i="6"/>
  <c r="DB100" i="6" s="1"/>
  <c r="DL100" i="6" s="1"/>
  <c r="K97" i="7" s="1"/>
  <c r="CQ100" i="6"/>
  <c r="AU12" i="6"/>
  <c r="DA12" i="6" s="1"/>
  <c r="CP12" i="6"/>
  <c r="W9" i="6"/>
  <c r="C15" i="10" s="1"/>
  <c r="H15" i="10" s="1"/>
  <c r="L15" i="10" s="1"/>
  <c r="Q15" i="10" s="1"/>
  <c r="CN9" i="6"/>
  <c r="AI99" i="6"/>
  <c r="CZ99" i="6" s="1"/>
  <c r="DH99" i="6" s="1"/>
  <c r="CO99" i="6"/>
  <c r="AU100" i="6"/>
  <c r="DA100" i="6" s="1"/>
  <c r="DJ100" i="6" s="1"/>
  <c r="J97" i="7" s="1"/>
  <c r="CP100" i="6"/>
  <c r="AI10" i="6"/>
  <c r="CZ10" i="6" s="1"/>
  <c r="CO10" i="6"/>
  <c r="W11" i="6"/>
  <c r="CY11" i="6" s="1"/>
  <c r="CN11" i="6"/>
  <c r="AU13" i="6"/>
  <c r="DA13" i="6" s="1"/>
  <c r="CP13" i="6"/>
  <c r="W13" i="6"/>
  <c r="CY13" i="6" s="1"/>
  <c r="CN13" i="6"/>
  <c r="AU15" i="6"/>
  <c r="DA15" i="6" s="1"/>
  <c r="CP15" i="6"/>
  <c r="W15" i="6"/>
  <c r="CY15" i="6" s="1"/>
  <c r="CN15" i="6"/>
  <c r="AI16" i="6"/>
  <c r="CZ16" i="6" s="1"/>
  <c r="CO16" i="6"/>
  <c r="AI17" i="6"/>
  <c r="CZ17" i="6" s="1"/>
  <c r="CO17" i="6"/>
  <c r="W17" i="6"/>
  <c r="CY17" i="6" s="1"/>
  <c r="CN17" i="6"/>
  <c r="AI19" i="6"/>
  <c r="CZ19" i="6" s="1"/>
  <c r="CO19" i="6"/>
  <c r="W19" i="6"/>
  <c r="CY19" i="6" s="1"/>
  <c r="CN19" i="6"/>
  <c r="BG20" i="6"/>
  <c r="DB20" i="6" s="1"/>
  <c r="CQ20" i="6"/>
  <c r="BG21" i="6"/>
  <c r="DB21" i="6" s="1"/>
  <c r="CQ21" i="6"/>
  <c r="W21" i="6"/>
  <c r="CY21" i="6" s="1"/>
  <c r="CN21" i="6"/>
  <c r="AI22" i="6"/>
  <c r="CZ22" i="6" s="1"/>
  <c r="CO22" i="6"/>
  <c r="BG23" i="6"/>
  <c r="DB23" i="6" s="1"/>
  <c r="CQ23" i="6"/>
  <c r="W23" i="6"/>
  <c r="CY23" i="6" s="1"/>
  <c r="CN23" i="6"/>
  <c r="W25" i="6"/>
  <c r="CY25" i="6" s="1"/>
  <c r="CN25" i="6"/>
  <c r="AU26" i="6"/>
  <c r="DA26" i="6" s="1"/>
  <c r="CP26" i="6"/>
  <c r="W27" i="6"/>
  <c r="CY27" i="6" s="1"/>
  <c r="CN27" i="6"/>
  <c r="BG28" i="6"/>
  <c r="DB28" i="6" s="1"/>
  <c r="CQ28" i="6"/>
  <c r="AU29" i="6"/>
  <c r="DA29" i="6" s="1"/>
  <c r="CP29" i="6"/>
  <c r="W29" i="6"/>
  <c r="CY29" i="6" s="1"/>
  <c r="CN29" i="6"/>
  <c r="AU30" i="6"/>
  <c r="DA30" i="6" s="1"/>
  <c r="CP30" i="6"/>
  <c r="AU31" i="6"/>
  <c r="DA31" i="6" s="1"/>
  <c r="CP31" i="6"/>
  <c r="W31" i="6"/>
  <c r="CY31" i="6" s="1"/>
  <c r="CN31" i="6"/>
  <c r="AU32" i="6"/>
  <c r="DA32" i="6" s="1"/>
  <c r="CP32" i="6"/>
  <c r="BG33" i="6"/>
  <c r="DB33" i="6" s="1"/>
  <c r="CQ33" i="6"/>
  <c r="W33" i="6"/>
  <c r="CY33" i="6" s="1"/>
  <c r="CN33" i="6"/>
  <c r="BG35" i="6"/>
  <c r="DB35" i="6" s="1"/>
  <c r="CQ35" i="6"/>
  <c r="W35" i="6"/>
  <c r="CY35" i="6" s="1"/>
  <c r="CN35" i="6"/>
  <c r="AI36" i="6"/>
  <c r="CZ36" i="6" s="1"/>
  <c r="CO36" i="6"/>
  <c r="W37" i="6"/>
  <c r="CY37" i="6" s="1"/>
  <c r="CN37" i="6"/>
  <c r="BG39" i="6"/>
  <c r="DB39" i="6" s="1"/>
  <c r="CQ39" i="6"/>
  <c r="W39" i="6"/>
  <c r="CY39" i="6" s="1"/>
  <c r="CN39" i="6"/>
  <c r="BG40" i="6"/>
  <c r="DB40" i="6" s="1"/>
  <c r="CQ40" i="6"/>
  <c r="BG41" i="6"/>
  <c r="DB41" i="6" s="1"/>
  <c r="CQ41" i="6"/>
  <c r="W41" i="6"/>
  <c r="CY41" i="6" s="1"/>
  <c r="CN41" i="6"/>
  <c r="AU42" i="6"/>
  <c r="DA42" i="6" s="1"/>
  <c r="CP42" i="6"/>
  <c r="AU43" i="6"/>
  <c r="DA43" i="6" s="1"/>
  <c r="CP43" i="6"/>
  <c r="W43" i="6"/>
  <c r="CY43" i="6" s="1"/>
  <c r="CN43" i="6"/>
  <c r="AI44" i="6"/>
  <c r="CZ44" i="6" s="1"/>
  <c r="CO44" i="6"/>
  <c r="BG45" i="6"/>
  <c r="DB45" i="6" s="1"/>
  <c r="CQ45" i="6"/>
  <c r="W45" i="6"/>
  <c r="CY45" i="6" s="1"/>
  <c r="CN45" i="6"/>
  <c r="AU47" i="6"/>
  <c r="DA47" i="6" s="1"/>
  <c r="CP47" i="6"/>
  <c r="W47" i="6"/>
  <c r="CY47" i="6" s="1"/>
  <c r="CN47" i="6"/>
  <c r="AI48" i="6"/>
  <c r="CZ48" i="6" s="1"/>
  <c r="CO48" i="6"/>
  <c r="AI49" i="6"/>
  <c r="CZ49" i="6" s="1"/>
  <c r="CO49" i="6"/>
  <c r="W49" i="6"/>
  <c r="CY49" i="6" s="1"/>
  <c r="CN49" i="6"/>
  <c r="AI51" i="6"/>
  <c r="CZ51" i="6" s="1"/>
  <c r="CO51" i="6"/>
  <c r="W51" i="6"/>
  <c r="CY51" i="6" s="1"/>
  <c r="CN51" i="6"/>
  <c r="BG52" i="6"/>
  <c r="DB52" i="6" s="1"/>
  <c r="CQ52" i="6"/>
  <c r="BG53" i="6"/>
  <c r="DB53" i="6" s="1"/>
  <c r="CQ53" i="6"/>
  <c r="W53" i="6"/>
  <c r="CY53" i="6" s="1"/>
  <c r="CN53" i="6"/>
  <c r="AI54" i="6"/>
  <c r="CZ54" i="6" s="1"/>
  <c r="CO54" i="6"/>
  <c r="BG55" i="6"/>
  <c r="DB55" i="6" s="1"/>
  <c r="CQ55" i="6"/>
  <c r="W55" i="6"/>
  <c r="CY55" i="6" s="1"/>
  <c r="CN55" i="6"/>
  <c r="AU56" i="6"/>
  <c r="DA56" i="6" s="1"/>
  <c r="CP56" i="6"/>
  <c r="W57" i="6"/>
  <c r="CY57" i="6" s="1"/>
  <c r="CN57" i="6"/>
  <c r="AI58" i="6"/>
  <c r="CZ58" i="6" s="1"/>
  <c r="CO58" i="6"/>
  <c r="W59" i="6"/>
  <c r="CY59" i="6" s="1"/>
  <c r="CN59" i="6"/>
  <c r="AU60" i="6"/>
  <c r="DA60" i="6" s="1"/>
  <c r="CP60" i="6"/>
  <c r="BG61" i="6"/>
  <c r="DB61" i="6" s="1"/>
  <c r="CQ61" i="6"/>
  <c r="W61" i="6"/>
  <c r="CY61" i="6" s="1"/>
  <c r="CN61" i="6"/>
  <c r="AU62" i="6"/>
  <c r="DA62" i="6" s="1"/>
  <c r="CP62" i="6"/>
  <c r="BG63" i="6"/>
  <c r="DB63" i="6" s="1"/>
  <c r="CQ63" i="6"/>
  <c r="W63" i="6"/>
  <c r="CY63" i="6" s="1"/>
  <c r="CN63" i="6"/>
  <c r="AU64" i="6"/>
  <c r="DA64" i="6" s="1"/>
  <c r="CP64" i="6"/>
  <c r="BG65" i="6"/>
  <c r="DB65" i="6" s="1"/>
  <c r="CQ65" i="6"/>
  <c r="W65" i="6"/>
  <c r="CY65" i="6" s="1"/>
  <c r="CN65" i="6"/>
  <c r="AU66" i="6"/>
  <c r="DA66" i="6" s="1"/>
  <c r="CP66" i="6"/>
  <c r="BG67" i="6"/>
  <c r="DB67" i="6" s="1"/>
  <c r="CQ67" i="6"/>
  <c r="W67" i="6"/>
  <c r="CY67" i="6" s="1"/>
  <c r="CN67" i="6"/>
  <c r="AI68" i="6"/>
  <c r="CZ68" i="6" s="1"/>
  <c r="CO68" i="6"/>
  <c r="W69" i="6"/>
  <c r="CY69" i="6" s="1"/>
  <c r="CN69" i="6"/>
  <c r="AU70" i="6"/>
  <c r="DA70" i="6" s="1"/>
  <c r="CP70" i="6"/>
  <c r="AU71" i="6"/>
  <c r="DA71" i="6" s="1"/>
  <c r="DJ71" i="6" s="1"/>
  <c r="J68" i="7" s="1"/>
  <c r="CP71" i="6"/>
  <c r="W71" i="6"/>
  <c r="CY71" i="6" s="1"/>
  <c r="DF71" i="6" s="1"/>
  <c r="CN71" i="6"/>
  <c r="BG72" i="6"/>
  <c r="DB72" i="6" s="1"/>
  <c r="DL72" i="6" s="1"/>
  <c r="K69" i="7" s="1"/>
  <c r="CQ72" i="6"/>
  <c r="W73" i="6"/>
  <c r="CY73" i="6" s="1"/>
  <c r="DF73" i="6" s="1"/>
  <c r="CN73" i="6"/>
  <c r="AU74" i="6"/>
  <c r="DA74" i="6" s="1"/>
  <c r="DJ74" i="6" s="1"/>
  <c r="J71" i="7" s="1"/>
  <c r="CP74" i="6"/>
  <c r="BG75" i="6"/>
  <c r="DB75" i="6" s="1"/>
  <c r="DL75" i="6" s="1"/>
  <c r="K72" i="7" s="1"/>
  <c r="CQ75" i="6"/>
  <c r="W75" i="6"/>
  <c r="CY75" i="6" s="1"/>
  <c r="DF75" i="6" s="1"/>
  <c r="CN75" i="6"/>
  <c r="AU77" i="6"/>
  <c r="DA77" i="6" s="1"/>
  <c r="DJ77" i="6" s="1"/>
  <c r="J74" i="7" s="1"/>
  <c r="CP77" i="6"/>
  <c r="W77" i="6"/>
  <c r="CY77" i="6" s="1"/>
  <c r="DF77" i="6" s="1"/>
  <c r="CN77" i="6"/>
  <c r="AU78" i="6"/>
  <c r="DA78" i="6" s="1"/>
  <c r="DJ78" i="6" s="1"/>
  <c r="J75" i="7" s="1"/>
  <c r="CP78" i="6"/>
  <c r="AU79" i="6"/>
  <c r="DA79" i="6" s="1"/>
  <c r="DJ79" i="6" s="1"/>
  <c r="J76" i="7" s="1"/>
  <c r="CP79" i="6"/>
  <c r="W79" i="6"/>
  <c r="CY79" i="6" s="1"/>
  <c r="DF79" i="6" s="1"/>
  <c r="CN79" i="6"/>
  <c r="BG80" i="6"/>
  <c r="DB80" i="6" s="1"/>
  <c r="DL80" i="6" s="1"/>
  <c r="K77" i="7" s="1"/>
  <c r="CQ80" i="6"/>
  <c r="W81" i="6"/>
  <c r="CY81" i="6" s="1"/>
  <c r="DF81" i="6" s="1"/>
  <c r="CN81" i="6"/>
  <c r="BG82" i="6"/>
  <c r="DB82" i="6" s="1"/>
  <c r="DL82" i="6" s="1"/>
  <c r="K79" i="7" s="1"/>
  <c r="CQ82" i="6"/>
  <c r="BG83" i="6"/>
  <c r="DB83" i="6" s="1"/>
  <c r="DL83" i="6" s="1"/>
  <c r="K80" i="7" s="1"/>
  <c r="CQ83" i="6"/>
  <c r="W83" i="6"/>
  <c r="CY83" i="6" s="1"/>
  <c r="DF83" i="6" s="1"/>
  <c r="CN83" i="6"/>
  <c r="BG84" i="6"/>
  <c r="DB84" i="6" s="1"/>
  <c r="DL84" i="6" s="1"/>
  <c r="K81" i="7" s="1"/>
  <c r="CQ84" i="6"/>
  <c r="AU85" i="6"/>
  <c r="DA85" i="6" s="1"/>
  <c r="DJ85" i="6" s="1"/>
  <c r="J82" i="7" s="1"/>
  <c r="CP85" i="6"/>
  <c r="W85" i="6"/>
  <c r="CY85" i="6" s="1"/>
  <c r="DF85" i="6" s="1"/>
  <c r="CN85" i="6"/>
  <c r="AU86" i="6"/>
  <c r="DA86" i="6" s="1"/>
  <c r="DJ86" i="6" s="1"/>
  <c r="J83" i="7" s="1"/>
  <c r="CP86" i="6"/>
  <c r="AU87" i="6"/>
  <c r="DA87" i="6" s="1"/>
  <c r="DJ87" i="6" s="1"/>
  <c r="J84" i="7" s="1"/>
  <c r="CP87" i="6"/>
  <c r="W87" i="6"/>
  <c r="CY87" i="6" s="1"/>
  <c r="DF87" i="6" s="1"/>
  <c r="CN87" i="6"/>
  <c r="BG88" i="6"/>
  <c r="DB88" i="6" s="1"/>
  <c r="DL88" i="6" s="1"/>
  <c r="K85" i="7" s="1"/>
  <c r="CQ88" i="6"/>
  <c r="W89" i="6"/>
  <c r="CY89" i="6" s="1"/>
  <c r="DF89" i="6" s="1"/>
  <c r="CN89" i="6"/>
  <c r="BG90" i="6"/>
  <c r="DB90" i="6" s="1"/>
  <c r="DL90" i="6" s="1"/>
  <c r="K87" i="7" s="1"/>
  <c r="CQ90" i="6"/>
  <c r="W91" i="6"/>
  <c r="CY91" i="6" s="1"/>
  <c r="DF91" i="6" s="1"/>
  <c r="CN91" i="6"/>
  <c r="AU92" i="6"/>
  <c r="DA92" i="6" s="1"/>
  <c r="DJ92" i="6" s="1"/>
  <c r="J89" i="7" s="1"/>
  <c r="CP92" i="6"/>
  <c r="BG93" i="6"/>
  <c r="DB93" i="6" s="1"/>
  <c r="DL93" i="6" s="1"/>
  <c r="K90" i="7" s="1"/>
  <c r="CQ93" i="6"/>
  <c r="W93" i="6"/>
  <c r="CY93" i="6" s="1"/>
  <c r="DF93" i="6" s="1"/>
  <c r="CN93" i="6"/>
  <c r="AU94" i="6"/>
  <c r="DA94" i="6" s="1"/>
  <c r="DJ94" i="6" s="1"/>
  <c r="J91" i="7" s="1"/>
  <c r="CP94" i="6"/>
  <c r="BG95" i="6"/>
  <c r="DB95" i="6" s="1"/>
  <c r="DL95" i="6" s="1"/>
  <c r="K92" i="7" s="1"/>
  <c r="CQ95" i="6"/>
  <c r="W95" i="6"/>
  <c r="CY95" i="6" s="1"/>
  <c r="DF95" i="6" s="1"/>
  <c r="CN95" i="6"/>
  <c r="AU96" i="6"/>
  <c r="DA96" i="6" s="1"/>
  <c r="DJ96" i="6" s="1"/>
  <c r="J93" i="7" s="1"/>
  <c r="CP96" i="6"/>
  <c r="W97" i="6"/>
  <c r="CY97" i="6" s="1"/>
  <c r="DF97" i="6" s="1"/>
  <c r="CN97" i="6"/>
  <c r="BG98" i="6"/>
  <c r="DB98" i="6" s="1"/>
  <c r="DL98" i="6" s="1"/>
  <c r="K95" i="7" s="1"/>
  <c r="CQ98" i="6"/>
  <c r="BG101" i="6"/>
  <c r="DB101" i="6" s="1"/>
  <c r="DL101" i="6" s="1"/>
  <c r="K98" i="7" s="1"/>
  <c r="CQ101" i="6"/>
  <c r="W101" i="6"/>
  <c r="CY101" i="6" s="1"/>
  <c r="DF101" i="6" s="1"/>
  <c r="CN101" i="6"/>
  <c r="BG102" i="6"/>
  <c r="DB102" i="6" s="1"/>
  <c r="DL102" i="6" s="1"/>
  <c r="K99" i="7" s="1"/>
  <c r="CQ102" i="6"/>
  <c r="BG103" i="6"/>
  <c r="DB103" i="6" s="1"/>
  <c r="DL103" i="6" s="1"/>
  <c r="K100" i="7" s="1"/>
  <c r="CQ103" i="6"/>
  <c r="W103" i="6"/>
  <c r="CY103" i="6" s="1"/>
  <c r="DF103" i="6" s="1"/>
  <c r="CN103" i="6"/>
  <c r="W105" i="6"/>
  <c r="CY105" i="6" s="1"/>
  <c r="DF105" i="6" s="1"/>
  <c r="CN105" i="6"/>
  <c r="AI106" i="6"/>
  <c r="CZ106" i="6" s="1"/>
  <c r="DH106" i="6" s="1"/>
  <c r="CO106" i="6"/>
  <c r="AI107" i="6"/>
  <c r="CZ107" i="6" s="1"/>
  <c r="DH107" i="6" s="1"/>
  <c r="CO107" i="6"/>
  <c r="W107" i="6"/>
  <c r="CY107" i="6" s="1"/>
  <c r="DF107" i="6" s="1"/>
  <c r="CN107" i="6"/>
  <c r="BG108" i="6"/>
  <c r="DB108" i="6" s="1"/>
  <c r="DL108" i="6" s="1"/>
  <c r="K105" i="7" s="1"/>
  <c r="CQ108" i="6"/>
  <c r="BG109" i="6"/>
  <c r="DB109" i="6" s="1"/>
  <c r="DL109" i="6" s="1"/>
  <c r="K106" i="7" s="1"/>
  <c r="CQ109" i="6"/>
  <c r="W109" i="6"/>
  <c r="CY109" i="6" s="1"/>
  <c r="DF109" i="6" s="1"/>
  <c r="CN109" i="6"/>
  <c r="AU10" i="6"/>
  <c r="DA10" i="6" s="1"/>
  <c r="CP10" i="6"/>
  <c r="P9" i="6"/>
  <c r="D14" i="10" s="1"/>
  <c r="D18" i="10" s="1"/>
  <c r="CM9" i="6"/>
  <c r="AI100" i="6"/>
  <c r="CZ100" i="6" s="1"/>
  <c r="DH100" i="6" s="1"/>
  <c r="CO100" i="6"/>
  <c r="P100" i="6"/>
  <c r="CX100" i="6" s="1"/>
  <c r="DD100" i="6" s="1"/>
  <c r="CM100" i="6"/>
  <c r="BG11" i="6"/>
  <c r="DB11" i="6" s="1"/>
  <c r="CQ11" i="6"/>
  <c r="AI12" i="6"/>
  <c r="CZ12" i="6" s="1"/>
  <c r="CO12" i="6"/>
  <c r="P13" i="6"/>
  <c r="CX13" i="6" s="1"/>
  <c r="CM13" i="6"/>
  <c r="AI15" i="6"/>
  <c r="CZ15" i="6" s="1"/>
  <c r="CO15" i="6"/>
  <c r="BG16" i="6"/>
  <c r="DB16" i="6" s="1"/>
  <c r="CQ16" i="6"/>
  <c r="BG17" i="6"/>
  <c r="DB17" i="6" s="1"/>
  <c r="CQ17" i="6"/>
  <c r="AI18" i="6"/>
  <c r="CZ18" i="6" s="1"/>
  <c r="CO18" i="6"/>
  <c r="P19" i="6"/>
  <c r="CX19" i="6" s="1"/>
  <c r="CM19" i="6"/>
  <c r="AU20" i="6"/>
  <c r="DA20" i="6" s="1"/>
  <c r="CP20" i="6"/>
  <c r="P21" i="6"/>
  <c r="CX21" i="6" s="1"/>
  <c r="CM21" i="6"/>
  <c r="P23" i="6"/>
  <c r="CX23" i="6" s="1"/>
  <c r="CM23" i="6"/>
  <c r="AI24" i="6"/>
  <c r="CZ24" i="6" s="1"/>
  <c r="CO24" i="6"/>
  <c r="AI25" i="6"/>
  <c r="CZ25" i="6" s="1"/>
  <c r="CO25" i="6"/>
  <c r="P25" i="6"/>
  <c r="CX25" i="6" s="1"/>
  <c r="CM25" i="6"/>
  <c r="AI26" i="6"/>
  <c r="CZ26" i="6" s="1"/>
  <c r="CO26" i="6"/>
  <c r="AI27" i="6"/>
  <c r="CZ27" i="6" s="1"/>
  <c r="CO27" i="6"/>
  <c r="P27" i="6"/>
  <c r="CX27" i="6" s="1"/>
  <c r="CM27" i="6"/>
  <c r="AU28" i="6"/>
  <c r="DA28" i="6" s="1"/>
  <c r="CP28" i="6"/>
  <c r="AI29" i="6"/>
  <c r="CZ29" i="6" s="1"/>
  <c r="CO29" i="6"/>
  <c r="P29" i="6"/>
  <c r="CX29" i="6" s="1"/>
  <c r="CM29" i="6"/>
  <c r="BG31" i="6"/>
  <c r="DB31" i="6" s="1"/>
  <c r="CQ31" i="6"/>
  <c r="P31" i="6"/>
  <c r="CX31" i="6" s="1"/>
  <c r="CM31" i="6"/>
  <c r="AI32" i="6"/>
  <c r="CZ32" i="6" s="1"/>
  <c r="CO32" i="6"/>
  <c r="P33" i="6"/>
  <c r="CX33" i="6" s="1"/>
  <c r="CM33" i="6"/>
  <c r="AI34" i="6"/>
  <c r="CZ34" i="6" s="1"/>
  <c r="CO34" i="6"/>
  <c r="P35" i="6"/>
  <c r="CX35" i="6" s="1"/>
  <c r="CM35" i="6"/>
  <c r="BG36" i="6"/>
  <c r="DB36" i="6" s="1"/>
  <c r="CQ36" i="6"/>
  <c r="AU37" i="6"/>
  <c r="DA37" i="6" s="1"/>
  <c r="CP37" i="6"/>
  <c r="P37" i="6"/>
  <c r="CX37" i="6" s="1"/>
  <c r="CM37" i="6"/>
  <c r="AU38" i="6"/>
  <c r="DA38" i="6" s="1"/>
  <c r="CP38" i="6"/>
  <c r="P39" i="6"/>
  <c r="CX39" i="6" s="1"/>
  <c r="CM39" i="6"/>
  <c r="AI40" i="6"/>
  <c r="CZ40" i="6" s="1"/>
  <c r="CO40" i="6"/>
  <c r="P41" i="6"/>
  <c r="CX41" i="6" s="1"/>
  <c r="CM41" i="6"/>
  <c r="AI42" i="6"/>
  <c r="CZ42" i="6" s="1"/>
  <c r="CO42" i="6"/>
  <c r="BG43" i="6"/>
  <c r="DB43" i="6" s="1"/>
  <c r="CQ43" i="6"/>
  <c r="P43" i="6"/>
  <c r="CX43" i="6" s="1"/>
  <c r="CM43" i="6"/>
  <c r="AU44" i="6"/>
  <c r="DA44" i="6" s="1"/>
  <c r="CP44" i="6"/>
  <c r="AU45" i="6"/>
  <c r="DA45" i="6" s="1"/>
  <c r="CP45" i="6"/>
  <c r="P45" i="6"/>
  <c r="CX45" i="6" s="1"/>
  <c r="CM45" i="6"/>
  <c r="AU46" i="6"/>
  <c r="DA46" i="6" s="1"/>
  <c r="CP46" i="6"/>
  <c r="AI47" i="6"/>
  <c r="CZ47" i="6" s="1"/>
  <c r="CO47" i="6"/>
  <c r="P47" i="6"/>
  <c r="CX47" i="6" s="1"/>
  <c r="CM47" i="6"/>
  <c r="BG48" i="6"/>
  <c r="DB48" i="6" s="1"/>
  <c r="CQ48" i="6"/>
  <c r="BG49" i="6"/>
  <c r="DB49" i="6" s="1"/>
  <c r="CQ49" i="6"/>
  <c r="P49" i="6"/>
  <c r="CX49" i="6" s="1"/>
  <c r="CM49" i="6"/>
  <c r="AI50" i="6"/>
  <c r="CZ50" i="6" s="1"/>
  <c r="CO50" i="6"/>
  <c r="AU51" i="6"/>
  <c r="DA51" i="6" s="1"/>
  <c r="CP51" i="6"/>
  <c r="P51" i="6"/>
  <c r="CX51" i="6" s="1"/>
  <c r="CM51" i="6"/>
  <c r="AU52" i="6"/>
  <c r="DA52" i="6" s="1"/>
  <c r="CP52" i="6"/>
  <c r="AU53" i="6"/>
  <c r="DA53" i="6" s="1"/>
  <c r="CP53" i="6"/>
  <c r="P53" i="6"/>
  <c r="CX53" i="6" s="1"/>
  <c r="CM53" i="6"/>
  <c r="P55" i="6"/>
  <c r="CX55" i="6" s="1"/>
  <c r="CM55" i="6"/>
  <c r="AI56" i="6"/>
  <c r="CZ56" i="6" s="1"/>
  <c r="CO56" i="6"/>
  <c r="AU57" i="6"/>
  <c r="DA57" i="6" s="1"/>
  <c r="CP57" i="6"/>
  <c r="P57" i="6"/>
  <c r="CX57" i="6" s="1"/>
  <c r="CM57" i="6"/>
  <c r="AU58" i="6"/>
  <c r="DA58" i="6" s="1"/>
  <c r="CP58" i="6"/>
  <c r="AU59" i="6"/>
  <c r="DA59" i="6" s="1"/>
  <c r="CP59" i="6"/>
  <c r="P59" i="6"/>
  <c r="CX59" i="6" s="1"/>
  <c r="CM59" i="6"/>
  <c r="BG60" i="6"/>
  <c r="DB60" i="6" s="1"/>
  <c r="CQ60" i="6"/>
  <c r="AU61" i="6"/>
  <c r="DA61" i="6" s="1"/>
  <c r="CP61" i="6"/>
  <c r="P61" i="6"/>
  <c r="CX61" i="6" s="1"/>
  <c r="CM61" i="6"/>
  <c r="AU63" i="6"/>
  <c r="DA63" i="6" s="1"/>
  <c r="CP63" i="6"/>
  <c r="P63" i="6"/>
  <c r="CX63" i="6" s="1"/>
  <c r="CM63" i="6"/>
  <c r="AI64" i="6"/>
  <c r="CZ64" i="6" s="1"/>
  <c r="CO64" i="6"/>
  <c r="P65" i="6"/>
  <c r="CX65" i="6" s="1"/>
  <c r="CM65" i="6"/>
  <c r="AI66" i="6"/>
  <c r="CZ66" i="6" s="1"/>
  <c r="CO66" i="6"/>
  <c r="P67" i="6"/>
  <c r="CX67" i="6" s="1"/>
  <c r="CM67" i="6"/>
  <c r="BG68" i="6"/>
  <c r="DB68" i="6" s="1"/>
  <c r="CQ68" i="6"/>
  <c r="AU69" i="6"/>
  <c r="DA69" i="6" s="1"/>
  <c r="CP69" i="6"/>
  <c r="P69" i="6"/>
  <c r="CX69" i="6" s="1"/>
  <c r="CM69" i="6"/>
  <c r="BG71" i="6"/>
  <c r="DB71" i="6" s="1"/>
  <c r="DL71" i="6" s="1"/>
  <c r="K68" i="7" s="1"/>
  <c r="CQ71" i="6"/>
  <c r="P71" i="6"/>
  <c r="CX71" i="6" s="1"/>
  <c r="DD71" i="6" s="1"/>
  <c r="CM71" i="6"/>
  <c r="AU72" i="6"/>
  <c r="DA72" i="6" s="1"/>
  <c r="DJ72" i="6" s="1"/>
  <c r="J69" i="7" s="1"/>
  <c r="CP72" i="6"/>
  <c r="BG73" i="6"/>
  <c r="DB73" i="6" s="1"/>
  <c r="DL73" i="6" s="1"/>
  <c r="K70" i="7" s="1"/>
  <c r="CQ73" i="6"/>
  <c r="P73" i="6"/>
  <c r="CX73" i="6" s="1"/>
  <c r="DD73" i="6" s="1"/>
  <c r="CM73" i="6"/>
  <c r="AI74" i="6"/>
  <c r="CZ74" i="6" s="1"/>
  <c r="DH74" i="6" s="1"/>
  <c r="CO74" i="6"/>
  <c r="AI75" i="6"/>
  <c r="CZ75" i="6" s="1"/>
  <c r="DH75" i="6" s="1"/>
  <c r="CO75" i="6"/>
  <c r="P75" i="6"/>
  <c r="CX75" i="6" s="1"/>
  <c r="DD75" i="6" s="1"/>
  <c r="CM75" i="6"/>
  <c r="AU76" i="6"/>
  <c r="DA76" i="6" s="1"/>
  <c r="DJ76" i="6" s="1"/>
  <c r="J73" i="7" s="1"/>
  <c r="CP76" i="6"/>
  <c r="BG77" i="6"/>
  <c r="DB77" i="6" s="1"/>
  <c r="DL77" i="6" s="1"/>
  <c r="K74" i="7" s="1"/>
  <c r="CQ77" i="6"/>
  <c r="P77" i="6"/>
  <c r="CX77" i="6" s="1"/>
  <c r="DD77" i="6" s="1"/>
  <c r="CM77" i="6"/>
  <c r="BG79" i="6"/>
  <c r="DB79" i="6" s="1"/>
  <c r="DL79" i="6" s="1"/>
  <c r="K76" i="7" s="1"/>
  <c r="CQ79" i="6"/>
  <c r="P79" i="6"/>
  <c r="CX79" i="6" s="1"/>
  <c r="DD79" i="6" s="1"/>
  <c r="CM79" i="6"/>
  <c r="AI80" i="6"/>
  <c r="CZ80" i="6" s="1"/>
  <c r="DH80" i="6" s="1"/>
  <c r="CO80" i="6"/>
  <c r="AI81" i="6"/>
  <c r="CZ81" i="6" s="1"/>
  <c r="DH81" i="6" s="1"/>
  <c r="CO81" i="6"/>
  <c r="P81" i="6"/>
  <c r="CX81" i="6" s="1"/>
  <c r="DD81" i="6" s="1"/>
  <c r="CM81" i="6"/>
  <c r="AI82" i="6"/>
  <c r="CZ82" i="6" s="1"/>
  <c r="DH82" i="6" s="1"/>
  <c r="CO82" i="6"/>
  <c r="AI83" i="6"/>
  <c r="CZ83" i="6" s="1"/>
  <c r="DH83" i="6" s="1"/>
  <c r="CO83" i="6"/>
  <c r="P83" i="6"/>
  <c r="CX83" i="6" s="1"/>
  <c r="DD83" i="6" s="1"/>
  <c r="CM83" i="6"/>
  <c r="AI84" i="6"/>
  <c r="CZ84" i="6" s="1"/>
  <c r="DH84" i="6" s="1"/>
  <c r="CO84" i="6"/>
  <c r="BG85" i="6"/>
  <c r="DB85" i="6" s="1"/>
  <c r="DL85" i="6" s="1"/>
  <c r="K82" i="7" s="1"/>
  <c r="CQ85" i="6"/>
  <c r="P85" i="6"/>
  <c r="CX85" i="6" s="1"/>
  <c r="DD85" i="6" s="1"/>
  <c r="CM85" i="6"/>
  <c r="BG87" i="6"/>
  <c r="DB87" i="6" s="1"/>
  <c r="DL87" i="6" s="1"/>
  <c r="K84" i="7" s="1"/>
  <c r="CQ87" i="6"/>
  <c r="P87" i="6"/>
  <c r="CX87" i="6" s="1"/>
  <c r="DD87" i="6" s="1"/>
  <c r="CM87" i="6"/>
  <c r="AU88" i="6"/>
  <c r="DA88" i="6" s="1"/>
  <c r="DJ88" i="6" s="1"/>
  <c r="J85" i="7" s="1"/>
  <c r="CP88" i="6"/>
  <c r="AI89" i="6"/>
  <c r="CZ89" i="6" s="1"/>
  <c r="DH89" i="6" s="1"/>
  <c r="CO89" i="6"/>
  <c r="P89" i="6"/>
  <c r="CX89" i="6" s="1"/>
  <c r="DD89" i="6" s="1"/>
  <c r="CM89" i="6"/>
  <c r="AI90" i="6"/>
  <c r="CZ90" i="6" s="1"/>
  <c r="DH90" i="6" s="1"/>
  <c r="CO90" i="6"/>
  <c r="AI91" i="6"/>
  <c r="CZ91" i="6" s="1"/>
  <c r="DH91" i="6" s="1"/>
  <c r="CO91" i="6"/>
  <c r="P91" i="6"/>
  <c r="CX91" i="6" s="1"/>
  <c r="DD91" i="6" s="1"/>
  <c r="CM91" i="6"/>
  <c r="AU93" i="6"/>
  <c r="DA93" i="6" s="1"/>
  <c r="DJ93" i="6" s="1"/>
  <c r="J90" i="7" s="1"/>
  <c r="CP93" i="6"/>
  <c r="P93" i="6"/>
  <c r="CX93" i="6" s="1"/>
  <c r="DD93" i="6" s="1"/>
  <c r="CM93" i="6"/>
  <c r="AU95" i="6"/>
  <c r="DA95" i="6" s="1"/>
  <c r="DJ95" i="6" s="1"/>
  <c r="J92" i="7" s="1"/>
  <c r="CP95" i="6"/>
  <c r="P95" i="6"/>
  <c r="CX95" i="6" s="1"/>
  <c r="DD95" i="6" s="1"/>
  <c r="CM95" i="6"/>
  <c r="AI96" i="6"/>
  <c r="CZ96" i="6" s="1"/>
  <c r="DH96" i="6" s="1"/>
  <c r="CO96" i="6"/>
  <c r="AI97" i="6"/>
  <c r="CZ97" i="6" s="1"/>
  <c r="DH97" i="6" s="1"/>
  <c r="CO97" i="6"/>
  <c r="P97" i="6"/>
  <c r="CX97" i="6" s="1"/>
  <c r="DD97" i="6" s="1"/>
  <c r="CM97" i="6"/>
  <c r="AI98" i="6"/>
  <c r="CZ98" i="6" s="1"/>
  <c r="DH98" i="6" s="1"/>
  <c r="CO98" i="6"/>
  <c r="AU101" i="6"/>
  <c r="DA101" i="6" s="1"/>
  <c r="DJ101" i="6" s="1"/>
  <c r="J98" i="7" s="1"/>
  <c r="CP101" i="6"/>
  <c r="P101" i="6"/>
  <c r="CX101" i="6" s="1"/>
  <c r="DD101" i="6" s="1"/>
  <c r="CM101" i="6"/>
  <c r="P103" i="6"/>
  <c r="CX103" i="6" s="1"/>
  <c r="DD103" i="6" s="1"/>
  <c r="CM103" i="6"/>
  <c r="AU104" i="6"/>
  <c r="DA104" i="6" s="1"/>
  <c r="DJ104" i="6" s="1"/>
  <c r="J101" i="7" s="1"/>
  <c r="CP104" i="6"/>
  <c r="AI105" i="6"/>
  <c r="CZ105" i="6" s="1"/>
  <c r="DH105" i="6" s="1"/>
  <c r="CO105" i="6"/>
  <c r="P105" i="6"/>
  <c r="CX105" i="6" s="1"/>
  <c r="DD105" i="6" s="1"/>
  <c r="CM105" i="6"/>
  <c r="AU106" i="6"/>
  <c r="DA106" i="6" s="1"/>
  <c r="DJ106" i="6" s="1"/>
  <c r="J103" i="7" s="1"/>
  <c r="CP106" i="6"/>
  <c r="P107" i="6"/>
  <c r="CX107" i="6" s="1"/>
  <c r="DD107" i="6" s="1"/>
  <c r="CM107" i="6"/>
  <c r="AU108" i="6"/>
  <c r="DA108" i="6" s="1"/>
  <c r="DJ108" i="6" s="1"/>
  <c r="J105" i="7" s="1"/>
  <c r="CP108" i="6"/>
  <c r="AU109" i="6"/>
  <c r="DA109" i="6" s="1"/>
  <c r="DJ109" i="6" s="1"/>
  <c r="J106" i="7" s="1"/>
  <c r="CP109" i="6"/>
  <c r="P109" i="6"/>
  <c r="CX109" i="6" s="1"/>
  <c r="DD109" i="6" s="1"/>
  <c r="CM109" i="6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A1162" i="3" s="1"/>
  <c r="E1163" i="3"/>
  <c r="E1164" i="3"/>
  <c r="E1165" i="3"/>
  <c r="E1166" i="3"/>
  <c r="A1166" i="3" s="1"/>
  <c r="E1167" i="3"/>
  <c r="E1168" i="3"/>
  <c r="E1169" i="3"/>
  <c r="E1170" i="3"/>
  <c r="A1170" i="3" s="1"/>
  <c r="E1171" i="3"/>
  <c r="E1172" i="3"/>
  <c r="E1173" i="3"/>
  <c r="E1174" i="3"/>
  <c r="A1174" i="3" s="1"/>
  <c r="E1175" i="3"/>
  <c r="E1176" i="3"/>
  <c r="E1177" i="3"/>
  <c r="E1178" i="3"/>
  <c r="A1178" i="3" s="1"/>
  <c r="E1179" i="3"/>
  <c r="E1180" i="3"/>
  <c r="E1181" i="3"/>
  <c r="E1182" i="3"/>
  <c r="A1182" i="3" s="1"/>
  <c r="E1183" i="3"/>
  <c r="E1184" i="3"/>
  <c r="E1185" i="3"/>
  <c r="E1186" i="3"/>
  <c r="A1186" i="3" s="1"/>
  <c r="E1187" i="3"/>
  <c r="E1188" i="3"/>
  <c r="E1189" i="3"/>
  <c r="E1190" i="3"/>
  <c r="A1190" i="3" s="1"/>
  <c r="E1191" i="3"/>
  <c r="E1192" i="3"/>
  <c r="E1193" i="3"/>
  <c r="E1194" i="3"/>
  <c r="A1194" i="3" s="1"/>
  <c r="E1195" i="3"/>
  <c r="E1196" i="3"/>
  <c r="E1197" i="3"/>
  <c r="E1198" i="3"/>
  <c r="A1198" i="3" s="1"/>
  <c r="E1199" i="3"/>
  <c r="E1200" i="3"/>
  <c r="E1201" i="3"/>
  <c r="E1202" i="3"/>
  <c r="A1202" i="3" s="1"/>
  <c r="E1203" i="3"/>
  <c r="E1204" i="3"/>
  <c r="E1205" i="3"/>
  <c r="E1206" i="3"/>
  <c r="A1206" i="3" s="1"/>
  <c r="E1207" i="3"/>
  <c r="E1208" i="3"/>
  <c r="E1209" i="3"/>
  <c r="E1210" i="3"/>
  <c r="A1210" i="3" s="1"/>
  <c r="E1211" i="3"/>
  <c r="E1212" i="3"/>
  <c r="E1213" i="3"/>
  <c r="E1214" i="3"/>
  <c r="A1214" i="3" s="1"/>
  <c r="E1215" i="3"/>
  <c r="E1216" i="3"/>
  <c r="E1217" i="3"/>
  <c r="E1218" i="3"/>
  <c r="A1218" i="3" s="1"/>
  <c r="E1219" i="3"/>
  <c r="E1220" i="3"/>
  <c r="E1221" i="3"/>
  <c r="E1222" i="3"/>
  <c r="A1222" i="3" s="1"/>
  <c r="E1223" i="3"/>
  <c r="E1224" i="3"/>
  <c r="E1225" i="3"/>
  <c r="E1226" i="3"/>
  <c r="A1226" i="3" s="1"/>
  <c r="E1227" i="3"/>
  <c r="E1228" i="3"/>
  <c r="E1229" i="3"/>
  <c r="E1230" i="3"/>
  <c r="A1230" i="3" s="1"/>
  <c r="E1231" i="3"/>
  <c r="E1232" i="3"/>
  <c r="E1233" i="3"/>
  <c r="E1234" i="3"/>
  <c r="A1234" i="3" s="1"/>
  <c r="E1235" i="3"/>
  <c r="E1236" i="3"/>
  <c r="E1237" i="3"/>
  <c r="E1238" i="3"/>
  <c r="A1238" i="3" s="1"/>
  <c r="E1239" i="3"/>
  <c r="E1240" i="3"/>
  <c r="E1241" i="3"/>
  <c r="E1242" i="3"/>
  <c r="A1242" i="3" s="1"/>
  <c r="E1243" i="3"/>
  <c r="E1244" i="3"/>
  <c r="E1245" i="3"/>
  <c r="E1246" i="3"/>
  <c r="A1246" i="3" s="1"/>
  <c r="E1247" i="3"/>
  <c r="E1248" i="3"/>
  <c r="E1249" i="3"/>
  <c r="E1250" i="3"/>
  <c r="A1250" i="3" s="1"/>
  <c r="E1251" i="3"/>
  <c r="E1252" i="3"/>
  <c r="E1253" i="3"/>
  <c r="E1254" i="3"/>
  <c r="A1254" i="3" s="1"/>
  <c r="E1255" i="3"/>
  <c r="E1256" i="3"/>
  <c r="E1257" i="3"/>
  <c r="E1258" i="3"/>
  <c r="A1258" i="3" s="1"/>
  <c r="E1259" i="3"/>
  <c r="E1260" i="3"/>
  <c r="E1261" i="3"/>
  <c r="E1262" i="3"/>
  <c r="A1262" i="3" s="1"/>
  <c r="E1263" i="3"/>
  <c r="E1264" i="3"/>
  <c r="E1265" i="3"/>
  <c r="E1266" i="3"/>
  <c r="A1266" i="3" s="1"/>
  <c r="E1267" i="3"/>
  <c r="E1268" i="3"/>
  <c r="E1269" i="3"/>
  <c r="E1270" i="3"/>
  <c r="A1270" i="3" s="1"/>
  <c r="E1271" i="3"/>
  <c r="E1272" i="3"/>
  <c r="E1273" i="3"/>
  <c r="E1274" i="3"/>
  <c r="A1274" i="3" s="1"/>
  <c r="E1275" i="3"/>
  <c r="E1276" i="3"/>
  <c r="E1277" i="3"/>
  <c r="E1278" i="3"/>
  <c r="A1278" i="3" s="1"/>
  <c r="E1279" i="3"/>
  <c r="E1280" i="3"/>
  <c r="E1281" i="3"/>
  <c r="E1282" i="3"/>
  <c r="A1282" i="3" s="1"/>
  <c r="E1283" i="3"/>
  <c r="E1284" i="3"/>
  <c r="E1285" i="3"/>
  <c r="E1286" i="3"/>
  <c r="A1286" i="3" s="1"/>
  <c r="E1287" i="3"/>
  <c r="E1288" i="3"/>
  <c r="E1289" i="3"/>
  <c r="E1290" i="3"/>
  <c r="A1290" i="3" s="1"/>
  <c r="E1291" i="3"/>
  <c r="E1292" i="3"/>
  <c r="E1293" i="3"/>
  <c r="E1294" i="3"/>
  <c r="A1294" i="3" s="1"/>
  <c r="E1295" i="3"/>
  <c r="E1296" i="3"/>
  <c r="E1297" i="3"/>
  <c r="E1298" i="3"/>
  <c r="A1298" i="3" s="1"/>
  <c r="E1299" i="3"/>
  <c r="E1300" i="3"/>
  <c r="E1301" i="3"/>
  <c r="E1302" i="3"/>
  <c r="A1302" i="3" s="1"/>
  <c r="E1303" i="3"/>
  <c r="E1304" i="3"/>
  <c r="E1305" i="3"/>
  <c r="E1306" i="3"/>
  <c r="A1306" i="3" s="1"/>
  <c r="E1307" i="3"/>
  <c r="E1308" i="3"/>
  <c r="E1309" i="3"/>
  <c r="E1310" i="3"/>
  <c r="A1310" i="3" s="1"/>
  <c r="E1311" i="3"/>
  <c r="E1312" i="3"/>
  <c r="E1313" i="3"/>
  <c r="E1314" i="3"/>
  <c r="A1314" i="3" s="1"/>
  <c r="E1315" i="3"/>
  <c r="E1316" i="3"/>
  <c r="E1317" i="3"/>
  <c r="E1318" i="3"/>
  <c r="A1318" i="3" s="1"/>
  <c r="E1319" i="3"/>
  <c r="E1320" i="3"/>
  <c r="E1321" i="3"/>
  <c r="E1322" i="3"/>
  <c r="A1322" i="3" s="1"/>
  <c r="E1323" i="3"/>
  <c r="E1324" i="3"/>
  <c r="E1325" i="3"/>
  <c r="E1326" i="3"/>
  <c r="A1326" i="3" s="1"/>
  <c r="E1327" i="3"/>
  <c r="E1328" i="3"/>
  <c r="E1329" i="3"/>
  <c r="E1330" i="3"/>
  <c r="A1330" i="3" s="1"/>
  <c r="E1331" i="3"/>
  <c r="E1332" i="3"/>
  <c r="E1333" i="3"/>
  <c r="E1334" i="3"/>
  <c r="A1334" i="3" s="1"/>
  <c r="E1335" i="3"/>
  <c r="E1336" i="3"/>
  <c r="E1337" i="3"/>
  <c r="E1338" i="3"/>
  <c r="A1338" i="3" s="1"/>
  <c r="E1339" i="3"/>
  <c r="E1340" i="3"/>
  <c r="E1341" i="3"/>
  <c r="E1342" i="3"/>
  <c r="A1342" i="3" s="1"/>
  <c r="E1343" i="3"/>
  <c r="E1344" i="3"/>
  <c r="E1345" i="3"/>
  <c r="E1346" i="3"/>
  <c r="A1346" i="3" s="1"/>
  <c r="E1347" i="3"/>
  <c r="E1348" i="3"/>
  <c r="E1349" i="3"/>
  <c r="E1350" i="3"/>
  <c r="A1350" i="3" s="1"/>
  <c r="E1351" i="3"/>
  <c r="E1352" i="3"/>
  <c r="E1353" i="3"/>
  <c r="E1354" i="3"/>
  <c r="A1354" i="3" s="1"/>
  <c r="E1355" i="3"/>
  <c r="E1356" i="3"/>
  <c r="E1357" i="3"/>
  <c r="E1358" i="3"/>
  <c r="A1358" i="3" s="1"/>
  <c r="E1359" i="3"/>
  <c r="E1360" i="3"/>
  <c r="E1361" i="3"/>
  <c r="E1362" i="3"/>
  <c r="A1362" i="3" s="1"/>
  <c r="E1363" i="3"/>
  <c r="E1364" i="3"/>
  <c r="E1365" i="3"/>
  <c r="E1366" i="3"/>
  <c r="A1366" i="3" s="1"/>
  <c r="E1367" i="3"/>
  <c r="E1368" i="3"/>
  <c r="E1369" i="3"/>
  <c r="E1370" i="3"/>
  <c r="A1370" i="3" s="1"/>
  <c r="E1371" i="3"/>
  <c r="E1372" i="3"/>
  <c r="E1373" i="3"/>
  <c r="E1374" i="3"/>
  <c r="A1374" i="3" s="1"/>
  <c r="E1375" i="3"/>
  <c r="E1376" i="3"/>
  <c r="E1377" i="3"/>
  <c r="E1378" i="3"/>
  <c r="A1378" i="3" s="1"/>
  <c r="E1379" i="3"/>
  <c r="E1380" i="3"/>
  <c r="E1381" i="3"/>
  <c r="E1382" i="3"/>
  <c r="A1382" i="3" s="1"/>
  <c r="E1383" i="3"/>
  <c r="E1384" i="3"/>
  <c r="E1385" i="3"/>
  <c r="E1386" i="3"/>
  <c r="A1386" i="3" s="1"/>
  <c r="E1387" i="3"/>
  <c r="E1388" i="3"/>
  <c r="E1389" i="3"/>
  <c r="E1390" i="3"/>
  <c r="A1390" i="3" s="1"/>
  <c r="E1391" i="3"/>
  <c r="E1392" i="3"/>
  <c r="E1393" i="3"/>
  <c r="E1394" i="3"/>
  <c r="A1394" i="3" s="1"/>
  <c r="E1395" i="3"/>
  <c r="E1396" i="3"/>
  <c r="E1397" i="3"/>
  <c r="E1398" i="3"/>
  <c r="A1398" i="3" s="1"/>
  <c r="E1399" i="3"/>
  <c r="E1400" i="3"/>
  <c r="E1401" i="3"/>
  <c r="E1402" i="3"/>
  <c r="A1402" i="3" s="1"/>
  <c r="E1403" i="3"/>
  <c r="E1404" i="3"/>
  <c r="E1405" i="3"/>
  <c r="E1406" i="3"/>
  <c r="A1406" i="3" s="1"/>
  <c r="E1407" i="3"/>
  <c r="E1408" i="3"/>
  <c r="E1409" i="3"/>
  <c r="E1410" i="3"/>
  <c r="A1410" i="3" s="1"/>
  <c r="E1411" i="3"/>
  <c r="E1412" i="3"/>
  <c r="E1413" i="3"/>
  <c r="E1414" i="3"/>
  <c r="A1414" i="3" s="1"/>
  <c r="E1415" i="3"/>
  <c r="E1416" i="3"/>
  <c r="E1417" i="3"/>
  <c r="E1418" i="3"/>
  <c r="A1418" i="3" s="1"/>
  <c r="E1419" i="3"/>
  <c r="E1420" i="3"/>
  <c r="E1421" i="3"/>
  <c r="E1422" i="3"/>
  <c r="A1422" i="3" s="1"/>
  <c r="E1423" i="3"/>
  <c r="E1424" i="3"/>
  <c r="E1425" i="3"/>
  <c r="E1426" i="3"/>
  <c r="A1426" i="3" s="1"/>
  <c r="E1427" i="3"/>
  <c r="E1428" i="3"/>
  <c r="E1429" i="3"/>
  <c r="E1430" i="3"/>
  <c r="A1430" i="3" s="1"/>
  <c r="E1431" i="3"/>
  <c r="E1432" i="3"/>
  <c r="E1433" i="3"/>
  <c r="E1434" i="3"/>
  <c r="A1434" i="3" s="1"/>
  <c r="E1435" i="3"/>
  <c r="E1436" i="3"/>
  <c r="E1437" i="3"/>
  <c r="E1438" i="3"/>
  <c r="A1438" i="3" s="1"/>
  <c r="E1439" i="3"/>
  <c r="E1440" i="3"/>
  <c r="E1441" i="3"/>
  <c r="E1442" i="3"/>
  <c r="A1442" i="3" s="1"/>
  <c r="E1443" i="3"/>
  <c r="E1444" i="3"/>
  <c r="E1445" i="3"/>
  <c r="E1446" i="3"/>
  <c r="A1446" i="3" s="1"/>
  <c r="E1447" i="3"/>
  <c r="E1448" i="3"/>
  <c r="E1449" i="3"/>
  <c r="E1450" i="3"/>
  <c r="A1450" i="3" s="1"/>
  <c r="E1451" i="3"/>
  <c r="E1452" i="3"/>
  <c r="E1453" i="3"/>
  <c r="E1454" i="3"/>
  <c r="A1454" i="3" s="1"/>
  <c r="E1455" i="3"/>
  <c r="E1456" i="3"/>
  <c r="E1457" i="3"/>
  <c r="E1458" i="3"/>
  <c r="A1458" i="3" s="1"/>
  <c r="E1459" i="3"/>
  <c r="E1460" i="3"/>
  <c r="E1461" i="3"/>
  <c r="E1462" i="3"/>
  <c r="A1462" i="3" s="1"/>
  <c r="E1463" i="3"/>
  <c r="E1464" i="3"/>
  <c r="E1465" i="3"/>
  <c r="E1466" i="3"/>
  <c r="A1466" i="3" s="1"/>
  <c r="E1467" i="3"/>
  <c r="E1468" i="3"/>
  <c r="E1469" i="3"/>
  <c r="E1470" i="3"/>
  <c r="A1470" i="3" s="1"/>
  <c r="E1471" i="3"/>
  <c r="E1472" i="3"/>
  <c r="E1473" i="3"/>
  <c r="E1474" i="3"/>
  <c r="A1474" i="3" s="1"/>
  <c r="E1475" i="3"/>
  <c r="E1476" i="3"/>
  <c r="E1477" i="3"/>
  <c r="E1478" i="3"/>
  <c r="A1478" i="3" s="1"/>
  <c r="E1479" i="3"/>
  <c r="E1480" i="3"/>
  <c r="E1481" i="3"/>
  <c r="E1482" i="3"/>
  <c r="A1482" i="3" s="1"/>
  <c r="E1483" i="3"/>
  <c r="E1484" i="3"/>
  <c r="E1485" i="3"/>
  <c r="E1486" i="3"/>
  <c r="A1486" i="3" s="1"/>
  <c r="E1487" i="3"/>
  <c r="E1488" i="3"/>
  <c r="E1489" i="3"/>
  <c r="E1490" i="3"/>
  <c r="A1490" i="3" s="1"/>
  <c r="E1491" i="3"/>
  <c r="E1492" i="3"/>
  <c r="E1493" i="3"/>
  <c r="E1494" i="3"/>
  <c r="A1494" i="3" s="1"/>
  <c r="E1495" i="3"/>
  <c r="E1496" i="3"/>
  <c r="E1497" i="3"/>
  <c r="E1498" i="3"/>
  <c r="A1498" i="3" s="1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3" i="3"/>
  <c r="A1164" i="3"/>
  <c r="A1165" i="3"/>
  <c r="A1167" i="3"/>
  <c r="A1168" i="3"/>
  <c r="A1169" i="3"/>
  <c r="A1171" i="3"/>
  <c r="A1172" i="3"/>
  <c r="A1173" i="3"/>
  <c r="A1175" i="3"/>
  <c r="A1176" i="3"/>
  <c r="A1177" i="3"/>
  <c r="A1179" i="3"/>
  <c r="A1180" i="3"/>
  <c r="A1181" i="3"/>
  <c r="A1183" i="3"/>
  <c r="A1184" i="3"/>
  <c r="A1185" i="3"/>
  <c r="A1187" i="3"/>
  <c r="A1188" i="3"/>
  <c r="A1189" i="3"/>
  <c r="A1191" i="3"/>
  <c r="A1192" i="3"/>
  <c r="A1193" i="3"/>
  <c r="A1195" i="3"/>
  <c r="A1196" i="3"/>
  <c r="A1197" i="3"/>
  <c r="A1199" i="3"/>
  <c r="A1200" i="3"/>
  <c r="A1201" i="3"/>
  <c r="A1203" i="3"/>
  <c r="A1204" i="3"/>
  <c r="A1205" i="3"/>
  <c r="A1207" i="3"/>
  <c r="A1208" i="3"/>
  <c r="A1209" i="3"/>
  <c r="A1211" i="3"/>
  <c r="A1212" i="3"/>
  <c r="A1213" i="3"/>
  <c r="A1215" i="3"/>
  <c r="A1216" i="3"/>
  <c r="A1217" i="3"/>
  <c r="A1219" i="3"/>
  <c r="A1220" i="3"/>
  <c r="A1221" i="3"/>
  <c r="A1223" i="3"/>
  <c r="A1224" i="3"/>
  <c r="A1225" i="3"/>
  <c r="A1227" i="3"/>
  <c r="A1228" i="3"/>
  <c r="A1229" i="3"/>
  <c r="A1231" i="3"/>
  <c r="A1232" i="3"/>
  <c r="A1233" i="3"/>
  <c r="A1235" i="3"/>
  <c r="A1236" i="3"/>
  <c r="A1237" i="3"/>
  <c r="A1239" i="3"/>
  <c r="A1240" i="3"/>
  <c r="A1241" i="3"/>
  <c r="A1243" i="3"/>
  <c r="A1244" i="3"/>
  <c r="A1245" i="3"/>
  <c r="A1247" i="3"/>
  <c r="A1248" i="3"/>
  <c r="A1249" i="3"/>
  <c r="A1251" i="3"/>
  <c r="A1252" i="3"/>
  <c r="A1253" i="3"/>
  <c r="A1255" i="3"/>
  <c r="A1256" i="3"/>
  <c r="A1257" i="3"/>
  <c r="A1259" i="3"/>
  <c r="A1260" i="3"/>
  <c r="A1261" i="3"/>
  <c r="A1263" i="3"/>
  <c r="A1264" i="3"/>
  <c r="A1265" i="3"/>
  <c r="A1267" i="3"/>
  <c r="A1268" i="3"/>
  <c r="A1269" i="3"/>
  <c r="A1271" i="3"/>
  <c r="A1272" i="3"/>
  <c r="A1273" i="3"/>
  <c r="A1275" i="3"/>
  <c r="A1276" i="3"/>
  <c r="A1277" i="3"/>
  <c r="A1279" i="3"/>
  <c r="A1280" i="3"/>
  <c r="A1281" i="3"/>
  <c r="A1283" i="3"/>
  <c r="A1284" i="3"/>
  <c r="A1285" i="3"/>
  <c r="A1287" i="3"/>
  <c r="A1288" i="3"/>
  <c r="A1289" i="3"/>
  <c r="A1291" i="3"/>
  <c r="A1292" i="3"/>
  <c r="A1293" i="3"/>
  <c r="A1295" i="3"/>
  <c r="A1296" i="3"/>
  <c r="A1297" i="3"/>
  <c r="A1299" i="3"/>
  <c r="A1300" i="3"/>
  <c r="A1301" i="3"/>
  <c r="A1303" i="3"/>
  <c r="A1304" i="3"/>
  <c r="A1305" i="3"/>
  <c r="A1307" i="3"/>
  <c r="A1308" i="3"/>
  <c r="A1309" i="3"/>
  <c r="A1311" i="3"/>
  <c r="A1312" i="3"/>
  <c r="A1313" i="3"/>
  <c r="A1315" i="3"/>
  <c r="A1316" i="3"/>
  <c r="A1317" i="3"/>
  <c r="A1319" i="3"/>
  <c r="A1320" i="3"/>
  <c r="A1321" i="3"/>
  <c r="A1323" i="3"/>
  <c r="A1324" i="3"/>
  <c r="A1325" i="3"/>
  <c r="A1327" i="3"/>
  <c r="A1328" i="3"/>
  <c r="A1329" i="3"/>
  <c r="A1331" i="3"/>
  <c r="A1332" i="3"/>
  <c r="A1333" i="3"/>
  <c r="A1335" i="3"/>
  <c r="A1336" i="3"/>
  <c r="A1337" i="3"/>
  <c r="A1339" i="3"/>
  <c r="A1340" i="3"/>
  <c r="A1341" i="3"/>
  <c r="A1343" i="3"/>
  <c r="A1344" i="3"/>
  <c r="A1345" i="3"/>
  <c r="A1347" i="3"/>
  <c r="A1348" i="3"/>
  <c r="A1349" i="3"/>
  <c r="A1351" i="3"/>
  <c r="A1352" i="3"/>
  <c r="A1353" i="3"/>
  <c r="A1355" i="3"/>
  <c r="A1356" i="3"/>
  <c r="A1357" i="3"/>
  <c r="A1359" i="3"/>
  <c r="A1360" i="3"/>
  <c r="A1361" i="3"/>
  <c r="A1363" i="3"/>
  <c r="A1364" i="3"/>
  <c r="A1365" i="3"/>
  <c r="A1367" i="3"/>
  <c r="A1368" i="3"/>
  <c r="A1369" i="3"/>
  <c r="A1371" i="3"/>
  <c r="A1372" i="3"/>
  <c r="A1373" i="3"/>
  <c r="A1375" i="3"/>
  <c r="A1376" i="3"/>
  <c r="A1377" i="3"/>
  <c r="A1379" i="3"/>
  <c r="A1380" i="3"/>
  <c r="A1381" i="3"/>
  <c r="A1383" i="3"/>
  <c r="A1384" i="3"/>
  <c r="A1385" i="3"/>
  <c r="A1387" i="3"/>
  <c r="A1388" i="3"/>
  <c r="A1389" i="3"/>
  <c r="A1391" i="3"/>
  <c r="A1392" i="3"/>
  <c r="A1393" i="3"/>
  <c r="A1395" i="3"/>
  <c r="A1396" i="3"/>
  <c r="A1397" i="3"/>
  <c r="A1399" i="3"/>
  <c r="A1400" i="3"/>
  <c r="A1401" i="3"/>
  <c r="A1403" i="3"/>
  <c r="A1404" i="3"/>
  <c r="A1405" i="3"/>
  <c r="A1407" i="3"/>
  <c r="A1408" i="3"/>
  <c r="A1409" i="3"/>
  <c r="A1411" i="3"/>
  <c r="A1412" i="3"/>
  <c r="A1413" i="3"/>
  <c r="A1415" i="3"/>
  <c r="A1416" i="3"/>
  <c r="A1417" i="3"/>
  <c r="A1419" i="3"/>
  <c r="A1420" i="3"/>
  <c r="A1421" i="3"/>
  <c r="A1423" i="3"/>
  <c r="A1424" i="3"/>
  <c r="A1425" i="3"/>
  <c r="A1427" i="3"/>
  <c r="A1428" i="3"/>
  <c r="A1429" i="3"/>
  <c r="A1431" i="3"/>
  <c r="A1432" i="3"/>
  <c r="A1433" i="3"/>
  <c r="A1435" i="3"/>
  <c r="A1436" i="3"/>
  <c r="A1437" i="3"/>
  <c r="A1439" i="3"/>
  <c r="A1440" i="3"/>
  <c r="A1441" i="3"/>
  <c r="A1443" i="3"/>
  <c r="A1444" i="3"/>
  <c r="A1445" i="3"/>
  <c r="A1447" i="3"/>
  <c r="A1448" i="3"/>
  <c r="A1449" i="3"/>
  <c r="A1451" i="3"/>
  <c r="A1452" i="3"/>
  <c r="A1453" i="3"/>
  <c r="A1455" i="3"/>
  <c r="A1456" i="3"/>
  <c r="A1457" i="3"/>
  <c r="A1459" i="3"/>
  <c r="A1460" i="3"/>
  <c r="A1461" i="3"/>
  <c r="A1463" i="3"/>
  <c r="A1464" i="3"/>
  <c r="A1465" i="3"/>
  <c r="A1467" i="3"/>
  <c r="A1468" i="3"/>
  <c r="A1469" i="3"/>
  <c r="A1471" i="3"/>
  <c r="A1472" i="3"/>
  <c r="A1473" i="3"/>
  <c r="A1475" i="3"/>
  <c r="A1476" i="3"/>
  <c r="A1477" i="3"/>
  <c r="A1479" i="3"/>
  <c r="A1480" i="3"/>
  <c r="A1481" i="3"/>
  <c r="A1483" i="3"/>
  <c r="A1484" i="3"/>
  <c r="A1485" i="3"/>
  <c r="A1487" i="3"/>
  <c r="A1488" i="3"/>
  <c r="A1489" i="3"/>
  <c r="A1491" i="3"/>
  <c r="A1492" i="3"/>
  <c r="A1493" i="3"/>
  <c r="A1495" i="3"/>
  <c r="A1496" i="3"/>
  <c r="A1497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Z107" i="6" l="1"/>
  <c r="DV107" i="6"/>
  <c r="DX107" i="6"/>
  <c r="DT107" i="6"/>
  <c r="DR107" i="6"/>
  <c r="DZ95" i="6"/>
  <c r="DV95" i="6"/>
  <c r="DX95" i="6"/>
  <c r="DR95" i="6"/>
  <c r="DT95" i="6"/>
  <c r="DZ91" i="6"/>
  <c r="DV91" i="6"/>
  <c r="DR91" i="6"/>
  <c r="DX91" i="6"/>
  <c r="DT91" i="6"/>
  <c r="DV85" i="6"/>
  <c r="DZ85" i="6"/>
  <c r="DX85" i="6"/>
  <c r="DR85" i="6"/>
  <c r="DT85" i="6"/>
  <c r="DZ71" i="6"/>
  <c r="DV71" i="6"/>
  <c r="DR71" i="6"/>
  <c r="DT71" i="6"/>
  <c r="DX71" i="6"/>
  <c r="DX100" i="6"/>
  <c r="DT100" i="6"/>
  <c r="DV100" i="6"/>
  <c r="DZ100" i="6"/>
  <c r="DR100" i="6"/>
  <c r="DX108" i="6"/>
  <c r="DT108" i="6"/>
  <c r="DV108" i="6"/>
  <c r="DR108" i="6"/>
  <c r="DZ108" i="6"/>
  <c r="DX106" i="6"/>
  <c r="DZ106" i="6"/>
  <c r="DT106" i="6"/>
  <c r="DV106" i="6"/>
  <c r="DR106" i="6"/>
  <c r="DX102" i="6"/>
  <c r="DZ102" i="6"/>
  <c r="DT102" i="6"/>
  <c r="DV102" i="6"/>
  <c r="DR102" i="6"/>
  <c r="DX96" i="6"/>
  <c r="DV96" i="6"/>
  <c r="DT96" i="6"/>
  <c r="DZ96" i="6"/>
  <c r="DR96" i="6"/>
  <c r="DX92" i="6"/>
  <c r="DT92" i="6"/>
  <c r="DV92" i="6"/>
  <c r="DR92" i="6"/>
  <c r="DZ92" i="6"/>
  <c r="DX86" i="6"/>
  <c r="DZ86" i="6"/>
  <c r="DT86" i="6"/>
  <c r="DV86" i="6"/>
  <c r="DR86" i="6"/>
  <c r="DX78" i="6"/>
  <c r="DZ78" i="6"/>
  <c r="DT78" i="6"/>
  <c r="DR78" i="6"/>
  <c r="DV78" i="6"/>
  <c r="DX74" i="6"/>
  <c r="DZ74" i="6"/>
  <c r="DT74" i="6"/>
  <c r="DV74" i="6"/>
  <c r="DR74" i="6"/>
  <c r="DX72" i="6"/>
  <c r="DV72" i="6"/>
  <c r="DT72" i="6"/>
  <c r="DR72" i="6"/>
  <c r="DZ72" i="6"/>
  <c r="DZ99" i="6"/>
  <c r="DV99" i="6"/>
  <c r="DT99" i="6"/>
  <c r="DR99" i="6"/>
  <c r="DX99" i="6"/>
  <c r="DV105" i="6"/>
  <c r="DZ105" i="6"/>
  <c r="DX105" i="6"/>
  <c r="DR105" i="6"/>
  <c r="DT105" i="6"/>
  <c r="DV101" i="6"/>
  <c r="DZ101" i="6"/>
  <c r="DX101" i="6"/>
  <c r="DR101" i="6"/>
  <c r="DT101" i="6"/>
  <c r="DV93" i="6"/>
  <c r="DZ93" i="6"/>
  <c r="DX93" i="6"/>
  <c r="DR93" i="6"/>
  <c r="DT93" i="6"/>
  <c r="DZ87" i="6"/>
  <c r="DV87" i="6"/>
  <c r="DR87" i="6"/>
  <c r="DT87" i="6"/>
  <c r="DX87" i="6"/>
  <c r="DV81" i="6"/>
  <c r="DZ81" i="6"/>
  <c r="DX81" i="6"/>
  <c r="DR81" i="6"/>
  <c r="DT81" i="6"/>
  <c r="DZ75" i="6"/>
  <c r="DV75" i="6"/>
  <c r="DR75" i="6"/>
  <c r="DX75" i="6"/>
  <c r="DT75" i="6"/>
  <c r="DV109" i="6"/>
  <c r="DZ109" i="6"/>
  <c r="DX109" i="6"/>
  <c r="DT109" i="6"/>
  <c r="DR109" i="6"/>
  <c r="DZ103" i="6"/>
  <c r="DV103" i="6"/>
  <c r="DR103" i="6"/>
  <c r="DT103" i="6"/>
  <c r="DX103" i="6"/>
  <c r="DV97" i="6"/>
  <c r="DZ97" i="6"/>
  <c r="DX97" i="6"/>
  <c r="DR97" i="6"/>
  <c r="DT97" i="6"/>
  <c r="DV89" i="6"/>
  <c r="DZ89" i="6"/>
  <c r="DX89" i="6"/>
  <c r="DR89" i="6"/>
  <c r="DT89" i="6"/>
  <c r="DZ83" i="6"/>
  <c r="DV83" i="6"/>
  <c r="DR83" i="6"/>
  <c r="DT83" i="6"/>
  <c r="DX83" i="6"/>
  <c r="DV77" i="6"/>
  <c r="DZ77" i="6"/>
  <c r="DX77" i="6"/>
  <c r="DR77" i="6"/>
  <c r="DT77" i="6"/>
  <c r="DX104" i="6"/>
  <c r="DV104" i="6"/>
  <c r="DT104" i="6"/>
  <c r="DR104" i="6"/>
  <c r="DZ104" i="6"/>
  <c r="DX98" i="6"/>
  <c r="DZ98" i="6"/>
  <c r="DT98" i="6"/>
  <c r="DV98" i="6"/>
  <c r="DR98" i="6"/>
  <c r="DX94" i="6"/>
  <c r="DZ94" i="6"/>
  <c r="DT94" i="6"/>
  <c r="DR94" i="6"/>
  <c r="DV94" i="6"/>
  <c r="DX90" i="6"/>
  <c r="DZ90" i="6"/>
  <c r="DT90" i="6"/>
  <c r="DV90" i="6"/>
  <c r="DR90" i="6"/>
  <c r="DX88" i="6"/>
  <c r="DV88" i="6"/>
  <c r="DT88" i="6"/>
  <c r="DR88" i="6"/>
  <c r="DZ88" i="6"/>
  <c r="DX84" i="6"/>
  <c r="DT84" i="6"/>
  <c r="DV84" i="6"/>
  <c r="DZ84" i="6"/>
  <c r="DR84" i="6"/>
  <c r="DX82" i="6"/>
  <c r="DZ82" i="6"/>
  <c r="DT82" i="6"/>
  <c r="DR82" i="6"/>
  <c r="DV82" i="6"/>
  <c r="DX80" i="6"/>
  <c r="DV80" i="6"/>
  <c r="DT80" i="6"/>
  <c r="DZ80" i="6"/>
  <c r="DR80" i="6"/>
  <c r="DX76" i="6"/>
  <c r="DT76" i="6"/>
  <c r="DV76" i="6"/>
  <c r="DR76" i="6"/>
  <c r="DZ76" i="6"/>
  <c r="DZ79" i="6"/>
  <c r="DV79" i="6"/>
  <c r="DR79" i="6"/>
  <c r="DX79" i="6"/>
  <c r="DT79" i="6"/>
  <c r="DV73" i="6"/>
  <c r="DZ73" i="6"/>
  <c r="DX73" i="6"/>
  <c r="DR73" i="6"/>
  <c r="DT73" i="6"/>
  <c r="CX9" i="6"/>
  <c r="C14" i="10"/>
  <c r="H14" i="10" s="1"/>
  <c r="CZ9" i="6"/>
  <c r="CY9" i="6"/>
  <c r="A15" i="10"/>
  <c r="DA9" i="6"/>
  <c r="DB9" i="6"/>
  <c r="BL92" i="6"/>
  <c r="R89" i="7" s="1"/>
  <c r="BL84" i="6"/>
  <c r="R81" i="7" s="1"/>
  <c r="BL76" i="6"/>
  <c r="R73" i="7" s="1"/>
  <c r="BL107" i="6"/>
  <c r="R104" i="7" s="1"/>
  <c r="BL99" i="6"/>
  <c r="R96" i="7" s="1"/>
  <c r="BL91" i="6"/>
  <c r="R88" i="7" s="1"/>
  <c r="BL83" i="6"/>
  <c r="R80" i="7" s="1"/>
  <c r="BL75" i="6"/>
  <c r="R72" i="7" s="1"/>
  <c r="BL106" i="6"/>
  <c r="R103" i="7" s="1"/>
  <c r="BL98" i="6"/>
  <c r="R95" i="7" s="1"/>
  <c r="BL90" i="6"/>
  <c r="R87" i="7" s="1"/>
  <c r="BL82" i="6"/>
  <c r="R79" i="7" s="1"/>
  <c r="BL74" i="6"/>
  <c r="R71" i="7" s="1"/>
  <c r="BL105" i="6"/>
  <c r="R102" i="7" s="1"/>
  <c r="BL97" i="6"/>
  <c r="R94" i="7" s="1"/>
  <c r="BL89" i="6"/>
  <c r="R86" i="7" s="1"/>
  <c r="BL81" i="6"/>
  <c r="R78" i="7" s="1"/>
  <c r="BL73" i="6"/>
  <c r="R70" i="7" s="1"/>
  <c r="BL104" i="6"/>
  <c r="R101" i="7" s="1"/>
  <c r="BL96" i="6"/>
  <c r="R93" i="7" s="1"/>
  <c r="BL88" i="6"/>
  <c r="R85" i="7" s="1"/>
  <c r="BL80" i="6"/>
  <c r="R77" i="7" s="1"/>
  <c r="BL72" i="6"/>
  <c r="R69" i="7" s="1"/>
  <c r="BL103" i="6"/>
  <c r="R100" i="7" s="1"/>
  <c r="BL95" i="6"/>
  <c r="R92" i="7" s="1"/>
  <c r="BL87" i="6"/>
  <c r="R84" i="7" s="1"/>
  <c r="BL79" i="6"/>
  <c r="R76" i="7" s="1"/>
  <c r="BL71" i="6"/>
  <c r="R68" i="7" s="1"/>
  <c r="BL102" i="6"/>
  <c r="R99" i="7" s="1"/>
  <c r="BL94" i="6"/>
  <c r="R91" i="7" s="1"/>
  <c r="BL86" i="6"/>
  <c r="R83" i="7" s="1"/>
  <c r="BL78" i="6"/>
  <c r="R75" i="7" s="1"/>
  <c r="BL109" i="6"/>
  <c r="R106" i="7" s="1"/>
  <c r="BL101" i="6"/>
  <c r="R98" i="7" s="1"/>
  <c r="BL93" i="6"/>
  <c r="R90" i="7" s="1"/>
  <c r="BL85" i="6"/>
  <c r="R82" i="7" s="1"/>
  <c r="BL77" i="6"/>
  <c r="R74" i="7" s="1"/>
  <c r="BL108" i="6"/>
  <c r="R105" i="7" s="1"/>
  <c r="BL100" i="6"/>
  <c r="R97" i="7" s="1"/>
  <c r="BY16" i="5"/>
  <c r="BM15" i="6"/>
  <c r="A68" i="7"/>
  <c r="A70" i="8"/>
  <c r="A80" i="7"/>
  <c r="A82" i="8"/>
  <c r="A92" i="7"/>
  <c r="A94" i="8"/>
  <c r="A104" i="7"/>
  <c r="A106" i="8"/>
  <c r="A77" i="7"/>
  <c r="A79" i="8"/>
  <c r="A89" i="7"/>
  <c r="A91" i="8"/>
  <c r="A87" i="7"/>
  <c r="A89" i="8"/>
  <c r="A82" i="7"/>
  <c r="A84" i="8"/>
  <c r="A98" i="7"/>
  <c r="A100" i="8"/>
  <c r="A83" i="7"/>
  <c r="A85" i="8"/>
  <c r="A84" i="7"/>
  <c r="A86" i="8"/>
  <c r="A96" i="7"/>
  <c r="A98" i="8"/>
  <c r="A101" i="7"/>
  <c r="A103" i="8"/>
  <c r="A91" i="7"/>
  <c r="A93" i="8"/>
  <c r="A93" i="7"/>
  <c r="A95" i="8"/>
  <c r="A103" i="7"/>
  <c r="A105" i="8"/>
  <c r="A70" i="7"/>
  <c r="A72" i="8"/>
  <c r="A86" i="7"/>
  <c r="A88" i="8"/>
  <c r="A102" i="7"/>
  <c r="A104" i="8"/>
  <c r="A99" i="7"/>
  <c r="A101" i="8"/>
  <c r="A72" i="7"/>
  <c r="A74" i="8"/>
  <c r="A100" i="7"/>
  <c r="A102" i="8"/>
  <c r="A105" i="7"/>
  <c r="A107" i="8"/>
  <c r="A69" i="7"/>
  <c r="A71" i="8"/>
  <c r="A81" i="7"/>
  <c r="A83" i="8"/>
  <c r="A74" i="7"/>
  <c r="A76" i="8"/>
  <c r="A90" i="7"/>
  <c r="A92" i="8"/>
  <c r="A106" i="7"/>
  <c r="A108" i="8"/>
  <c r="A79" i="7"/>
  <c r="A81" i="8"/>
  <c r="A76" i="7"/>
  <c r="A78" i="8"/>
  <c r="A88" i="7"/>
  <c r="A90" i="8"/>
  <c r="A75" i="7"/>
  <c r="A77" i="8"/>
  <c r="A73" i="7"/>
  <c r="A75" i="8"/>
  <c r="A85" i="7"/>
  <c r="A87" i="8"/>
  <c r="A97" i="7"/>
  <c r="A99" i="8"/>
  <c r="A78" i="7"/>
  <c r="A80" i="8"/>
  <c r="A94" i="7"/>
  <c r="A96" i="8"/>
  <c r="A71" i="7"/>
  <c r="A73" i="8"/>
  <c r="A95" i="7"/>
  <c r="A97" i="8"/>
  <c r="G104" i="7"/>
  <c r="DI105" i="6"/>
  <c r="I102" i="7"/>
  <c r="G100" i="7"/>
  <c r="G94" i="7"/>
  <c r="DK95" i="6"/>
  <c r="G86" i="7"/>
  <c r="DK88" i="6"/>
  <c r="G82" i="7"/>
  <c r="DI83" i="6"/>
  <c r="I80" i="7"/>
  <c r="DI80" i="6"/>
  <c r="I77" i="7"/>
  <c r="G74" i="7"/>
  <c r="DI75" i="6"/>
  <c r="I72" i="7"/>
  <c r="DK72" i="6"/>
  <c r="DG107" i="6"/>
  <c r="H104" i="7"/>
  <c r="DM102" i="6"/>
  <c r="DG97" i="6"/>
  <c r="H94" i="7"/>
  <c r="DM95" i="6"/>
  <c r="DK92" i="6"/>
  <c r="DG89" i="6"/>
  <c r="H86" i="7"/>
  <c r="DK87" i="6"/>
  <c r="DG85" i="6"/>
  <c r="H82" i="7"/>
  <c r="DM83" i="6"/>
  <c r="DG81" i="6"/>
  <c r="H78" i="7"/>
  <c r="DM80" i="6"/>
  <c r="DK79" i="6"/>
  <c r="DG104" i="6"/>
  <c r="H101" i="7"/>
  <c r="G106" i="7"/>
  <c r="G102" i="7"/>
  <c r="DI98" i="6"/>
  <c r="I95" i="7"/>
  <c r="DI97" i="6"/>
  <c r="I94" i="7"/>
  <c r="G88" i="7"/>
  <c r="DI89" i="6"/>
  <c r="I86" i="7"/>
  <c r="G80" i="7"/>
  <c r="DI81" i="6"/>
  <c r="I78" i="7"/>
  <c r="G72" i="7"/>
  <c r="DM73" i="6"/>
  <c r="DG109" i="6"/>
  <c r="H106" i="7"/>
  <c r="DI107" i="6"/>
  <c r="I104" i="7"/>
  <c r="DG101" i="6"/>
  <c r="H98" i="7"/>
  <c r="DK94" i="6"/>
  <c r="DG91" i="6"/>
  <c r="H88" i="7"/>
  <c r="DG79" i="6"/>
  <c r="H76" i="7"/>
  <c r="DK78" i="6"/>
  <c r="DK77" i="6"/>
  <c r="DG75" i="6"/>
  <c r="H72" i="7"/>
  <c r="DK74" i="6"/>
  <c r="DG71" i="6"/>
  <c r="H68" i="7"/>
  <c r="G105" i="7"/>
  <c r="DM107" i="6"/>
  <c r="DM106" i="6"/>
  <c r="DK103" i="6"/>
  <c r="DI102" i="6"/>
  <c r="I99" i="7"/>
  <c r="G95" i="7"/>
  <c r="DM97" i="6"/>
  <c r="DM96" i="6"/>
  <c r="G91" i="7"/>
  <c r="DI93" i="6"/>
  <c r="I90" i="7"/>
  <c r="DM92" i="6"/>
  <c r="G87" i="7"/>
  <c r="DK89" i="6"/>
  <c r="DI88" i="6"/>
  <c r="I85" i="7"/>
  <c r="G83" i="7"/>
  <c r="DI85" i="6"/>
  <c r="I82" i="7"/>
  <c r="G79" i="7"/>
  <c r="DM81" i="6"/>
  <c r="DK80" i="6"/>
  <c r="G75" i="7"/>
  <c r="DI77" i="6"/>
  <c r="I74" i="7"/>
  <c r="DI76" i="6"/>
  <c r="I73" i="7"/>
  <c r="G71" i="7"/>
  <c r="DK73" i="6"/>
  <c r="DI72" i="6"/>
  <c r="I69" i="7"/>
  <c r="DI108" i="6"/>
  <c r="I105" i="7"/>
  <c r="DG106" i="6"/>
  <c r="H103" i="7"/>
  <c r="DM105" i="6"/>
  <c r="DM104" i="6"/>
  <c r="DG102" i="6"/>
  <c r="H99" i="7"/>
  <c r="DG96" i="6"/>
  <c r="H93" i="7"/>
  <c r="DM94" i="6"/>
  <c r="DG92" i="6"/>
  <c r="H89" i="7"/>
  <c r="DM91" i="6"/>
  <c r="DK90" i="6"/>
  <c r="DG88" i="6"/>
  <c r="H85" i="7"/>
  <c r="DM86" i="6"/>
  <c r="DG84" i="6"/>
  <c r="H81" i="7"/>
  <c r="DK82" i="6"/>
  <c r="DG80" i="6"/>
  <c r="H77" i="7"/>
  <c r="DM78" i="6"/>
  <c r="DG76" i="6"/>
  <c r="H73" i="7"/>
  <c r="DM74" i="6"/>
  <c r="DG72" i="6"/>
  <c r="H69" i="7"/>
  <c r="DG99" i="6"/>
  <c r="H96" i="7"/>
  <c r="G96" i="7"/>
  <c r="DK108" i="6"/>
  <c r="DK104" i="6"/>
  <c r="G98" i="7"/>
  <c r="G92" i="7"/>
  <c r="DK93" i="6"/>
  <c r="DI90" i="6"/>
  <c r="I87" i="7"/>
  <c r="G84" i="7"/>
  <c r="DM85" i="6"/>
  <c r="DI82" i="6"/>
  <c r="I79" i="7"/>
  <c r="G76" i="7"/>
  <c r="DM77" i="6"/>
  <c r="DI74" i="6"/>
  <c r="I71" i="7"/>
  <c r="G68" i="7"/>
  <c r="DI100" i="6"/>
  <c r="I97" i="7"/>
  <c r="DM108" i="6"/>
  <c r="DG105" i="6"/>
  <c r="H102" i="7"/>
  <c r="DM103" i="6"/>
  <c r="DM98" i="6"/>
  <c r="DG95" i="6"/>
  <c r="H92" i="7"/>
  <c r="DM93" i="6"/>
  <c r="DM90" i="6"/>
  <c r="DG87" i="6"/>
  <c r="H84" i="7"/>
  <c r="DK86" i="6"/>
  <c r="DK85" i="6"/>
  <c r="DG83" i="6"/>
  <c r="H80" i="7"/>
  <c r="DM82" i="6"/>
  <c r="G101" i="7"/>
  <c r="DK109" i="6"/>
  <c r="DK106" i="6"/>
  <c r="DK101" i="6"/>
  <c r="DI96" i="6"/>
  <c r="I93" i="7"/>
  <c r="G90" i="7"/>
  <c r="DI91" i="6"/>
  <c r="I88" i="7"/>
  <c r="DM87" i="6"/>
  <c r="DI84" i="6"/>
  <c r="I81" i="7"/>
  <c r="G78" i="7"/>
  <c r="DM79" i="6"/>
  <c r="DK76" i="6"/>
  <c r="G70" i="7"/>
  <c r="DM71" i="6"/>
  <c r="G97" i="7"/>
  <c r="DM109" i="6"/>
  <c r="DI106" i="6"/>
  <c r="I103" i="7"/>
  <c r="DG103" i="6"/>
  <c r="H100" i="7"/>
  <c r="DM101" i="6"/>
  <c r="DK96" i="6"/>
  <c r="DG93" i="6"/>
  <c r="H90" i="7"/>
  <c r="DM88" i="6"/>
  <c r="DM84" i="6"/>
  <c r="DG77" i="6"/>
  <c r="H74" i="7"/>
  <c r="DM75" i="6"/>
  <c r="DG73" i="6"/>
  <c r="H70" i="7"/>
  <c r="DM72" i="6"/>
  <c r="DK71" i="6"/>
  <c r="DK100" i="6"/>
  <c r="DI99" i="6"/>
  <c r="I96" i="7"/>
  <c r="DM100" i="6"/>
  <c r="DI109" i="6"/>
  <c r="I106" i="7"/>
  <c r="G103" i="7"/>
  <c r="DK105" i="6"/>
  <c r="G99" i="7"/>
  <c r="DI101" i="6"/>
  <c r="I98" i="7"/>
  <c r="DK98" i="6"/>
  <c r="G93" i="7"/>
  <c r="DI95" i="6"/>
  <c r="I92" i="7"/>
  <c r="DI94" i="6"/>
  <c r="I91" i="7"/>
  <c r="G89" i="7"/>
  <c r="DK91" i="6"/>
  <c r="G85" i="7"/>
  <c r="DI87" i="6"/>
  <c r="I84" i="7"/>
  <c r="DI86" i="6"/>
  <c r="I83" i="7"/>
  <c r="G81" i="7"/>
  <c r="DK83" i="6"/>
  <c r="G77" i="7"/>
  <c r="F79" i="8" s="1"/>
  <c r="DI79" i="6"/>
  <c r="I76" i="7"/>
  <c r="DI78" i="6"/>
  <c r="I75" i="7"/>
  <c r="G73" i="7"/>
  <c r="DK75" i="6"/>
  <c r="G69" i="7"/>
  <c r="DI71" i="6"/>
  <c r="I68" i="7"/>
  <c r="DG108" i="6"/>
  <c r="H105" i="7"/>
  <c r="DK107" i="6"/>
  <c r="DI104" i="6"/>
  <c r="I101" i="7"/>
  <c r="DI103" i="6"/>
  <c r="I100" i="7"/>
  <c r="DK102" i="6"/>
  <c r="DG98" i="6"/>
  <c r="H95" i="7"/>
  <c r="DK97" i="6"/>
  <c r="DG94" i="6"/>
  <c r="H91" i="7"/>
  <c r="DI92" i="6"/>
  <c r="I89" i="7"/>
  <c r="DG90" i="6"/>
  <c r="H87" i="7"/>
  <c r="DM89" i="6"/>
  <c r="DG86" i="6"/>
  <c r="H83" i="7"/>
  <c r="DK84" i="6"/>
  <c r="DG82" i="6"/>
  <c r="H79" i="7"/>
  <c r="DK81" i="6"/>
  <c r="DG78" i="6"/>
  <c r="H75" i="7"/>
  <c r="DM76" i="6"/>
  <c r="DG74" i="6"/>
  <c r="H71" i="7"/>
  <c r="DI73" i="6"/>
  <c r="I70" i="7"/>
  <c r="DG100" i="6"/>
  <c r="H97" i="7"/>
  <c r="DK99" i="6"/>
  <c r="DM99" i="6"/>
  <c r="E106" i="8"/>
  <c r="E102" i="8"/>
  <c r="E92" i="8"/>
  <c r="E76" i="8"/>
  <c r="E108" i="8"/>
  <c r="E90" i="8"/>
  <c r="E82" i="8"/>
  <c r="E74" i="8"/>
  <c r="E93" i="8"/>
  <c r="E85" i="8"/>
  <c r="E77" i="8"/>
  <c r="E98" i="8"/>
  <c r="E104" i="8"/>
  <c r="E94" i="8"/>
  <c r="E86" i="8"/>
  <c r="E78" i="8"/>
  <c r="E70" i="8"/>
  <c r="E96" i="8"/>
  <c r="E72" i="8"/>
  <c r="DE103" i="6"/>
  <c r="DE93" i="6"/>
  <c r="DE85" i="6"/>
  <c r="DE77" i="6"/>
  <c r="DE109" i="6"/>
  <c r="DE105" i="6"/>
  <c r="DE95" i="6"/>
  <c r="DE87" i="6"/>
  <c r="DE108" i="6"/>
  <c r="DE104" i="6"/>
  <c r="DE98" i="6"/>
  <c r="DE94" i="6"/>
  <c r="DE90" i="6"/>
  <c r="DE86" i="6"/>
  <c r="DE82" i="6"/>
  <c r="DE78" i="6"/>
  <c r="DE74" i="6"/>
  <c r="DE99" i="6"/>
  <c r="DE101" i="6"/>
  <c r="DE91" i="6"/>
  <c r="DE83" i="6"/>
  <c r="DE79" i="6"/>
  <c r="DE75" i="6"/>
  <c r="DE107" i="6"/>
  <c r="DE97" i="6"/>
  <c r="DE89" i="6"/>
  <c r="DE81" i="6"/>
  <c r="DE73" i="6"/>
  <c r="DE100" i="6"/>
  <c r="DE106" i="6"/>
  <c r="DE102" i="6"/>
  <c r="DE96" i="6"/>
  <c r="DE92" i="6"/>
  <c r="DE88" i="6"/>
  <c r="DE84" i="6"/>
  <c r="DE80" i="6"/>
  <c r="DE76" i="6"/>
  <c r="DE71" i="6"/>
  <c r="DE72" i="6"/>
  <c r="CV101" i="6"/>
  <c r="CU101" i="6"/>
  <c r="CV91" i="6"/>
  <c r="CU91" i="6"/>
  <c r="CV83" i="6"/>
  <c r="CU83" i="6"/>
  <c r="CV75" i="6"/>
  <c r="CU75" i="6"/>
  <c r="CV59" i="6"/>
  <c r="CU59" i="6"/>
  <c r="CV51" i="6"/>
  <c r="CU51" i="6"/>
  <c r="CV43" i="6"/>
  <c r="CU43" i="6"/>
  <c r="CV35" i="6"/>
  <c r="CU35" i="6"/>
  <c r="CV27" i="6"/>
  <c r="CU27" i="6"/>
  <c r="CV19" i="6"/>
  <c r="CU19" i="6"/>
  <c r="CV108" i="6"/>
  <c r="CU108" i="6"/>
  <c r="CV98" i="6"/>
  <c r="CU98" i="6"/>
  <c r="CV90" i="6"/>
  <c r="CU90" i="6"/>
  <c r="CV82" i="6"/>
  <c r="CU82" i="6"/>
  <c r="CV74" i="6"/>
  <c r="CU74" i="6"/>
  <c r="CV66" i="6"/>
  <c r="CU66" i="6"/>
  <c r="CV58" i="6"/>
  <c r="CU58" i="6"/>
  <c r="CV50" i="6"/>
  <c r="CU50" i="6"/>
  <c r="CV42" i="6"/>
  <c r="CU42" i="6"/>
  <c r="CV34" i="6"/>
  <c r="CU34" i="6"/>
  <c r="CV26" i="6"/>
  <c r="CU26" i="6"/>
  <c r="CV18" i="6"/>
  <c r="CU18" i="6"/>
  <c r="CV99" i="6"/>
  <c r="CU99" i="6"/>
  <c r="CV109" i="6"/>
  <c r="CU109" i="6"/>
  <c r="CV105" i="6"/>
  <c r="CU105" i="6"/>
  <c r="CV95" i="6"/>
  <c r="CU95" i="6"/>
  <c r="CV87" i="6"/>
  <c r="CU87" i="6"/>
  <c r="CV79" i="6"/>
  <c r="CU79" i="6"/>
  <c r="CV71" i="6"/>
  <c r="CU71" i="6"/>
  <c r="CV67" i="6"/>
  <c r="CU67" i="6"/>
  <c r="CV63" i="6"/>
  <c r="CU63" i="6"/>
  <c r="CV55" i="6"/>
  <c r="CU55" i="6"/>
  <c r="CV47" i="6"/>
  <c r="CU47" i="6"/>
  <c r="CV39" i="6"/>
  <c r="CU39" i="6"/>
  <c r="CV31" i="6"/>
  <c r="CU31" i="6"/>
  <c r="CV23" i="6"/>
  <c r="CU23" i="6"/>
  <c r="CV13" i="6"/>
  <c r="CU13" i="6"/>
  <c r="CV104" i="6"/>
  <c r="CU104" i="6"/>
  <c r="CV94" i="6"/>
  <c r="CU94" i="6"/>
  <c r="CV86" i="6"/>
  <c r="CU86" i="6"/>
  <c r="CV78" i="6"/>
  <c r="CU78" i="6"/>
  <c r="CV70" i="6"/>
  <c r="CU70" i="6"/>
  <c r="CV62" i="6"/>
  <c r="CU62" i="6"/>
  <c r="CV54" i="6"/>
  <c r="CU54" i="6"/>
  <c r="CV46" i="6"/>
  <c r="CU46" i="6"/>
  <c r="CV38" i="6"/>
  <c r="CU38" i="6"/>
  <c r="CV30" i="6"/>
  <c r="CU30" i="6"/>
  <c r="CV22" i="6"/>
  <c r="CU22" i="6"/>
  <c r="CV14" i="6"/>
  <c r="CU14" i="6"/>
  <c r="CV15" i="6"/>
  <c r="CU15" i="6"/>
  <c r="CV107" i="6"/>
  <c r="CU107" i="6"/>
  <c r="CV103" i="6"/>
  <c r="CU103" i="6"/>
  <c r="CV97" i="6"/>
  <c r="CU97" i="6"/>
  <c r="CV93" i="6"/>
  <c r="CU93" i="6"/>
  <c r="CV89" i="6"/>
  <c r="CU89" i="6"/>
  <c r="CV85" i="6"/>
  <c r="CU85" i="6"/>
  <c r="CV81" i="6"/>
  <c r="CU81" i="6"/>
  <c r="CV77" i="6"/>
  <c r="CU77" i="6"/>
  <c r="CV73" i="6"/>
  <c r="CU73" i="6"/>
  <c r="CV69" i="6"/>
  <c r="CU69" i="6"/>
  <c r="CV65" i="6"/>
  <c r="CU65" i="6"/>
  <c r="CV61" i="6"/>
  <c r="CU61" i="6"/>
  <c r="CV57" i="6"/>
  <c r="CU57" i="6"/>
  <c r="CV53" i="6"/>
  <c r="CU53" i="6"/>
  <c r="CV49" i="6"/>
  <c r="CU49" i="6"/>
  <c r="CV45" i="6"/>
  <c r="CU45" i="6"/>
  <c r="CV41" i="6"/>
  <c r="CU41" i="6"/>
  <c r="CV37" i="6"/>
  <c r="CU37" i="6"/>
  <c r="CV33" i="6"/>
  <c r="CU33" i="6"/>
  <c r="CV29" i="6"/>
  <c r="CU29" i="6"/>
  <c r="CV25" i="6"/>
  <c r="CU25" i="6"/>
  <c r="CV21" i="6"/>
  <c r="CU21" i="6"/>
  <c r="CV100" i="6"/>
  <c r="CU100" i="6"/>
  <c r="CV106" i="6"/>
  <c r="CU106" i="6"/>
  <c r="CV102" i="6"/>
  <c r="CU102" i="6"/>
  <c r="CV96" i="6"/>
  <c r="CU96" i="6"/>
  <c r="CV92" i="6"/>
  <c r="CU92" i="6"/>
  <c r="CV88" i="6"/>
  <c r="CU88" i="6"/>
  <c r="CV84" i="6"/>
  <c r="CU84" i="6"/>
  <c r="CV80" i="6"/>
  <c r="CU80" i="6"/>
  <c r="CV76" i="6"/>
  <c r="CU76" i="6"/>
  <c r="CV72" i="6"/>
  <c r="CU72" i="6"/>
  <c r="CV68" i="6"/>
  <c r="CU68" i="6"/>
  <c r="CV64" i="6"/>
  <c r="CU64" i="6"/>
  <c r="CV60" i="6"/>
  <c r="CU60" i="6"/>
  <c r="CV56" i="6"/>
  <c r="CU56" i="6"/>
  <c r="CU52" i="6"/>
  <c r="CV52" i="6"/>
  <c r="CU48" i="6"/>
  <c r="CV48" i="6"/>
  <c r="CU44" i="6"/>
  <c r="CV44" i="6"/>
  <c r="CU40" i="6"/>
  <c r="CV40" i="6"/>
  <c r="CU36" i="6"/>
  <c r="CV36" i="6"/>
  <c r="CU32" i="6"/>
  <c r="CV32" i="6"/>
  <c r="CU28" i="6"/>
  <c r="CV28" i="6"/>
  <c r="CU24" i="6"/>
  <c r="CV24" i="6"/>
  <c r="CU20" i="6"/>
  <c r="CV20" i="6"/>
  <c r="CU16" i="6"/>
  <c r="CV16" i="6"/>
  <c r="CV17" i="6"/>
  <c r="CU17" i="6"/>
  <c r="CU12" i="6"/>
  <c r="CV12" i="6"/>
  <c r="CV11" i="6"/>
  <c r="CU11" i="6"/>
  <c r="CV10" i="6"/>
  <c r="CU10" i="6"/>
  <c r="CV9" i="6"/>
  <c r="CU9" i="6"/>
  <c r="CT109" i="6"/>
  <c r="CS109" i="6"/>
  <c r="CT105" i="6"/>
  <c r="CS105" i="6"/>
  <c r="CT101" i="6"/>
  <c r="CS101" i="6"/>
  <c r="CT95" i="6"/>
  <c r="CS95" i="6"/>
  <c r="CT91" i="6"/>
  <c r="CS91" i="6"/>
  <c r="CT87" i="6"/>
  <c r="CS87" i="6"/>
  <c r="CT83" i="6"/>
  <c r="CS83" i="6"/>
  <c r="CT79" i="6"/>
  <c r="CS79" i="6"/>
  <c r="CT75" i="6"/>
  <c r="CS75" i="6"/>
  <c r="CT71" i="6"/>
  <c r="CS71" i="6"/>
  <c r="CT67" i="6"/>
  <c r="CS67" i="6"/>
  <c r="CT63" i="6"/>
  <c r="CS63" i="6"/>
  <c r="CT59" i="6"/>
  <c r="CS59" i="6"/>
  <c r="CT55" i="6"/>
  <c r="CS55" i="6"/>
  <c r="CT51" i="6"/>
  <c r="CS51" i="6"/>
  <c r="CT47" i="6"/>
  <c r="CS47" i="6"/>
  <c r="CT43" i="6"/>
  <c r="CS43" i="6"/>
  <c r="CT39" i="6"/>
  <c r="CS39" i="6"/>
  <c r="CT35" i="6"/>
  <c r="CS35" i="6"/>
  <c r="CT31" i="6"/>
  <c r="CS31" i="6"/>
  <c r="CT27" i="6"/>
  <c r="CS27" i="6"/>
  <c r="CT23" i="6"/>
  <c r="CS23" i="6"/>
  <c r="CT19" i="6"/>
  <c r="CS19" i="6"/>
  <c r="CS13" i="6"/>
  <c r="CT13" i="6"/>
  <c r="CT108" i="6"/>
  <c r="CS108" i="6"/>
  <c r="CT104" i="6"/>
  <c r="CS104" i="6"/>
  <c r="CT98" i="6"/>
  <c r="CS98" i="6"/>
  <c r="CT94" i="6"/>
  <c r="CS94" i="6"/>
  <c r="CT90" i="6"/>
  <c r="CS90" i="6"/>
  <c r="CT86" i="6"/>
  <c r="CS86" i="6"/>
  <c r="CT82" i="6"/>
  <c r="CS82" i="6"/>
  <c r="CT78" i="6"/>
  <c r="CS78" i="6"/>
  <c r="CT74" i="6"/>
  <c r="CS74" i="6"/>
  <c r="CT70" i="6"/>
  <c r="CS70" i="6"/>
  <c r="CT66" i="6"/>
  <c r="CS66" i="6"/>
  <c r="CT62" i="6"/>
  <c r="CS62" i="6"/>
  <c r="CT58" i="6"/>
  <c r="CS58" i="6"/>
  <c r="CT54" i="6"/>
  <c r="CS54" i="6"/>
  <c r="CT50" i="6"/>
  <c r="CS50" i="6"/>
  <c r="CT46" i="6"/>
  <c r="CS46" i="6"/>
  <c r="CT42" i="6"/>
  <c r="CS42" i="6"/>
  <c r="CT38" i="6"/>
  <c r="CS38" i="6"/>
  <c r="CT34" i="6"/>
  <c r="CS34" i="6"/>
  <c r="CT30" i="6"/>
  <c r="CS30" i="6"/>
  <c r="CT26" i="6"/>
  <c r="CS26" i="6"/>
  <c r="CT22" i="6"/>
  <c r="CS22" i="6"/>
  <c r="CT18" i="6"/>
  <c r="CS18" i="6"/>
  <c r="CT14" i="6"/>
  <c r="CS14" i="6"/>
  <c r="CT12" i="6"/>
  <c r="CS12" i="6"/>
  <c r="CT15" i="6"/>
  <c r="CS15" i="6"/>
  <c r="CT99" i="6"/>
  <c r="CS99" i="6"/>
  <c r="CT107" i="6"/>
  <c r="CS107" i="6"/>
  <c r="CT103" i="6"/>
  <c r="CS103" i="6"/>
  <c r="CT97" i="6"/>
  <c r="CS97" i="6"/>
  <c r="CT93" i="6"/>
  <c r="CS93" i="6"/>
  <c r="CT89" i="6"/>
  <c r="CS89" i="6"/>
  <c r="CT85" i="6"/>
  <c r="CS85" i="6"/>
  <c r="CT81" i="6"/>
  <c r="CS81" i="6"/>
  <c r="CT77" i="6"/>
  <c r="CS77" i="6"/>
  <c r="CT73" i="6"/>
  <c r="CS73" i="6"/>
  <c r="CT69" i="6"/>
  <c r="CS69" i="6"/>
  <c r="CT65" i="6"/>
  <c r="CS65" i="6"/>
  <c r="CT61" i="6"/>
  <c r="CS61" i="6"/>
  <c r="CT57" i="6"/>
  <c r="CS57" i="6"/>
  <c r="CS53" i="6"/>
  <c r="CT53" i="6"/>
  <c r="CS49" i="6"/>
  <c r="CT49" i="6"/>
  <c r="CS45" i="6"/>
  <c r="CT45" i="6"/>
  <c r="CS41" i="6"/>
  <c r="CT41" i="6"/>
  <c r="CS37" i="6"/>
  <c r="CT37" i="6"/>
  <c r="CS33" i="6"/>
  <c r="CT33" i="6"/>
  <c r="CS29" i="6"/>
  <c r="CT29" i="6"/>
  <c r="CS25" i="6"/>
  <c r="CT25" i="6"/>
  <c r="CS21" i="6"/>
  <c r="CT21" i="6"/>
  <c r="CT100" i="6"/>
  <c r="CS100" i="6"/>
  <c r="CT9" i="6"/>
  <c r="CS9" i="6"/>
  <c r="CT106" i="6"/>
  <c r="CS106" i="6"/>
  <c r="CT102" i="6"/>
  <c r="CS102" i="6"/>
  <c r="CT96" i="6"/>
  <c r="CS96" i="6"/>
  <c r="CT92" i="6"/>
  <c r="CS92" i="6"/>
  <c r="CT88" i="6"/>
  <c r="CS88" i="6"/>
  <c r="CT84" i="6"/>
  <c r="CS84" i="6"/>
  <c r="CT80" i="6"/>
  <c r="CS80" i="6"/>
  <c r="CT76" i="6"/>
  <c r="CS76" i="6"/>
  <c r="CT72" i="6"/>
  <c r="CS72" i="6"/>
  <c r="CT68" i="6"/>
  <c r="CS68" i="6"/>
  <c r="CT64" i="6"/>
  <c r="CS64" i="6"/>
  <c r="CT60" i="6"/>
  <c r="CS60" i="6"/>
  <c r="CT56" i="6"/>
  <c r="CS56" i="6"/>
  <c r="CT52" i="6"/>
  <c r="CS52" i="6"/>
  <c r="CT48" i="6"/>
  <c r="CS48" i="6"/>
  <c r="CT44" i="6"/>
  <c r="CS44" i="6"/>
  <c r="CT40" i="6"/>
  <c r="CS40" i="6"/>
  <c r="CT36" i="6"/>
  <c r="CS36" i="6"/>
  <c r="CT32" i="6"/>
  <c r="CS32" i="6"/>
  <c r="CT28" i="6"/>
  <c r="CS28" i="6"/>
  <c r="CT24" i="6"/>
  <c r="CS24" i="6"/>
  <c r="CT20" i="6"/>
  <c r="CS20" i="6"/>
  <c r="CT16" i="6"/>
  <c r="CS16" i="6"/>
  <c r="CT10" i="6"/>
  <c r="CS10" i="6"/>
  <c r="CS17" i="6"/>
  <c r="CT17" i="6"/>
  <c r="CT11" i="6"/>
  <c r="CS11" i="6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K2033" i="3"/>
  <c r="K2034" i="3"/>
  <c r="K2035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2" i="3"/>
  <c r="K2063" i="3"/>
  <c r="K2064" i="3"/>
  <c r="K2065" i="3"/>
  <c r="K2066" i="3"/>
  <c r="K2067" i="3"/>
  <c r="K2068" i="3"/>
  <c r="K2069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0" i="3"/>
  <c r="K2101" i="3"/>
  <c r="K2102" i="3"/>
  <c r="K2103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4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5" i="3"/>
  <c r="K6" i="3"/>
  <c r="I5" i="3"/>
  <c r="A5" i="3"/>
  <c r="D5" i="3"/>
  <c r="C5" i="3"/>
  <c r="B5" i="3"/>
  <c r="A2" i="3"/>
  <c r="A1" i="3"/>
  <c r="F95" i="8" l="1"/>
  <c r="F101" i="8"/>
  <c r="L14" i="10"/>
  <c r="L18" i="10" s="1"/>
  <c r="L20" i="10" s="1"/>
  <c r="H18" i="10"/>
  <c r="H20" i="10" s="1"/>
  <c r="F71" i="8"/>
  <c r="Y71" i="8" s="1"/>
  <c r="F87" i="8"/>
  <c r="D20" i="10"/>
  <c r="BJ13" i="6"/>
  <c r="BK13" i="6" s="1"/>
  <c r="F75" i="8"/>
  <c r="Y75" i="8" s="1"/>
  <c r="F80" i="8"/>
  <c r="F83" i="8"/>
  <c r="Y83" i="8" s="1"/>
  <c r="F74" i="8"/>
  <c r="F72" i="8"/>
  <c r="Y72" i="8" s="1"/>
  <c r="F100" i="8"/>
  <c r="F98" i="8"/>
  <c r="Y98" i="8" s="1"/>
  <c r="F73" i="8"/>
  <c r="F81" i="8"/>
  <c r="Y81" i="8" s="1"/>
  <c r="F85" i="8"/>
  <c r="F89" i="8"/>
  <c r="Y89" i="8" s="1"/>
  <c r="F93" i="8"/>
  <c r="F84" i="8"/>
  <c r="Y84" i="8" s="1"/>
  <c r="F92" i="8"/>
  <c r="F77" i="8"/>
  <c r="Y77" i="8" s="1"/>
  <c r="F107" i="8"/>
  <c r="F96" i="8"/>
  <c r="Y96" i="8" s="1"/>
  <c r="C18" i="10"/>
  <c r="C20" i="10" s="1"/>
  <c r="F105" i="8"/>
  <c r="Y105" i="8" s="1"/>
  <c r="F99" i="8"/>
  <c r="Y99" i="8" s="1"/>
  <c r="F104" i="8"/>
  <c r="Y104" i="8" s="1"/>
  <c r="F88" i="8"/>
  <c r="F106" i="8"/>
  <c r="Y106" i="8" s="1"/>
  <c r="F91" i="8"/>
  <c r="F103" i="8"/>
  <c r="Y103" i="8" s="1"/>
  <c r="F70" i="8"/>
  <c r="F78" i="8"/>
  <c r="F86" i="8"/>
  <c r="Y86" i="8" s="1"/>
  <c r="F94" i="8"/>
  <c r="Y94" i="8" s="1"/>
  <c r="F97" i="8"/>
  <c r="F82" i="8"/>
  <c r="Y82" i="8" s="1"/>
  <c r="F90" i="8"/>
  <c r="Y90" i="8" s="1"/>
  <c r="F108" i="8"/>
  <c r="Y108" i="8" s="1"/>
  <c r="F76" i="8"/>
  <c r="F102" i="8"/>
  <c r="Y102" i="8" s="1"/>
  <c r="BJ11" i="6"/>
  <c r="BK11" i="6" s="1"/>
  <c r="BJ10" i="6"/>
  <c r="BK10" i="6" s="1"/>
  <c r="BJ20" i="6"/>
  <c r="BK20" i="6" s="1"/>
  <c r="P17" i="7" s="1"/>
  <c r="BJ28" i="6"/>
  <c r="BK28" i="6" s="1"/>
  <c r="BJ36" i="6"/>
  <c r="BK36" i="6" s="1"/>
  <c r="P33" i="7" s="1"/>
  <c r="BJ44" i="6"/>
  <c r="BK44" i="6" s="1"/>
  <c r="BJ52" i="6"/>
  <c r="BK52" i="6" s="1"/>
  <c r="BJ60" i="6"/>
  <c r="BK60" i="6" s="1"/>
  <c r="BJ68" i="6"/>
  <c r="BK68" i="6" s="1"/>
  <c r="BJ9" i="6"/>
  <c r="B26" i="10" s="1"/>
  <c r="BJ61" i="6"/>
  <c r="BK61" i="6" s="1"/>
  <c r="BJ12" i="6"/>
  <c r="BK12" i="6" s="1"/>
  <c r="BJ18" i="6"/>
  <c r="BK18" i="6" s="1"/>
  <c r="BJ26" i="6"/>
  <c r="BK26" i="6" s="1"/>
  <c r="BJ34" i="6"/>
  <c r="BK34" i="6" s="1"/>
  <c r="BJ42" i="6"/>
  <c r="BK42" i="6" s="1"/>
  <c r="BJ50" i="6"/>
  <c r="BK50" i="6" s="1"/>
  <c r="P47" i="7" s="1"/>
  <c r="BJ58" i="6"/>
  <c r="BK58" i="6" s="1"/>
  <c r="BJ66" i="6"/>
  <c r="BK66" i="6" s="1"/>
  <c r="BJ19" i="6"/>
  <c r="BK19" i="6" s="1"/>
  <c r="BJ27" i="6"/>
  <c r="BK27" i="6" s="1"/>
  <c r="BJ16" i="6"/>
  <c r="BK16" i="6" s="1"/>
  <c r="P13" i="7" s="1"/>
  <c r="BJ24" i="6"/>
  <c r="BK24" i="6" s="1"/>
  <c r="BJ32" i="6"/>
  <c r="BK32" i="6" s="1"/>
  <c r="P29" i="7" s="1"/>
  <c r="BJ40" i="6"/>
  <c r="BK40" i="6" s="1"/>
  <c r="P37" i="7" s="1"/>
  <c r="BJ48" i="6"/>
  <c r="BK48" i="6" s="1"/>
  <c r="BJ56" i="6"/>
  <c r="BK56" i="6" s="1"/>
  <c r="BJ64" i="6"/>
  <c r="BK64" i="6" s="1"/>
  <c r="BJ57" i="6"/>
  <c r="BK57" i="6" s="1"/>
  <c r="BJ65" i="6"/>
  <c r="BK65" i="6" s="1"/>
  <c r="BJ21" i="6"/>
  <c r="BK21" i="6" s="1"/>
  <c r="BJ29" i="6"/>
  <c r="BK29" i="6" s="1"/>
  <c r="BJ37" i="6"/>
  <c r="BK37" i="6" s="1"/>
  <c r="BJ45" i="6"/>
  <c r="BK45" i="6" s="1"/>
  <c r="BJ53" i="6"/>
  <c r="BK53" i="6" s="1"/>
  <c r="BJ15" i="6"/>
  <c r="BK15" i="6" s="1"/>
  <c r="BJ14" i="6"/>
  <c r="BK14" i="6" s="1"/>
  <c r="BJ22" i="6"/>
  <c r="BK22" i="6" s="1"/>
  <c r="P19" i="7" s="1"/>
  <c r="BJ30" i="6"/>
  <c r="BK30" i="6" s="1"/>
  <c r="BJ38" i="6"/>
  <c r="BK38" i="6" s="1"/>
  <c r="P35" i="7" s="1"/>
  <c r="BJ46" i="6"/>
  <c r="BK46" i="6" s="1"/>
  <c r="BJ54" i="6"/>
  <c r="BK54" i="6" s="1"/>
  <c r="BJ62" i="6"/>
  <c r="BK62" i="6" s="1"/>
  <c r="BJ23" i="6"/>
  <c r="BK23" i="6" s="1"/>
  <c r="P20" i="7" s="1"/>
  <c r="BJ31" i="6"/>
  <c r="BK31" i="6" s="1"/>
  <c r="BJ39" i="6"/>
  <c r="BK39" i="6" s="1"/>
  <c r="BJ47" i="6"/>
  <c r="BK47" i="6" s="1"/>
  <c r="BJ55" i="6"/>
  <c r="BK55" i="6" s="1"/>
  <c r="BJ63" i="6"/>
  <c r="BK63" i="6" s="1"/>
  <c r="BJ17" i="6"/>
  <c r="BK17" i="6" s="1"/>
  <c r="BJ25" i="6"/>
  <c r="BK25" i="6" s="1"/>
  <c r="BJ33" i="6"/>
  <c r="BK33" i="6" s="1"/>
  <c r="BJ41" i="6"/>
  <c r="BK41" i="6" s="1"/>
  <c r="BJ49" i="6"/>
  <c r="BK49" i="6" s="1"/>
  <c r="BJ35" i="6"/>
  <c r="BK35" i="6" s="1"/>
  <c r="BJ43" i="6"/>
  <c r="BK43" i="6" s="1"/>
  <c r="BJ51" i="6"/>
  <c r="BK51" i="6" s="1"/>
  <c r="BJ59" i="6"/>
  <c r="BK59" i="6" s="1"/>
  <c r="BJ67" i="6"/>
  <c r="BK67" i="6" s="1"/>
  <c r="E71" i="8"/>
  <c r="E79" i="8"/>
  <c r="E87" i="8"/>
  <c r="E95" i="8"/>
  <c r="E99" i="8"/>
  <c r="E75" i="8"/>
  <c r="E83" i="8"/>
  <c r="E91" i="8"/>
  <c r="E84" i="8"/>
  <c r="E107" i="8"/>
  <c r="E101" i="8"/>
  <c r="E105" i="8"/>
  <c r="E80" i="8"/>
  <c r="E88" i="8"/>
  <c r="E73" i="8"/>
  <c r="E81" i="8"/>
  <c r="E89" i="8"/>
  <c r="E97" i="8"/>
  <c r="BY17" i="5"/>
  <c r="BM16" i="6"/>
  <c r="P21" i="7"/>
  <c r="DF32" i="6"/>
  <c r="P45" i="7"/>
  <c r="DJ64" i="6"/>
  <c r="J61" i="7" s="1"/>
  <c r="DD44" i="6"/>
  <c r="DL60" i="6"/>
  <c r="K57" i="7" s="1"/>
  <c r="DJ69" i="6"/>
  <c r="J66" i="7" s="1"/>
  <c r="P23" i="7"/>
  <c r="DL42" i="6"/>
  <c r="K39" i="7" s="1"/>
  <c r="E103" i="8"/>
  <c r="E100" i="8"/>
  <c r="Y91" i="8"/>
  <c r="Y101" i="8"/>
  <c r="Y80" i="8"/>
  <c r="Y92" i="8"/>
  <c r="Y70" i="8"/>
  <c r="Y100" i="8"/>
  <c r="Y73" i="8"/>
  <c r="Y97" i="8"/>
  <c r="Y74" i="8"/>
  <c r="Y88" i="8"/>
  <c r="Y79" i="8"/>
  <c r="Y87" i="8"/>
  <c r="Y95" i="8"/>
  <c r="Y78" i="8"/>
  <c r="Y85" i="8"/>
  <c r="Y93" i="8"/>
  <c r="Y107" i="8"/>
  <c r="Y76" i="8"/>
  <c r="DH28" i="6"/>
  <c r="I25" i="7" s="1"/>
  <c r="DH61" i="6"/>
  <c r="I58" i="7" s="1"/>
  <c r="DH30" i="6"/>
  <c r="I27" i="7" s="1"/>
  <c r="DJ32" i="6"/>
  <c r="J29" i="7" s="1"/>
  <c r="DD32" i="6"/>
  <c r="DL32" i="6"/>
  <c r="K29" i="7" s="1"/>
  <c r="DD20" i="6"/>
  <c r="DL20" i="6"/>
  <c r="K17" i="7" s="1"/>
  <c r="DD23" i="6"/>
  <c r="DF16" i="6"/>
  <c r="E20" i="10" l="1"/>
  <c r="CK19" i="6"/>
  <c r="CK20" i="6"/>
  <c r="BL20" i="6" s="1"/>
  <c r="R17" i="7" s="1"/>
  <c r="DD52" i="6"/>
  <c r="DH16" i="6"/>
  <c r="I13" i="7" s="1"/>
  <c r="DJ15" i="6"/>
  <c r="J12" i="7" s="1"/>
  <c r="CK56" i="6"/>
  <c r="DD27" i="6"/>
  <c r="CK57" i="6"/>
  <c r="CK18" i="6"/>
  <c r="CK31" i="6"/>
  <c r="DF30" i="6"/>
  <c r="DD46" i="6"/>
  <c r="DL55" i="6"/>
  <c r="K52" i="7" s="1"/>
  <c r="DJ43" i="6"/>
  <c r="J40" i="7" s="1"/>
  <c r="DL51" i="6"/>
  <c r="K48" i="7" s="1"/>
  <c r="DL35" i="6"/>
  <c r="K32" i="7" s="1"/>
  <c r="DF54" i="6"/>
  <c r="DD22" i="6"/>
  <c r="DH39" i="6"/>
  <c r="I36" i="7" s="1"/>
  <c r="DL16" i="6"/>
  <c r="K13" i="7" s="1"/>
  <c r="DH20" i="6"/>
  <c r="I17" i="7" s="1"/>
  <c r="DJ20" i="6"/>
  <c r="J17" i="7" s="1"/>
  <c r="DL30" i="6"/>
  <c r="K27" i="7" s="1"/>
  <c r="DF20" i="6"/>
  <c r="DX20" i="6" s="1"/>
  <c r="P41" i="7"/>
  <c r="I6" i="9" s="1"/>
  <c r="DL61" i="6"/>
  <c r="K58" i="7" s="1"/>
  <c r="BY18" i="5"/>
  <c r="BM17" i="6"/>
  <c r="I5" i="9"/>
  <c r="M7" i="9"/>
  <c r="M6" i="9"/>
  <c r="M5" i="9"/>
  <c r="DH52" i="6"/>
  <c r="I49" i="7" s="1"/>
  <c r="DD48" i="6"/>
  <c r="P40" i="7"/>
  <c r="DD36" i="6"/>
  <c r="DD34" i="6"/>
  <c r="CK32" i="6"/>
  <c r="P27" i="7"/>
  <c r="DH27" i="6"/>
  <c r="I24" i="7" s="1"/>
  <c r="DL27" i="6"/>
  <c r="K24" i="7" s="1"/>
  <c r="DL24" i="6"/>
  <c r="K21" i="7" s="1"/>
  <c r="CK24" i="6"/>
  <c r="DH24" i="6"/>
  <c r="I21" i="7" s="1"/>
  <c r="DD24" i="6"/>
  <c r="DH22" i="6"/>
  <c r="I19" i="7" s="1"/>
  <c r="DD19" i="6"/>
  <c r="P16" i="7"/>
  <c r="DJ18" i="6"/>
  <c r="J15" i="7" s="1"/>
  <c r="DD61" i="6"/>
  <c r="CK52" i="6"/>
  <c r="DL52" i="6"/>
  <c r="K49" i="7" s="1"/>
  <c r="DH44" i="6"/>
  <c r="I41" i="7" s="1"/>
  <c r="DD42" i="6"/>
  <c r="CK34" i="6"/>
  <c r="DL34" i="6"/>
  <c r="K31" i="7" s="1"/>
  <c r="DF31" i="6"/>
  <c r="CK26" i="6"/>
  <c r="DF24" i="6"/>
  <c r="DH19" i="6"/>
  <c r="I16" i="7" s="1"/>
  <c r="DF19" i="6"/>
  <c r="DH56" i="6"/>
  <c r="I53" i="7" s="1"/>
  <c r="DJ44" i="6"/>
  <c r="J41" i="7" s="1"/>
  <c r="DD38" i="6"/>
  <c r="DF34" i="6"/>
  <c r="DG34" i="6" s="1"/>
  <c r="DL26" i="6"/>
  <c r="K23" i="7" s="1"/>
  <c r="DJ19" i="6"/>
  <c r="J16" i="7" s="1"/>
  <c r="DJ26" i="6"/>
  <c r="J23" i="7" s="1"/>
  <c r="CK35" i="6"/>
  <c r="DL40" i="6"/>
  <c r="CK28" i="6"/>
  <c r="P15" i="7"/>
  <c r="CK23" i="6"/>
  <c r="DH32" i="6"/>
  <c r="I29" i="7" s="1"/>
  <c r="CK27" i="6"/>
  <c r="DL31" i="6"/>
  <c r="K28" i="7" s="1"/>
  <c r="DJ40" i="6"/>
  <c r="DJ42" i="6"/>
  <c r="J39" i="7" s="1"/>
  <c r="P49" i="7"/>
  <c r="DJ52" i="6"/>
  <c r="J49" i="7" s="1"/>
  <c r="DH18" i="6"/>
  <c r="I15" i="7" s="1"/>
  <c r="DF23" i="6"/>
  <c r="DJ22" i="6"/>
  <c r="J19" i="7" s="1"/>
  <c r="DH23" i="6"/>
  <c r="I20" i="7" s="1"/>
  <c r="DF22" i="6"/>
  <c r="CK22" i="6"/>
  <c r="DJ28" i="6"/>
  <c r="J25" i="7" s="1"/>
  <c r="DF39" i="6"/>
  <c r="H36" i="7" s="1"/>
  <c r="CK39" i="6"/>
  <c r="DD51" i="6"/>
  <c r="DD57" i="6"/>
  <c r="DJ23" i="6"/>
  <c r="J20" i="7" s="1"/>
  <c r="DL23" i="6"/>
  <c r="K20" i="7" s="1"/>
  <c r="DD26" i="6"/>
  <c r="DD40" i="6"/>
  <c r="DH42" i="6"/>
  <c r="I39" i="7" s="1"/>
  <c r="P39" i="7"/>
  <c r="DD56" i="6"/>
  <c r="DH34" i="6"/>
  <c r="I31" i="7" s="1"/>
  <c r="DL48" i="6"/>
  <c r="K45" i="7" s="1"/>
  <c r="CK44" i="6"/>
  <c r="DL44" i="6"/>
  <c r="K41" i="7" s="1"/>
  <c r="DJ51" i="6"/>
  <c r="J48" i="7" s="1"/>
  <c r="DL50" i="6"/>
  <c r="P58" i="7"/>
  <c r="DF46" i="6"/>
  <c r="DG46" i="6" s="1"/>
  <c r="DL46" i="6"/>
  <c r="CK42" i="6"/>
  <c r="DJ46" i="6"/>
  <c r="DF42" i="6"/>
  <c r="H39" i="7" s="1"/>
  <c r="P48" i="7"/>
  <c r="CK61" i="6"/>
  <c r="P43" i="7"/>
  <c r="CK51" i="6"/>
  <c r="DJ56" i="6"/>
  <c r="J53" i="7" s="1"/>
  <c r="DJ57" i="6"/>
  <c r="J54" i="7" s="1"/>
  <c r="CK55" i="6"/>
  <c r="P52" i="7"/>
  <c r="DH46" i="6"/>
  <c r="I43" i="7" s="1"/>
  <c r="CK46" i="6"/>
  <c r="DD55" i="6"/>
  <c r="DF55" i="6"/>
  <c r="DG55" i="6" s="1"/>
  <c r="DH51" i="6"/>
  <c r="I48" i="7" s="1"/>
  <c r="P53" i="7"/>
  <c r="DF61" i="6"/>
  <c r="H58" i="7" s="1"/>
  <c r="DL56" i="6"/>
  <c r="K53" i="7" s="1"/>
  <c r="DJ55" i="6"/>
  <c r="DF56" i="6"/>
  <c r="DL15" i="6"/>
  <c r="K12" i="7" s="1"/>
  <c r="P12" i="7"/>
  <c r="DO15" i="6"/>
  <c r="M12" i="7" s="1"/>
  <c r="DH15" i="6"/>
  <c r="DI15" i="6" s="1"/>
  <c r="DN15" i="6"/>
  <c r="L12" i="7" s="1"/>
  <c r="O12" i="7"/>
  <c r="DF15" i="6"/>
  <c r="DG15" i="6" s="1"/>
  <c r="DD15" i="6"/>
  <c r="DK15" i="6"/>
  <c r="CK15" i="6"/>
  <c r="DP15" i="6"/>
  <c r="N12" i="7" s="1"/>
  <c r="O7" i="7"/>
  <c r="DP10" i="6"/>
  <c r="N7" i="7" s="1"/>
  <c r="DO10" i="6"/>
  <c r="M7" i="7" s="1"/>
  <c r="DN10" i="6"/>
  <c r="L7" i="7" s="1"/>
  <c r="O18" i="7"/>
  <c r="DP21" i="6"/>
  <c r="N18" i="7" s="1"/>
  <c r="DO21" i="6"/>
  <c r="M18" i="7" s="1"/>
  <c r="DN21" i="6"/>
  <c r="L18" i="7" s="1"/>
  <c r="O34" i="7"/>
  <c r="DP37" i="6"/>
  <c r="N34" i="7" s="1"/>
  <c r="DO37" i="6"/>
  <c r="M34" i="7" s="1"/>
  <c r="DN37" i="6"/>
  <c r="L34" i="7" s="1"/>
  <c r="O38" i="7"/>
  <c r="DP41" i="6"/>
  <c r="N38" i="7" s="1"/>
  <c r="DO41" i="6"/>
  <c r="M38" i="7" s="1"/>
  <c r="DN41" i="6"/>
  <c r="L38" i="7" s="1"/>
  <c r="O50" i="7"/>
  <c r="DP53" i="6"/>
  <c r="N50" i="7" s="1"/>
  <c r="DO53" i="6"/>
  <c r="M50" i="7" s="1"/>
  <c r="DN53" i="6"/>
  <c r="L50" i="7" s="1"/>
  <c r="DP55" i="6"/>
  <c r="N52" i="7" s="1"/>
  <c r="DO55" i="6"/>
  <c r="M52" i="7" s="1"/>
  <c r="DN55" i="6"/>
  <c r="L52" i="7" s="1"/>
  <c r="O20" i="7"/>
  <c r="DO23" i="6"/>
  <c r="M20" i="7" s="1"/>
  <c r="DN23" i="6"/>
  <c r="L20" i="7" s="1"/>
  <c r="DP23" i="6"/>
  <c r="N20" i="7" s="1"/>
  <c r="DP46" i="6"/>
  <c r="N43" i="7" s="1"/>
  <c r="DN46" i="6"/>
  <c r="L43" i="7" s="1"/>
  <c r="DO46" i="6"/>
  <c r="M43" i="7" s="1"/>
  <c r="DO51" i="6"/>
  <c r="M48" i="7" s="1"/>
  <c r="DN51" i="6"/>
  <c r="L48" i="7" s="1"/>
  <c r="DP51" i="6"/>
  <c r="N48" i="7" s="1"/>
  <c r="DP19" i="6"/>
  <c r="N16" i="7" s="1"/>
  <c r="DO19" i="6"/>
  <c r="M16" i="7" s="1"/>
  <c r="DN19" i="6"/>
  <c r="L16" i="7" s="1"/>
  <c r="DP42" i="6"/>
  <c r="N39" i="7" s="1"/>
  <c r="DO42" i="6"/>
  <c r="M39" i="7" s="1"/>
  <c r="DN42" i="6"/>
  <c r="L39" i="7" s="1"/>
  <c r="DP22" i="6"/>
  <c r="N19" i="7" s="1"/>
  <c r="DO22" i="6"/>
  <c r="M19" i="7" s="1"/>
  <c r="DN22" i="6"/>
  <c r="L19" i="7" s="1"/>
  <c r="O53" i="7"/>
  <c r="DP56" i="6"/>
  <c r="N53" i="7" s="1"/>
  <c r="DO56" i="6"/>
  <c r="M53" i="7" s="1"/>
  <c r="DN56" i="6"/>
  <c r="L53" i="7" s="1"/>
  <c r="DP24" i="6"/>
  <c r="N21" i="7" s="1"/>
  <c r="DO24" i="6"/>
  <c r="M21" i="7" s="1"/>
  <c r="DN24" i="6"/>
  <c r="L21" i="7" s="1"/>
  <c r="DP61" i="6"/>
  <c r="N58" i="7" s="1"/>
  <c r="DO61" i="6"/>
  <c r="M58" i="7" s="1"/>
  <c r="DN61" i="6"/>
  <c r="L58" i="7" s="1"/>
  <c r="DP44" i="6"/>
  <c r="N41" i="7" s="1"/>
  <c r="DN44" i="6"/>
  <c r="L41" i="7" s="1"/>
  <c r="DO44" i="6"/>
  <c r="M41" i="7" s="1"/>
  <c r="O8" i="7"/>
  <c r="DP11" i="6"/>
  <c r="N8" i="7" s="1"/>
  <c r="DO11" i="6"/>
  <c r="M8" i="7" s="1"/>
  <c r="DN11" i="6"/>
  <c r="L8" i="7" s="1"/>
  <c r="O30" i="7"/>
  <c r="DO33" i="6"/>
  <c r="M30" i="7" s="1"/>
  <c r="DN33" i="6"/>
  <c r="L30" i="7" s="1"/>
  <c r="DP33" i="6"/>
  <c r="N30" i="7" s="1"/>
  <c r="DF47" i="6"/>
  <c r="DG47" i="6" s="1"/>
  <c r="DO47" i="6"/>
  <c r="M44" i="7" s="1"/>
  <c r="DN47" i="6"/>
  <c r="L44" i="7" s="1"/>
  <c r="DP47" i="6"/>
  <c r="N44" i="7" s="1"/>
  <c r="DL70" i="6"/>
  <c r="DN70" i="6"/>
  <c r="L67" i="7" s="1"/>
  <c r="DP70" i="6"/>
  <c r="N67" i="7" s="1"/>
  <c r="DO70" i="6"/>
  <c r="M67" i="7" s="1"/>
  <c r="DF38" i="6"/>
  <c r="H35" i="7" s="1"/>
  <c r="DP38" i="6"/>
  <c r="N35" i="7" s="1"/>
  <c r="DN38" i="6"/>
  <c r="L35" i="7" s="1"/>
  <c r="DO38" i="6"/>
  <c r="M35" i="7" s="1"/>
  <c r="CK43" i="6"/>
  <c r="DP43" i="6"/>
  <c r="N40" i="7" s="1"/>
  <c r="DO43" i="6"/>
  <c r="M40" i="7" s="1"/>
  <c r="DN43" i="6"/>
  <c r="L40" i="7" s="1"/>
  <c r="DD66" i="6"/>
  <c r="DO66" i="6"/>
  <c r="M63" i="7" s="1"/>
  <c r="DP66" i="6"/>
  <c r="N63" i="7" s="1"/>
  <c r="DN66" i="6"/>
  <c r="L63" i="7" s="1"/>
  <c r="P31" i="7"/>
  <c r="DP34" i="6"/>
  <c r="N31" i="7" s="1"/>
  <c r="DO34" i="6"/>
  <c r="M31" i="7" s="1"/>
  <c r="DN34" i="6"/>
  <c r="L31" i="7" s="1"/>
  <c r="DD65" i="6"/>
  <c r="DP65" i="6"/>
  <c r="N62" i="7" s="1"/>
  <c r="DO65" i="6"/>
  <c r="M62" i="7" s="1"/>
  <c r="DN65" i="6"/>
  <c r="L62" i="7" s="1"/>
  <c r="O45" i="7"/>
  <c r="DP48" i="6"/>
  <c r="N45" i="7" s="1"/>
  <c r="DO48" i="6"/>
  <c r="M45" i="7" s="1"/>
  <c r="DN48" i="6"/>
  <c r="L45" i="7" s="1"/>
  <c r="CK16" i="6"/>
  <c r="DP16" i="6"/>
  <c r="N13" i="7" s="1"/>
  <c r="DN16" i="6"/>
  <c r="L13" i="7" s="1"/>
  <c r="DO16" i="6"/>
  <c r="M13" i="7" s="1"/>
  <c r="P65" i="7"/>
  <c r="DP68" i="6"/>
  <c r="N65" i="7" s="1"/>
  <c r="DO68" i="6"/>
  <c r="M65" i="7" s="1"/>
  <c r="DN68" i="6"/>
  <c r="L65" i="7" s="1"/>
  <c r="DJ36" i="6"/>
  <c r="DP36" i="6"/>
  <c r="N33" i="7" s="1"/>
  <c r="DO36" i="6"/>
  <c r="M33" i="7" s="1"/>
  <c r="DN36" i="6"/>
  <c r="L33" i="7" s="1"/>
  <c r="O6" i="7"/>
  <c r="DO9" i="6"/>
  <c r="M6" i="7" s="1"/>
  <c r="DP9" i="6"/>
  <c r="N6" i="7" s="1"/>
  <c r="DN9" i="6"/>
  <c r="L6" i="7" s="1"/>
  <c r="O10" i="7"/>
  <c r="DP13" i="6"/>
  <c r="N10" i="7" s="1"/>
  <c r="DO13" i="6"/>
  <c r="M10" i="7" s="1"/>
  <c r="DN13" i="6"/>
  <c r="L10" i="7" s="1"/>
  <c r="O9" i="7"/>
  <c r="DP12" i="6"/>
  <c r="N9" i="7" s="1"/>
  <c r="DO12" i="6"/>
  <c r="M9" i="7" s="1"/>
  <c r="DN12" i="6"/>
  <c r="L9" i="7" s="1"/>
  <c r="O11" i="7"/>
  <c r="DO14" i="6"/>
  <c r="M11" i="7" s="1"/>
  <c r="DN14" i="6"/>
  <c r="L11" i="7" s="1"/>
  <c r="DP14" i="6"/>
  <c r="N11" i="7" s="1"/>
  <c r="O14" i="7"/>
  <c r="DO17" i="6"/>
  <c r="M14" i="7" s="1"/>
  <c r="DN17" i="6"/>
  <c r="L14" i="7" s="1"/>
  <c r="DP17" i="6"/>
  <c r="N14" i="7" s="1"/>
  <c r="O26" i="7"/>
  <c r="DP29" i="6"/>
  <c r="N26" i="7" s="1"/>
  <c r="DO29" i="6"/>
  <c r="M26" i="7" s="1"/>
  <c r="DN29" i="6"/>
  <c r="L26" i="7" s="1"/>
  <c r="O42" i="7"/>
  <c r="DP45" i="6"/>
  <c r="N42" i="7" s="1"/>
  <c r="DO45" i="6"/>
  <c r="M42" i="7" s="1"/>
  <c r="DN45" i="6"/>
  <c r="L42" i="7" s="1"/>
  <c r="O46" i="7"/>
  <c r="DO49" i="6"/>
  <c r="M46" i="7" s="1"/>
  <c r="DN49" i="6"/>
  <c r="L46" i="7" s="1"/>
  <c r="DP49" i="6"/>
  <c r="N46" i="7" s="1"/>
  <c r="DL39" i="6"/>
  <c r="K36" i="7" s="1"/>
  <c r="DO39" i="6"/>
  <c r="M36" i="7" s="1"/>
  <c r="DN39" i="6"/>
  <c r="L36" i="7" s="1"/>
  <c r="DP39" i="6"/>
  <c r="N36" i="7" s="1"/>
  <c r="DF62" i="6"/>
  <c r="DO62" i="6"/>
  <c r="M59" i="7" s="1"/>
  <c r="DP62" i="6"/>
  <c r="N59" i="7" s="1"/>
  <c r="DN62" i="6"/>
  <c r="L59" i="7" s="1"/>
  <c r="DF67" i="6"/>
  <c r="DO67" i="6"/>
  <c r="M64" i="7" s="1"/>
  <c r="DN67" i="6"/>
  <c r="L64" i="7" s="1"/>
  <c r="DP67" i="6"/>
  <c r="N64" i="7" s="1"/>
  <c r="DD35" i="6"/>
  <c r="DP35" i="6"/>
  <c r="N32" i="7" s="1"/>
  <c r="DO35" i="6"/>
  <c r="M32" i="7" s="1"/>
  <c r="DN35" i="6"/>
  <c r="L32" i="7" s="1"/>
  <c r="DL58" i="6"/>
  <c r="DO58" i="6"/>
  <c r="M55" i="7" s="1"/>
  <c r="DN58" i="6"/>
  <c r="L55" i="7" s="1"/>
  <c r="DP58" i="6"/>
  <c r="N55" i="7" s="1"/>
  <c r="DF26" i="6"/>
  <c r="H23" i="7" s="1"/>
  <c r="DP26" i="6"/>
  <c r="N23" i="7" s="1"/>
  <c r="DN26" i="6"/>
  <c r="L23" i="7" s="1"/>
  <c r="DO26" i="6"/>
  <c r="M23" i="7" s="1"/>
  <c r="DL57" i="6"/>
  <c r="K54" i="7" s="1"/>
  <c r="DP57" i="6"/>
  <c r="N54" i="7" s="1"/>
  <c r="DO57" i="6"/>
  <c r="M54" i="7" s="1"/>
  <c r="DN57" i="6"/>
  <c r="L54" i="7" s="1"/>
  <c r="O37" i="7"/>
  <c r="DP40" i="6"/>
  <c r="N37" i="7" s="1"/>
  <c r="DN40" i="6"/>
  <c r="L37" i="7" s="1"/>
  <c r="DO40" i="6"/>
  <c r="M37" i="7" s="1"/>
  <c r="DD18" i="6"/>
  <c r="DP18" i="6"/>
  <c r="N15" i="7" s="1"/>
  <c r="DN18" i="6"/>
  <c r="L15" i="7" s="1"/>
  <c r="DO18" i="6"/>
  <c r="M15" i="7" s="1"/>
  <c r="DD60" i="6"/>
  <c r="DP60" i="6"/>
  <c r="N57" i="7" s="1"/>
  <c r="DN60" i="6"/>
  <c r="L57" i="7" s="1"/>
  <c r="DO60" i="6"/>
  <c r="M57" i="7" s="1"/>
  <c r="DD28" i="6"/>
  <c r="DP28" i="6"/>
  <c r="N25" i="7" s="1"/>
  <c r="DN28" i="6"/>
  <c r="L25" i="7" s="1"/>
  <c r="DO28" i="6"/>
  <c r="M25" i="7" s="1"/>
  <c r="O22" i="7"/>
  <c r="DP25" i="6"/>
  <c r="N22" i="7" s="1"/>
  <c r="DO25" i="6"/>
  <c r="M22" i="7" s="1"/>
  <c r="DN25" i="6"/>
  <c r="L22" i="7" s="1"/>
  <c r="DH63" i="6"/>
  <c r="I60" i="7" s="1"/>
  <c r="DO63" i="6"/>
  <c r="M60" i="7" s="1"/>
  <c r="DN63" i="6"/>
  <c r="L60" i="7" s="1"/>
  <c r="DP63" i="6"/>
  <c r="N60" i="7" s="1"/>
  <c r="DJ31" i="6"/>
  <c r="J28" i="7" s="1"/>
  <c r="DO31" i="6"/>
  <c r="M28" i="7" s="1"/>
  <c r="DN31" i="6"/>
  <c r="L28" i="7" s="1"/>
  <c r="DP31" i="6"/>
  <c r="N28" i="7" s="1"/>
  <c r="P51" i="7"/>
  <c r="DP54" i="6"/>
  <c r="N51" i="7" s="1"/>
  <c r="DO54" i="6"/>
  <c r="M51" i="7" s="1"/>
  <c r="DN54" i="6"/>
  <c r="L51" i="7" s="1"/>
  <c r="DD59" i="6"/>
  <c r="DO59" i="6"/>
  <c r="M56" i="7" s="1"/>
  <c r="DN59" i="6"/>
  <c r="L56" i="7" s="1"/>
  <c r="DP59" i="6"/>
  <c r="N56" i="7" s="1"/>
  <c r="DJ27" i="6"/>
  <c r="J24" i="7" s="1"/>
  <c r="DP27" i="6"/>
  <c r="N24" i="7" s="1"/>
  <c r="DO27" i="6"/>
  <c r="M24" i="7" s="1"/>
  <c r="DN27" i="6"/>
  <c r="L24" i="7" s="1"/>
  <c r="DH50" i="6"/>
  <c r="I47" i="7" s="1"/>
  <c r="DP50" i="6"/>
  <c r="N47" i="7" s="1"/>
  <c r="DO50" i="6"/>
  <c r="M47" i="7" s="1"/>
  <c r="DN50" i="6"/>
  <c r="L47" i="7" s="1"/>
  <c r="CK30" i="6"/>
  <c r="DP30" i="6"/>
  <c r="N27" i="7" s="1"/>
  <c r="DO30" i="6"/>
  <c r="M27" i="7" s="1"/>
  <c r="DN30" i="6"/>
  <c r="L27" i="7" s="1"/>
  <c r="O61" i="7"/>
  <c r="DP64" i="6"/>
  <c r="N61" i="7" s="1"/>
  <c r="DO64" i="6"/>
  <c r="M61" i="7" s="1"/>
  <c r="DN64" i="6"/>
  <c r="L61" i="7" s="1"/>
  <c r="O29" i="7"/>
  <c r="DP32" i="6"/>
  <c r="N29" i="7" s="1"/>
  <c r="DN32" i="6"/>
  <c r="L29" i="7" s="1"/>
  <c r="DO32" i="6"/>
  <c r="M29" i="7" s="1"/>
  <c r="DD69" i="6"/>
  <c r="DP69" i="6"/>
  <c r="N66" i="7" s="1"/>
  <c r="DO69" i="6"/>
  <c r="M66" i="7" s="1"/>
  <c r="DN69" i="6"/>
  <c r="L66" i="7" s="1"/>
  <c r="DP52" i="6"/>
  <c r="N49" i="7" s="1"/>
  <c r="DN52" i="6"/>
  <c r="L49" i="7" s="1"/>
  <c r="DO52" i="6"/>
  <c r="M49" i="7" s="1"/>
  <c r="DP20" i="6"/>
  <c r="N17" i="7" s="1"/>
  <c r="DN20" i="6"/>
  <c r="L17" i="7" s="1"/>
  <c r="DO20" i="6"/>
  <c r="M17" i="7" s="1"/>
  <c r="DF50" i="6"/>
  <c r="H47" i="7" s="1"/>
  <c r="DD58" i="6"/>
  <c r="DH57" i="6"/>
  <c r="I54" i="7" s="1"/>
  <c r="DL54" i="6"/>
  <c r="CK47" i="6"/>
  <c r="DJ16" i="6"/>
  <c r="J13" i="7" s="1"/>
  <c r="DD31" i="6"/>
  <c r="P24" i="7"/>
  <c r="P28" i="7"/>
  <c r="CK36" i="6"/>
  <c r="DH36" i="6"/>
  <c r="I33" i="7" s="1"/>
  <c r="DH38" i="6"/>
  <c r="I35" i="7" s="1"/>
  <c r="CK38" i="6"/>
  <c r="DL36" i="6"/>
  <c r="K33" i="7" s="1"/>
  <c r="DD47" i="6"/>
  <c r="DH43" i="6"/>
  <c r="I40" i="7" s="1"/>
  <c r="DF48" i="6"/>
  <c r="DG48" i="6" s="1"/>
  <c r="P44" i="7"/>
  <c r="CK48" i="6"/>
  <c r="DD50" i="6"/>
  <c r="CK50" i="6"/>
  <c r="DD54" i="6"/>
  <c r="CK54" i="6"/>
  <c r="DL64" i="6"/>
  <c r="DH47" i="6"/>
  <c r="I44" i="7" s="1"/>
  <c r="DD43" i="6"/>
  <c r="DJ47" i="6"/>
  <c r="DF64" i="6"/>
  <c r="H61" i="7" s="1"/>
  <c r="DD30" i="6"/>
  <c r="DL38" i="6"/>
  <c r="DJ38" i="6"/>
  <c r="DJ48" i="6"/>
  <c r="J45" i="7" s="1"/>
  <c r="DL43" i="6"/>
  <c r="K40" i="7" s="1"/>
  <c r="DH48" i="6"/>
  <c r="I45" i="7" s="1"/>
  <c r="DJ54" i="6"/>
  <c r="DD64" i="6"/>
  <c r="DJ59" i="6"/>
  <c r="J56" i="7" s="1"/>
  <c r="P56" i="7"/>
  <c r="DJ63" i="6"/>
  <c r="DD63" i="6"/>
  <c r="DH64" i="6"/>
  <c r="I61" i="7" s="1"/>
  <c r="DL59" i="6"/>
  <c r="DH62" i="6"/>
  <c r="I59" i="7" s="1"/>
  <c r="DH69" i="6"/>
  <c r="I66" i="7" s="1"/>
  <c r="DH26" i="6"/>
  <c r="I23" i="7" s="1"/>
  <c r="DD39" i="6"/>
  <c r="DJ35" i="6"/>
  <c r="J32" i="7" s="1"/>
  <c r="DF40" i="6"/>
  <c r="DG40" i="6" s="1"/>
  <c r="P36" i="7"/>
  <c r="CK40" i="6"/>
  <c r="DJ58" i="6"/>
  <c r="DL62" i="6"/>
  <c r="K59" i="7" s="1"/>
  <c r="P55" i="7"/>
  <c r="CK60" i="6"/>
  <c r="DD62" i="6"/>
  <c r="DJ60" i="6"/>
  <c r="DF58" i="6"/>
  <c r="DG58" i="6" s="1"/>
  <c r="P54" i="7"/>
  <c r="DF57" i="6"/>
  <c r="H54" i="7" s="1"/>
  <c r="DF18" i="6"/>
  <c r="DG18" i="6" s="1"/>
  <c r="DL18" i="6"/>
  <c r="K15" i="7" s="1"/>
  <c r="P25" i="7"/>
  <c r="DL28" i="6"/>
  <c r="DH40" i="6"/>
  <c r="I37" i="7" s="1"/>
  <c r="P32" i="7"/>
  <c r="DH35" i="6"/>
  <c r="I32" i="7" s="1"/>
  <c r="CK58" i="6"/>
  <c r="P57" i="7"/>
  <c r="DH60" i="6"/>
  <c r="I57" i="7" s="1"/>
  <c r="P59" i="7"/>
  <c r="DH58" i="6"/>
  <c r="I55" i="7" s="1"/>
  <c r="CK62" i="6"/>
  <c r="DF69" i="6"/>
  <c r="DG69" i="6" s="1"/>
  <c r="DL69" i="6"/>
  <c r="CK59" i="6"/>
  <c r="P61" i="7"/>
  <c r="DL68" i="6"/>
  <c r="DF63" i="6"/>
  <c r="DG63" i="6" s="1"/>
  <c r="DH59" i="6"/>
  <c r="I56" i="7" s="1"/>
  <c r="CK64" i="6"/>
  <c r="DF66" i="6"/>
  <c r="H63" i="7" s="1"/>
  <c r="DH68" i="6"/>
  <c r="I65" i="7" s="1"/>
  <c r="P66" i="7"/>
  <c r="DF68" i="6"/>
  <c r="DG68" i="6" s="1"/>
  <c r="DL65" i="6"/>
  <c r="CK68" i="6"/>
  <c r="P62" i="7"/>
  <c r="DD68" i="6"/>
  <c r="DJ65" i="6"/>
  <c r="J62" i="7" s="1"/>
  <c r="DH66" i="6"/>
  <c r="I63" i="7" s="1"/>
  <c r="CK65" i="6"/>
  <c r="P63" i="7"/>
  <c r="DH65" i="6"/>
  <c r="I62" i="7" s="1"/>
  <c r="DJ66" i="6"/>
  <c r="DF65" i="6"/>
  <c r="DG65" i="6" s="1"/>
  <c r="G62" i="7"/>
  <c r="DM16" i="6"/>
  <c r="G19" i="7"/>
  <c r="DG22" i="6"/>
  <c r="H19" i="7"/>
  <c r="G15" i="7"/>
  <c r="DM32" i="6"/>
  <c r="DG31" i="6"/>
  <c r="H28" i="7"/>
  <c r="DK32" i="6"/>
  <c r="DG26" i="6"/>
  <c r="G25" i="7"/>
  <c r="G32" i="7"/>
  <c r="DM39" i="6"/>
  <c r="G43" i="7"/>
  <c r="H45" i="7"/>
  <c r="DK44" i="6"/>
  <c r="G53" i="7"/>
  <c r="DG54" i="6"/>
  <c r="H51" i="7"/>
  <c r="DM61" i="6"/>
  <c r="G58" i="7"/>
  <c r="G56" i="7"/>
  <c r="DK69" i="6"/>
  <c r="DJ39" i="6"/>
  <c r="J36" i="7" s="1"/>
  <c r="O36" i="7"/>
  <c r="DJ62" i="6"/>
  <c r="J59" i="7" s="1"/>
  <c r="O59" i="7"/>
  <c r="DD67" i="6"/>
  <c r="O64" i="7"/>
  <c r="DF35" i="6"/>
  <c r="O32" i="7"/>
  <c r="O55" i="7"/>
  <c r="O23" i="7"/>
  <c r="O54" i="7"/>
  <c r="O15" i="7"/>
  <c r="DF60" i="6"/>
  <c r="O57" i="7"/>
  <c r="DF28" i="6"/>
  <c r="O25" i="7"/>
  <c r="G20" i="7"/>
  <c r="DG20" i="6"/>
  <c r="H17" i="7"/>
  <c r="DK18" i="6"/>
  <c r="DK20" i="6"/>
  <c r="G23" i="7"/>
  <c r="G29" i="7"/>
  <c r="DK26" i="6"/>
  <c r="DM26" i="6"/>
  <c r="DG30" i="6"/>
  <c r="H27" i="7"/>
  <c r="DG39" i="6"/>
  <c r="H31" i="7"/>
  <c r="G33" i="7"/>
  <c r="DM51" i="6"/>
  <c r="DG56" i="6"/>
  <c r="H53" i="7"/>
  <c r="DM57" i="6"/>
  <c r="DK64" i="6"/>
  <c r="DG67" i="6"/>
  <c r="H64" i="7"/>
  <c r="O60" i="7"/>
  <c r="DH31" i="6"/>
  <c r="I28" i="7" s="1"/>
  <c r="O28" i="7"/>
  <c r="DH54" i="6"/>
  <c r="I51" i="7" s="1"/>
  <c r="O51" i="7"/>
  <c r="DF59" i="6"/>
  <c r="O56" i="7"/>
  <c r="DF27" i="6"/>
  <c r="O24" i="7"/>
  <c r="DJ50" i="6"/>
  <c r="J47" i="7" s="1"/>
  <c r="O47" i="7"/>
  <c r="DJ30" i="6"/>
  <c r="J27" i="7" s="1"/>
  <c r="O27" i="7"/>
  <c r="O66" i="7"/>
  <c r="DF52" i="6"/>
  <c r="O49" i="7"/>
  <c r="O17" i="7"/>
  <c r="DG23" i="6"/>
  <c r="H20" i="7"/>
  <c r="DK22" i="6"/>
  <c r="DM23" i="6"/>
  <c r="DM30" i="6"/>
  <c r="DM27" i="6"/>
  <c r="DG32" i="6"/>
  <c r="H29" i="7"/>
  <c r="DK28" i="6"/>
  <c r="G31" i="7"/>
  <c r="G37" i="7"/>
  <c r="DM35" i="6"/>
  <c r="DM34" i="6"/>
  <c r="H44" i="7"/>
  <c r="G41" i="7"/>
  <c r="DM55" i="6"/>
  <c r="DG61" i="6"/>
  <c r="DG62" i="6"/>
  <c r="H59" i="7"/>
  <c r="DH55" i="6"/>
  <c r="I52" i="7" s="1"/>
  <c r="O52" i="7"/>
  <c r="O43" i="7"/>
  <c r="DF51" i="6"/>
  <c r="O48" i="7"/>
  <c r="DL19" i="6"/>
  <c r="K16" i="7" s="1"/>
  <c r="O16" i="7"/>
  <c r="O39" i="7"/>
  <c r="DL22" i="6"/>
  <c r="K19" i="7" s="1"/>
  <c r="O19" i="7"/>
  <c r="DJ24" i="6"/>
  <c r="J21" i="7" s="1"/>
  <c r="O21" i="7"/>
  <c r="DJ61" i="6"/>
  <c r="J58" i="7" s="1"/>
  <c r="O58" i="7"/>
  <c r="DF44" i="6"/>
  <c r="DV44" i="6" s="1"/>
  <c r="O41" i="7"/>
  <c r="DG16" i="6"/>
  <c r="H13" i="7"/>
  <c r="DG19" i="6"/>
  <c r="H16" i="7"/>
  <c r="DM20" i="6"/>
  <c r="DG24" i="6"/>
  <c r="H21" i="7"/>
  <c r="DM24" i="6"/>
  <c r="G17" i="7"/>
  <c r="G16" i="7"/>
  <c r="G21" i="7"/>
  <c r="F23" i="8" s="1"/>
  <c r="DM31" i="6"/>
  <c r="DK27" i="6"/>
  <c r="G24" i="7"/>
  <c r="DK31" i="6"/>
  <c r="G39" i="7"/>
  <c r="G45" i="7"/>
  <c r="DK42" i="6"/>
  <c r="DK43" i="6"/>
  <c r="DM42" i="6"/>
  <c r="H43" i="7"/>
  <c r="DM56" i="6"/>
  <c r="DM52" i="6"/>
  <c r="H52" i="7"/>
  <c r="DK56" i="6"/>
  <c r="G49" i="7"/>
  <c r="DK57" i="6"/>
  <c r="G54" i="7"/>
  <c r="DM60" i="6"/>
  <c r="DL47" i="6"/>
  <c r="K44" i="7" s="1"/>
  <c r="O44" i="7"/>
  <c r="O67" i="7"/>
  <c r="O35" i="7"/>
  <c r="DF43" i="6"/>
  <c r="O40" i="7"/>
  <c r="DL66" i="6"/>
  <c r="K63" i="7" s="1"/>
  <c r="O63" i="7"/>
  <c r="DJ34" i="6"/>
  <c r="J31" i="7" s="1"/>
  <c r="O31" i="7"/>
  <c r="O62" i="7"/>
  <c r="DD16" i="6"/>
  <c r="O13" i="7"/>
  <c r="DJ68" i="6"/>
  <c r="J65" i="7" s="1"/>
  <c r="O65" i="7"/>
  <c r="DF36" i="6"/>
  <c r="O33" i="7"/>
  <c r="DI22" i="6"/>
  <c r="DI27" i="6"/>
  <c r="DI46" i="6"/>
  <c r="P67" i="7"/>
  <c r="DJ67" i="6"/>
  <c r="J64" i="7" s="1"/>
  <c r="CK66" i="6"/>
  <c r="DI16" i="6"/>
  <c r="DI20" i="6"/>
  <c r="DI19" i="6"/>
  <c r="DI24" i="6"/>
  <c r="DI52" i="6"/>
  <c r="DI61" i="6"/>
  <c r="DI63" i="6"/>
  <c r="DI28" i="6"/>
  <c r="DI30" i="6"/>
  <c r="DI39" i="6"/>
  <c r="DI44" i="6"/>
  <c r="DI56" i="6"/>
  <c r="DI32" i="6"/>
  <c r="DF70" i="6"/>
  <c r="P64" i="7"/>
  <c r="DL67" i="6"/>
  <c r="K64" i="7" s="1"/>
  <c r="CK67" i="6"/>
  <c r="CK63" i="6"/>
  <c r="DL63" i="6"/>
  <c r="K60" i="7" s="1"/>
  <c r="CK69" i="6"/>
  <c r="P60" i="7"/>
  <c r="CK70" i="6"/>
  <c r="BL70" i="6" s="1"/>
  <c r="DH70" i="6"/>
  <c r="I67" i="7" s="1"/>
  <c r="DJ70" i="6"/>
  <c r="J67" i="7" s="1"/>
  <c r="DD70" i="6"/>
  <c r="DH67" i="6"/>
  <c r="I64" i="7" s="1"/>
  <c r="DE65" i="6"/>
  <c r="DE57" i="6"/>
  <c r="DE61" i="6"/>
  <c r="DE60" i="6"/>
  <c r="DE59" i="6"/>
  <c r="DE55" i="6"/>
  <c r="P46" i="7"/>
  <c r="CK49" i="6"/>
  <c r="DL49" i="6"/>
  <c r="K46" i="7" s="1"/>
  <c r="DJ49" i="6"/>
  <c r="J46" i="7" s="1"/>
  <c r="DD49" i="6"/>
  <c r="DH49" i="6"/>
  <c r="I46" i="7" s="1"/>
  <c r="DF49" i="6"/>
  <c r="DE51" i="6"/>
  <c r="DE52" i="6"/>
  <c r="DE56" i="6"/>
  <c r="CK53" i="6"/>
  <c r="P50" i="7"/>
  <c r="DL53" i="6"/>
  <c r="K50" i="7" s="1"/>
  <c r="DF53" i="6"/>
  <c r="DJ53" i="6"/>
  <c r="J50" i="7" s="1"/>
  <c r="DH53" i="6"/>
  <c r="I50" i="7" s="1"/>
  <c r="DD53" i="6"/>
  <c r="DE46" i="6"/>
  <c r="P38" i="7"/>
  <c r="CK41" i="6"/>
  <c r="DJ41" i="6"/>
  <c r="J38" i="7" s="1"/>
  <c r="DD41" i="6"/>
  <c r="DL41" i="6"/>
  <c r="K38" i="7" s="1"/>
  <c r="DF41" i="6"/>
  <c r="DH41" i="6"/>
  <c r="I38" i="7" s="1"/>
  <c r="DE44" i="6"/>
  <c r="DE42" i="6"/>
  <c r="CK45" i="6"/>
  <c r="P42" i="7"/>
  <c r="DL45" i="6"/>
  <c r="K42" i="7" s="1"/>
  <c r="DF45" i="6"/>
  <c r="DH45" i="6"/>
  <c r="I42" i="7" s="1"/>
  <c r="DJ45" i="6"/>
  <c r="J42" i="7" s="1"/>
  <c r="DD45" i="6"/>
  <c r="CK33" i="6"/>
  <c r="P30" i="7"/>
  <c r="DH33" i="6"/>
  <c r="I30" i="7" s="1"/>
  <c r="DD33" i="6"/>
  <c r="DL33" i="6"/>
  <c r="K30" i="7" s="1"/>
  <c r="DF33" i="6"/>
  <c r="DJ33" i="6"/>
  <c r="J30" i="7" s="1"/>
  <c r="DE35" i="6"/>
  <c r="DE36" i="6"/>
  <c r="DE34" i="6"/>
  <c r="DE40" i="6"/>
  <c r="P34" i="7"/>
  <c r="CK37" i="6"/>
  <c r="DF37" i="6"/>
  <c r="DL37" i="6"/>
  <c r="K34" i="7" s="1"/>
  <c r="DJ37" i="6"/>
  <c r="J34" i="7" s="1"/>
  <c r="DH37" i="6"/>
  <c r="I34" i="7" s="1"/>
  <c r="DD37" i="6"/>
  <c r="DE31" i="6"/>
  <c r="P22" i="7"/>
  <c r="CK25" i="6"/>
  <c r="DH25" i="6"/>
  <c r="I22" i="7" s="1"/>
  <c r="DL25" i="6"/>
  <c r="K22" i="7" s="1"/>
  <c r="DD25" i="6"/>
  <c r="DF25" i="6"/>
  <c r="DJ25" i="6"/>
  <c r="J22" i="7" s="1"/>
  <c r="DE27" i="6"/>
  <c r="DE28" i="6"/>
  <c r="DE26" i="6"/>
  <c r="DE32" i="6"/>
  <c r="CK29" i="6"/>
  <c r="P26" i="7"/>
  <c r="DJ29" i="6"/>
  <c r="J26" i="7" s="1"/>
  <c r="DF29" i="6"/>
  <c r="DH29" i="6"/>
  <c r="I26" i="7" s="1"/>
  <c r="DL29" i="6"/>
  <c r="K26" i="7" s="1"/>
  <c r="DD29" i="6"/>
  <c r="DE22" i="6"/>
  <c r="CK17" i="6"/>
  <c r="P14" i="7"/>
  <c r="DJ17" i="6"/>
  <c r="J14" i="7" s="1"/>
  <c r="DL17" i="6"/>
  <c r="K14" i="7" s="1"/>
  <c r="DH17" i="6"/>
  <c r="I14" i="7" s="1"/>
  <c r="DF17" i="6"/>
  <c r="DD17" i="6"/>
  <c r="DE20" i="6"/>
  <c r="DE19" i="6"/>
  <c r="DE24" i="6"/>
  <c r="DE18" i="6"/>
  <c r="DE23" i="6"/>
  <c r="P18" i="7"/>
  <c r="CK21" i="6"/>
  <c r="DH21" i="6"/>
  <c r="I18" i="7" s="1"/>
  <c r="DD21" i="6"/>
  <c r="DL21" i="6"/>
  <c r="K18" i="7" s="1"/>
  <c r="DF21" i="6"/>
  <c r="DJ21" i="6"/>
  <c r="J18" i="7" s="1"/>
  <c r="D116" i="6"/>
  <c r="E116" i="6"/>
  <c r="DH12" i="6"/>
  <c r="I9" i="7" s="1"/>
  <c r="DL12" i="6"/>
  <c r="K9" i="7" s="1"/>
  <c r="DJ12" i="6"/>
  <c r="J9" i="7" s="1"/>
  <c r="DH14" i="6"/>
  <c r="I11" i="7" s="1"/>
  <c r="DL14" i="6"/>
  <c r="K11" i="7" s="1"/>
  <c r="DJ14" i="6"/>
  <c r="J11" i="7" s="1"/>
  <c r="DL9" i="6"/>
  <c r="DJ9" i="6"/>
  <c r="DL10" i="6"/>
  <c r="K7" i="7" s="1"/>
  <c r="DH11" i="6"/>
  <c r="I8" i="7" s="1"/>
  <c r="DL11" i="6"/>
  <c r="K8" i="7" s="1"/>
  <c r="DJ11" i="6"/>
  <c r="J8" i="7" s="1"/>
  <c r="DL13" i="6"/>
  <c r="K10" i="7" s="1"/>
  <c r="DH13" i="6"/>
  <c r="DJ13" i="6"/>
  <c r="J10" i="7" s="1"/>
  <c r="DH10" i="6"/>
  <c r="I7" i="7" s="1"/>
  <c r="DJ10" i="6"/>
  <c r="J7" i="7" s="1"/>
  <c r="DH9" i="6"/>
  <c r="DF9" i="6"/>
  <c r="CK12" i="6"/>
  <c r="DF12" i="6"/>
  <c r="DD12" i="6"/>
  <c r="CK14" i="6"/>
  <c r="DF14" i="6"/>
  <c r="DD14" i="6"/>
  <c r="CK9" i="6"/>
  <c r="DD9" i="6"/>
  <c r="CK10" i="6"/>
  <c r="DF10" i="6"/>
  <c r="DD10" i="6"/>
  <c r="CK11" i="6"/>
  <c r="DF11" i="6"/>
  <c r="DD11" i="6"/>
  <c r="CK13" i="6"/>
  <c r="DD13" i="6"/>
  <c r="DF13" i="6"/>
  <c r="BK9" i="6"/>
  <c r="J26" i="10" s="1"/>
  <c r="P7" i="7"/>
  <c r="P8" i="7"/>
  <c r="P9" i="7"/>
  <c r="P11" i="7"/>
  <c r="P10" i="7"/>
  <c r="DZ23" i="6" l="1"/>
  <c r="DX9" i="6"/>
  <c r="DZ9" i="6"/>
  <c r="DT9" i="6"/>
  <c r="DV9" i="6"/>
  <c r="DR9" i="6"/>
  <c r="DT10" i="6"/>
  <c r="DZ10" i="6"/>
  <c r="DV10" i="6"/>
  <c r="DR10" i="6"/>
  <c r="DT12" i="6"/>
  <c r="DX12" i="6"/>
  <c r="DV12" i="6"/>
  <c r="DZ12" i="6"/>
  <c r="DR12" i="6"/>
  <c r="DV17" i="6"/>
  <c r="DZ17" i="6"/>
  <c r="DX17" i="6"/>
  <c r="DR17" i="6"/>
  <c r="DT17" i="6"/>
  <c r="DV29" i="6"/>
  <c r="DZ29" i="6"/>
  <c r="DX29" i="6"/>
  <c r="DR29" i="6"/>
  <c r="DT29" i="6"/>
  <c r="DX62" i="6"/>
  <c r="DZ62" i="6"/>
  <c r="DT62" i="6"/>
  <c r="DR62" i="6"/>
  <c r="DV62" i="6"/>
  <c r="DE47" i="6"/>
  <c r="DZ47" i="6"/>
  <c r="DV47" i="6"/>
  <c r="DR47" i="6"/>
  <c r="DX47" i="6"/>
  <c r="DT47" i="6"/>
  <c r="G28" i="7"/>
  <c r="DZ31" i="6"/>
  <c r="DV31" i="6"/>
  <c r="DR31" i="6"/>
  <c r="DX31" i="6"/>
  <c r="DT31" i="6"/>
  <c r="DV69" i="6"/>
  <c r="DZ69" i="6"/>
  <c r="DX69" i="6"/>
  <c r="DR69" i="6"/>
  <c r="DT69" i="6"/>
  <c r="DZ59" i="6"/>
  <c r="DV59" i="6"/>
  <c r="DR59" i="6"/>
  <c r="DX59" i="6"/>
  <c r="DT59" i="6"/>
  <c r="DX28" i="6"/>
  <c r="DT28" i="6"/>
  <c r="DV28" i="6"/>
  <c r="DZ28" i="6"/>
  <c r="DR28" i="6"/>
  <c r="DX60" i="6"/>
  <c r="DT60" i="6"/>
  <c r="DV60" i="6"/>
  <c r="DR60" i="6"/>
  <c r="DZ60" i="6"/>
  <c r="DX18" i="6"/>
  <c r="DT18" i="6"/>
  <c r="DZ18" i="6"/>
  <c r="DR18" i="6"/>
  <c r="DV18" i="6"/>
  <c r="DZ35" i="6"/>
  <c r="DV35" i="6"/>
  <c r="DR35" i="6"/>
  <c r="DT35" i="6"/>
  <c r="DX35" i="6"/>
  <c r="DV65" i="6"/>
  <c r="DZ65" i="6"/>
  <c r="DX65" i="6"/>
  <c r="DR65" i="6"/>
  <c r="DT65" i="6"/>
  <c r="DX66" i="6"/>
  <c r="DZ66" i="6"/>
  <c r="DT66" i="6"/>
  <c r="DR66" i="6"/>
  <c r="DV66" i="6"/>
  <c r="DX40" i="6"/>
  <c r="DV40" i="6"/>
  <c r="DT40" i="6"/>
  <c r="DR40" i="6"/>
  <c r="DZ40" i="6"/>
  <c r="DV57" i="6"/>
  <c r="DZ57" i="6"/>
  <c r="DX57" i="6"/>
  <c r="DR57" i="6"/>
  <c r="DT57" i="6"/>
  <c r="DZ19" i="6"/>
  <c r="DV19" i="6"/>
  <c r="DT19" i="6"/>
  <c r="DR19" i="6"/>
  <c r="DX19" i="6"/>
  <c r="DZ27" i="6"/>
  <c r="DV27" i="6"/>
  <c r="DR27" i="6"/>
  <c r="DX27" i="6"/>
  <c r="DT27" i="6"/>
  <c r="DX52" i="6"/>
  <c r="DT52" i="6"/>
  <c r="DV52" i="6"/>
  <c r="DZ52" i="6"/>
  <c r="DR52" i="6"/>
  <c r="DR20" i="6"/>
  <c r="DT20" i="6"/>
  <c r="DT44" i="6"/>
  <c r="DT32" i="6"/>
  <c r="DT23" i="6"/>
  <c r="DZ11" i="6"/>
  <c r="DV11" i="6"/>
  <c r="DT11" i="6"/>
  <c r="DR11" i="6"/>
  <c r="DX11" i="6"/>
  <c r="DX14" i="6"/>
  <c r="DT14" i="6"/>
  <c r="DZ14" i="6"/>
  <c r="DR14" i="6"/>
  <c r="DV14" i="6"/>
  <c r="DV25" i="6"/>
  <c r="DZ25" i="6"/>
  <c r="DX25" i="6"/>
  <c r="DR25" i="6"/>
  <c r="DT25" i="6"/>
  <c r="DV33" i="6"/>
  <c r="DZ33" i="6"/>
  <c r="DX33" i="6"/>
  <c r="DR33" i="6"/>
  <c r="DT33" i="6"/>
  <c r="DV45" i="6"/>
  <c r="DZ45" i="6"/>
  <c r="DX45" i="6"/>
  <c r="DR45" i="6"/>
  <c r="DT45" i="6"/>
  <c r="DV41" i="6"/>
  <c r="DZ41" i="6"/>
  <c r="DX41" i="6"/>
  <c r="DR41" i="6"/>
  <c r="DT41" i="6"/>
  <c r="DZ39" i="6"/>
  <c r="DV39" i="6"/>
  <c r="DR39" i="6"/>
  <c r="DT39" i="6"/>
  <c r="DX39" i="6"/>
  <c r="DZ43" i="6"/>
  <c r="DV43" i="6"/>
  <c r="DR43" i="6"/>
  <c r="DX43" i="6"/>
  <c r="DT43" i="6"/>
  <c r="DX54" i="6"/>
  <c r="DZ54" i="6"/>
  <c r="DT54" i="6"/>
  <c r="DV54" i="6"/>
  <c r="DR54" i="6"/>
  <c r="DX58" i="6"/>
  <c r="DZ58" i="6"/>
  <c r="DT58" i="6"/>
  <c r="DV58" i="6"/>
  <c r="DR58" i="6"/>
  <c r="DX56" i="6"/>
  <c r="DV56" i="6"/>
  <c r="DT56" i="6"/>
  <c r="DR56" i="6"/>
  <c r="DZ56" i="6"/>
  <c r="DX26" i="6"/>
  <c r="DZ26" i="6"/>
  <c r="DT26" i="6"/>
  <c r="DV26" i="6"/>
  <c r="DR26" i="6"/>
  <c r="DZ51" i="6"/>
  <c r="DV51" i="6"/>
  <c r="DR51" i="6"/>
  <c r="DT51" i="6"/>
  <c r="DX51" i="6"/>
  <c r="DX42" i="6"/>
  <c r="DZ42" i="6"/>
  <c r="DT42" i="6"/>
  <c r="DV42" i="6"/>
  <c r="DR42" i="6"/>
  <c r="DV61" i="6"/>
  <c r="DZ61" i="6"/>
  <c r="DX61" i="6"/>
  <c r="DR61" i="6"/>
  <c r="DT61" i="6"/>
  <c r="DX48" i="6"/>
  <c r="DV48" i="6"/>
  <c r="DT48" i="6"/>
  <c r="DZ48" i="6"/>
  <c r="DR48" i="6"/>
  <c r="DX22" i="6"/>
  <c r="DZ22" i="6"/>
  <c r="DT22" i="6"/>
  <c r="DV22" i="6"/>
  <c r="DR22" i="6"/>
  <c r="DZ20" i="6"/>
  <c r="DZ44" i="6"/>
  <c r="DX44" i="6"/>
  <c r="DV32" i="6"/>
  <c r="DR23" i="6"/>
  <c r="DV53" i="6"/>
  <c r="DZ53" i="6"/>
  <c r="DX53" i="6"/>
  <c r="DR53" i="6"/>
  <c r="DT53" i="6"/>
  <c r="DV49" i="6"/>
  <c r="DZ49" i="6"/>
  <c r="DX49" i="6"/>
  <c r="DR49" i="6"/>
  <c r="DT49" i="6"/>
  <c r="DX70" i="6"/>
  <c r="DZ70" i="6"/>
  <c r="DT70" i="6"/>
  <c r="DV70" i="6"/>
  <c r="DR70" i="6"/>
  <c r="DT16" i="6"/>
  <c r="DX16" i="6"/>
  <c r="DV16" i="6"/>
  <c r="DZ16" i="6"/>
  <c r="DR16" i="6"/>
  <c r="DX30" i="6"/>
  <c r="DZ30" i="6"/>
  <c r="DT30" i="6"/>
  <c r="DR30" i="6"/>
  <c r="DV30" i="6"/>
  <c r="DZ55" i="6"/>
  <c r="DV55" i="6"/>
  <c r="DR55" i="6"/>
  <c r="DT55" i="6"/>
  <c r="DX55" i="6"/>
  <c r="DX24" i="6"/>
  <c r="DV24" i="6"/>
  <c r="DT24" i="6"/>
  <c r="DR24" i="6"/>
  <c r="DZ24" i="6"/>
  <c r="DX34" i="6"/>
  <c r="DZ34" i="6"/>
  <c r="DT34" i="6"/>
  <c r="DR34" i="6"/>
  <c r="DV34" i="6"/>
  <c r="DV20" i="6"/>
  <c r="DR44" i="6"/>
  <c r="DR32" i="6"/>
  <c r="DX32" i="6"/>
  <c r="DV23" i="6"/>
  <c r="DV13" i="6"/>
  <c r="DZ13" i="6"/>
  <c r="DX13" i="6"/>
  <c r="DR13" i="6"/>
  <c r="DT13" i="6"/>
  <c r="DV21" i="6"/>
  <c r="DZ21" i="6"/>
  <c r="DX21" i="6"/>
  <c r="DR21" i="6"/>
  <c r="DT21" i="6"/>
  <c r="DV37" i="6"/>
  <c r="DZ37" i="6"/>
  <c r="DX37" i="6"/>
  <c r="DR37" i="6"/>
  <c r="DT37" i="6"/>
  <c r="DZ67" i="6"/>
  <c r="DV67" i="6"/>
  <c r="DR67" i="6"/>
  <c r="DT67" i="6"/>
  <c r="DX67" i="6"/>
  <c r="DX68" i="6"/>
  <c r="DT68" i="6"/>
  <c r="DV68" i="6"/>
  <c r="DZ68" i="6"/>
  <c r="DR68" i="6"/>
  <c r="DZ63" i="6"/>
  <c r="DV63" i="6"/>
  <c r="DR63" i="6"/>
  <c r="DX63" i="6"/>
  <c r="DT63" i="6"/>
  <c r="DX64" i="6"/>
  <c r="DV64" i="6"/>
  <c r="DT64" i="6"/>
  <c r="DZ64" i="6"/>
  <c r="DR64" i="6"/>
  <c r="DE50" i="6"/>
  <c r="DX50" i="6"/>
  <c r="DZ50" i="6"/>
  <c r="DT50" i="6"/>
  <c r="DR50" i="6"/>
  <c r="DV50" i="6"/>
  <c r="DZ15" i="6"/>
  <c r="DV15" i="6"/>
  <c r="DR15" i="6"/>
  <c r="DT15" i="6"/>
  <c r="DX15" i="6"/>
  <c r="DX38" i="6"/>
  <c r="DZ38" i="6"/>
  <c r="DT38" i="6"/>
  <c r="DV38" i="6"/>
  <c r="DR38" i="6"/>
  <c r="DX36" i="6"/>
  <c r="DT36" i="6"/>
  <c r="DV36" i="6"/>
  <c r="DZ36" i="6"/>
  <c r="DR36" i="6"/>
  <c r="DX46" i="6"/>
  <c r="DZ46" i="6"/>
  <c r="DT46" i="6"/>
  <c r="DR46" i="6"/>
  <c r="DV46" i="6"/>
  <c r="DZ32" i="6"/>
  <c r="DX23" i="6"/>
  <c r="F25" i="8"/>
  <c r="J6" i="7"/>
  <c r="K6" i="7"/>
  <c r="DG42" i="6"/>
  <c r="DM44" i="6"/>
  <c r="DK19" i="6"/>
  <c r="DI57" i="6"/>
  <c r="DI36" i="6"/>
  <c r="BL19" i="6"/>
  <c r="R16" i="7" s="1"/>
  <c r="BL11" i="6"/>
  <c r="BL10" i="6"/>
  <c r="BL25" i="6"/>
  <c r="BL49" i="6"/>
  <c r="BL14" i="6"/>
  <c r="BL66" i="6"/>
  <c r="BL62" i="6"/>
  <c r="BL46" i="6"/>
  <c r="BL22" i="6"/>
  <c r="BL24" i="6"/>
  <c r="BL57" i="6"/>
  <c r="BL17" i="6"/>
  <c r="BL33" i="6"/>
  <c r="BL54" i="6"/>
  <c r="BL48" i="6"/>
  <c r="BL39" i="6"/>
  <c r="BL41" i="6"/>
  <c r="BL64" i="6"/>
  <c r="BL47" i="6"/>
  <c r="BL30" i="6"/>
  <c r="BL16" i="6"/>
  <c r="R13" i="7" s="1"/>
  <c r="BL42" i="6"/>
  <c r="BL23" i="6"/>
  <c r="BL34" i="6"/>
  <c r="BL32" i="6"/>
  <c r="R29" i="7" s="1"/>
  <c r="BL31" i="6"/>
  <c r="BL63" i="6"/>
  <c r="BL65" i="6"/>
  <c r="BL58" i="6"/>
  <c r="BL40" i="6"/>
  <c r="BL50" i="6"/>
  <c r="BL38" i="6"/>
  <c r="BL15" i="6"/>
  <c r="R12" i="7" s="1"/>
  <c r="BL55" i="6"/>
  <c r="BL26" i="6"/>
  <c r="BL18" i="6"/>
  <c r="BL56" i="6"/>
  <c r="R53" i="7" s="1"/>
  <c r="DI47" i="6"/>
  <c r="DG50" i="6"/>
  <c r="F47" i="8"/>
  <c r="DI38" i="6"/>
  <c r="DI34" i="6"/>
  <c r="DK51" i="6"/>
  <c r="DK52" i="6"/>
  <c r="H12" i="7"/>
  <c r="F56" i="8"/>
  <c r="F19" i="8"/>
  <c r="Y19" i="8" s="1"/>
  <c r="DM15" i="6"/>
  <c r="F22" i="8"/>
  <c r="F41" i="8"/>
  <c r="F18" i="8"/>
  <c r="Y18" i="8" s="1"/>
  <c r="F31" i="8"/>
  <c r="F21" i="8"/>
  <c r="Y21" i="8" s="1"/>
  <c r="DK66" i="6"/>
  <c r="J63" i="7"/>
  <c r="G36" i="7"/>
  <c r="DM59" i="6"/>
  <c r="K56" i="7"/>
  <c r="DK54" i="6"/>
  <c r="J51" i="7"/>
  <c r="DM54" i="6"/>
  <c r="K51" i="7"/>
  <c r="G57" i="7"/>
  <c r="DM58" i="6"/>
  <c r="K55" i="7"/>
  <c r="DK36" i="6"/>
  <c r="J33" i="7"/>
  <c r="DE66" i="6"/>
  <c r="DM70" i="6"/>
  <c r="K67" i="7"/>
  <c r="DK55" i="6"/>
  <c r="J52" i="7"/>
  <c r="DK46" i="6"/>
  <c r="J43" i="7"/>
  <c r="DK38" i="6"/>
  <c r="J35" i="7"/>
  <c r="DK47" i="6"/>
  <c r="J44" i="7"/>
  <c r="DM64" i="6"/>
  <c r="K61" i="7"/>
  <c r="G47" i="7"/>
  <c r="L112" i="7"/>
  <c r="L109" i="7"/>
  <c r="L110" i="7"/>
  <c r="L111" i="7"/>
  <c r="G12" i="7"/>
  <c r="DM50" i="6"/>
  <c r="K47" i="7"/>
  <c r="DK40" i="6"/>
  <c r="J37" i="7"/>
  <c r="DM40" i="6"/>
  <c r="K37" i="7"/>
  <c r="F33" i="8"/>
  <c r="Y33" i="8" s="1"/>
  <c r="F60" i="8"/>
  <c r="Y60" i="8" s="1"/>
  <c r="F55" i="8"/>
  <c r="DM65" i="6"/>
  <c r="K62" i="7"/>
  <c r="DM68" i="6"/>
  <c r="K65" i="7"/>
  <c r="DM69" i="6"/>
  <c r="K66" i="7"/>
  <c r="DK60" i="6"/>
  <c r="J57" i="7"/>
  <c r="G60" i="7"/>
  <c r="DM38" i="6"/>
  <c r="K35" i="7"/>
  <c r="G40" i="7"/>
  <c r="G44" i="7"/>
  <c r="F46" i="8" s="1"/>
  <c r="F30" i="8"/>
  <c r="Y30" i="8" s="1"/>
  <c r="N112" i="7"/>
  <c r="N109" i="7"/>
  <c r="N110" i="7"/>
  <c r="N111" i="7"/>
  <c r="G52" i="7"/>
  <c r="DM46" i="6"/>
  <c r="K43" i="7"/>
  <c r="DE67" i="6"/>
  <c r="G65" i="7"/>
  <c r="DM28" i="6"/>
  <c r="K25" i="7"/>
  <c r="G59" i="7"/>
  <c r="DK58" i="6"/>
  <c r="J55" i="7"/>
  <c r="DK63" i="6"/>
  <c r="J60" i="7"/>
  <c r="G61" i="7"/>
  <c r="G27" i="7"/>
  <c r="F29" i="8" s="1"/>
  <c r="Y29" i="8" s="1"/>
  <c r="G51" i="7"/>
  <c r="DE58" i="6"/>
  <c r="G66" i="7"/>
  <c r="M110" i="7"/>
  <c r="M111" i="7"/>
  <c r="M112" i="7"/>
  <c r="M109" i="7"/>
  <c r="G48" i="7"/>
  <c r="G35" i="7"/>
  <c r="DE48" i="6"/>
  <c r="BL13" i="6"/>
  <c r="R10" i="7" s="1"/>
  <c r="BL45" i="6"/>
  <c r="R42" i="7" s="1"/>
  <c r="BL43" i="6"/>
  <c r="R40" i="7" s="1"/>
  <c r="BL35" i="6"/>
  <c r="R32" i="7" s="1"/>
  <c r="BL52" i="6"/>
  <c r="R49" i="7" s="1"/>
  <c r="BL21" i="6"/>
  <c r="R18" i="7" s="1"/>
  <c r="BL53" i="6"/>
  <c r="R50" i="7" s="1"/>
  <c r="DE63" i="6"/>
  <c r="BL67" i="6"/>
  <c r="R64" i="7" s="1"/>
  <c r="DI43" i="6"/>
  <c r="BL36" i="6"/>
  <c r="R33" i="7" s="1"/>
  <c r="BL61" i="6"/>
  <c r="R58" i="7" s="1"/>
  <c r="BL27" i="6"/>
  <c r="R24" i="7" s="1"/>
  <c r="BL12" i="6"/>
  <c r="R9" i="7" s="1"/>
  <c r="BL69" i="6"/>
  <c r="R66" i="7" s="1"/>
  <c r="DI26" i="6"/>
  <c r="DI64" i="6"/>
  <c r="DK16" i="6"/>
  <c r="BL60" i="6"/>
  <c r="R57" i="7" s="1"/>
  <c r="BL44" i="6"/>
  <c r="R41" i="7" s="1"/>
  <c r="BL28" i="6"/>
  <c r="R25" i="7" s="1"/>
  <c r="BL29" i="6"/>
  <c r="R26" i="7" s="1"/>
  <c r="BL37" i="6"/>
  <c r="R34" i="7" s="1"/>
  <c r="BL68" i="6"/>
  <c r="R65" i="7" s="1"/>
  <c r="BL59" i="6"/>
  <c r="R56" i="7" s="1"/>
  <c r="BL51" i="6"/>
  <c r="R48" i="7" s="1"/>
  <c r="DI35" i="6"/>
  <c r="DM62" i="6"/>
  <c r="DG66" i="6"/>
  <c r="I7" i="9"/>
  <c r="I8" i="9" s="1"/>
  <c r="H62" i="7"/>
  <c r="G55" i="7"/>
  <c r="DE68" i="6"/>
  <c r="DE39" i="6"/>
  <c r="BY19" i="5"/>
  <c r="BM18" i="6"/>
  <c r="DE30" i="6"/>
  <c r="DE69" i="6"/>
  <c r="DI50" i="6"/>
  <c r="DK35" i="6"/>
  <c r="I14" i="9"/>
  <c r="I10" i="9"/>
  <c r="I9" i="9"/>
  <c r="I11" i="9"/>
  <c r="DK48" i="6"/>
  <c r="M14" i="9"/>
  <c r="M11" i="9"/>
  <c r="M10" i="9"/>
  <c r="M9" i="9"/>
  <c r="DK23" i="6"/>
  <c r="G63" i="7"/>
  <c r="F65" i="8" s="1"/>
  <c r="H6" i="9"/>
  <c r="C5" i="9"/>
  <c r="C6" i="9"/>
  <c r="C7" i="9"/>
  <c r="DI42" i="6"/>
  <c r="DK59" i="6"/>
  <c r="DE15" i="6"/>
  <c r="M8" i="9"/>
  <c r="DE54" i="6"/>
  <c r="DE64" i="6"/>
  <c r="DI18" i="6"/>
  <c r="DI23" i="6"/>
  <c r="DM48" i="6"/>
  <c r="C14" i="9"/>
  <c r="C10" i="9"/>
  <c r="C11" i="9"/>
  <c r="C9" i="9"/>
  <c r="DI58" i="6"/>
  <c r="H37" i="7"/>
  <c r="F39" i="8" s="1"/>
  <c r="DG64" i="6"/>
  <c r="DI48" i="6"/>
  <c r="DM36" i="6"/>
  <c r="DE43" i="6"/>
  <c r="DM43" i="6"/>
  <c r="DG38" i="6"/>
  <c r="DE38" i="6"/>
  <c r="I12" i="7"/>
  <c r="DI60" i="6"/>
  <c r="DI51" i="6"/>
  <c r="DI40" i="6"/>
  <c r="DK65" i="6"/>
  <c r="DI59" i="6"/>
  <c r="DI69" i="6"/>
  <c r="DI65" i="6"/>
  <c r="H15" i="7"/>
  <c r="F17" i="8" s="1"/>
  <c r="I10" i="7"/>
  <c r="H60" i="7"/>
  <c r="H6" i="7"/>
  <c r="P6" i="7"/>
  <c r="B7" i="9" s="1"/>
  <c r="DM18" i="6"/>
  <c r="L7" i="9"/>
  <c r="E5" i="9"/>
  <c r="E7" i="9"/>
  <c r="E6" i="9"/>
  <c r="Y47" i="8"/>
  <c r="L14" i="9"/>
  <c r="L11" i="9"/>
  <c r="L10" i="9"/>
  <c r="L9" i="9"/>
  <c r="H14" i="9"/>
  <c r="H11" i="9"/>
  <c r="H10" i="9"/>
  <c r="H9" i="9"/>
  <c r="E9" i="9"/>
  <c r="E10" i="9"/>
  <c r="E14" i="9"/>
  <c r="E11" i="9"/>
  <c r="D5" i="9"/>
  <c r="D7" i="9"/>
  <c r="D6" i="9"/>
  <c r="H7" i="9"/>
  <c r="D11" i="9"/>
  <c r="D10" i="9"/>
  <c r="D14" i="9"/>
  <c r="D9" i="9"/>
  <c r="Y31" i="8"/>
  <c r="F11" i="9"/>
  <c r="F14" i="9"/>
  <c r="F10" i="9"/>
  <c r="F9" i="9"/>
  <c r="L5" i="9"/>
  <c r="F5" i="9"/>
  <c r="F6" i="9"/>
  <c r="F7" i="9"/>
  <c r="H5" i="9"/>
  <c r="L6" i="9"/>
  <c r="Y22" i="8"/>
  <c r="Y55" i="8"/>
  <c r="G14" i="9"/>
  <c r="G9" i="9"/>
  <c r="G11" i="9"/>
  <c r="G10" i="9"/>
  <c r="F111" i="8"/>
  <c r="F113" i="8" s="1"/>
  <c r="N14" i="9"/>
  <c r="B11" i="9"/>
  <c r="B10" i="9"/>
  <c r="B14" i="9"/>
  <c r="B9" i="9"/>
  <c r="B6" i="9"/>
  <c r="B5" i="9"/>
  <c r="BQ118" i="6"/>
  <c r="BR115" i="6"/>
  <c r="BQ113" i="6"/>
  <c r="BQ117" i="6"/>
  <c r="BS115" i="6"/>
  <c r="BT115" i="6"/>
  <c r="BQ119" i="6"/>
  <c r="BQ115" i="6"/>
  <c r="CE119" i="6"/>
  <c r="CG115" i="6"/>
  <c r="CE118" i="6"/>
  <c r="CH115" i="6"/>
  <c r="CE117" i="6"/>
  <c r="CE115" i="6"/>
  <c r="CF115" i="6"/>
  <c r="CE113" i="6"/>
  <c r="BX118" i="6"/>
  <c r="CA115" i="6"/>
  <c r="BX113" i="6"/>
  <c r="BX117" i="6"/>
  <c r="BX115" i="6"/>
  <c r="BY115" i="6"/>
  <c r="BX119" i="6"/>
  <c r="BZ115" i="6"/>
  <c r="DG57" i="6"/>
  <c r="H55" i="7"/>
  <c r="DI68" i="6"/>
  <c r="DI54" i="6"/>
  <c r="DI66" i="6"/>
  <c r="DI31" i="6"/>
  <c r="DE62" i="6"/>
  <c r="DI62" i="6"/>
  <c r="H66" i="7"/>
  <c r="H65" i="7"/>
  <c r="DG12" i="6"/>
  <c r="H9" i="7"/>
  <c r="DM13" i="6"/>
  <c r="G26" i="7"/>
  <c r="DM25" i="6"/>
  <c r="DG33" i="6"/>
  <c r="H30" i="7"/>
  <c r="G42" i="7"/>
  <c r="DK41" i="6"/>
  <c r="DG13" i="6"/>
  <c r="H10" i="7"/>
  <c r="DG11" i="6"/>
  <c r="H8" i="7"/>
  <c r="DG14" i="6"/>
  <c r="H11" i="7"/>
  <c r="DM12" i="6"/>
  <c r="DG17" i="6"/>
  <c r="H14" i="7"/>
  <c r="DM29" i="6"/>
  <c r="DK29" i="6"/>
  <c r="DG25" i="6"/>
  <c r="H22" i="7"/>
  <c r="DM37" i="6"/>
  <c r="DM33" i="6"/>
  <c r="DM45" i="6"/>
  <c r="DG41" i="6"/>
  <c r="H38" i="7"/>
  <c r="G46" i="7"/>
  <c r="G67" i="7"/>
  <c r="DG70" i="6"/>
  <c r="H67" i="7"/>
  <c r="DI55" i="6"/>
  <c r="G8" i="7"/>
  <c r="G6" i="7"/>
  <c r="DK13" i="6"/>
  <c r="DM10" i="6"/>
  <c r="DK21" i="6"/>
  <c r="DG37" i="6"/>
  <c r="H34" i="7"/>
  <c r="G30" i="7"/>
  <c r="G50" i="7"/>
  <c r="DG53" i="6"/>
  <c r="H50" i="7"/>
  <c r="DK49" i="6"/>
  <c r="DK70" i="6"/>
  <c r="DM67" i="6"/>
  <c r="DK68" i="6"/>
  <c r="DM66" i="6"/>
  <c r="DM47" i="6"/>
  <c r="DK61" i="6"/>
  <c r="DM22" i="6"/>
  <c r="DM19" i="6"/>
  <c r="DK50" i="6"/>
  <c r="DG59" i="6"/>
  <c r="H56" i="7"/>
  <c r="F58" i="8" s="1"/>
  <c r="DG28" i="6"/>
  <c r="H25" i="7"/>
  <c r="F27" i="8" s="1"/>
  <c r="Y25" i="8"/>
  <c r="DG35" i="6"/>
  <c r="H32" i="7"/>
  <c r="DK62" i="6"/>
  <c r="G11" i="7"/>
  <c r="G10" i="7"/>
  <c r="DK11" i="6"/>
  <c r="G18" i="7"/>
  <c r="G34" i="7"/>
  <c r="DK45" i="6"/>
  <c r="DM41" i="6"/>
  <c r="G7" i="7"/>
  <c r="G9" i="7"/>
  <c r="I6" i="7"/>
  <c r="DM11" i="6"/>
  <c r="DK14" i="6"/>
  <c r="DK12" i="6"/>
  <c r="DG21" i="6"/>
  <c r="H18" i="7"/>
  <c r="G14" i="7"/>
  <c r="DM17" i="6"/>
  <c r="G22" i="7"/>
  <c r="DK33" i="6"/>
  <c r="G38" i="7"/>
  <c r="F40" i="8" s="1"/>
  <c r="DM53" i="6"/>
  <c r="DG49" i="6"/>
  <c r="H46" i="7"/>
  <c r="DM49" i="6"/>
  <c r="DM63" i="6"/>
  <c r="DG10" i="6"/>
  <c r="DX10" i="6" s="1"/>
  <c r="H7" i="7"/>
  <c r="DK10" i="6"/>
  <c r="DM14" i="6"/>
  <c r="DM21" i="6"/>
  <c r="DK17" i="6"/>
  <c r="DG29" i="6"/>
  <c r="H26" i="7"/>
  <c r="DK25" i="6"/>
  <c r="DK37" i="6"/>
  <c r="DG45" i="6"/>
  <c r="H42" i="7"/>
  <c r="DK53" i="6"/>
  <c r="DK67" i="6"/>
  <c r="DG36" i="6"/>
  <c r="H33" i="7"/>
  <c r="F35" i="8" s="1"/>
  <c r="G13" i="7"/>
  <c r="F15" i="8" s="1"/>
  <c r="DE16" i="6"/>
  <c r="DK34" i="6"/>
  <c r="DG43" i="6"/>
  <c r="H40" i="7"/>
  <c r="DG44" i="6"/>
  <c r="H41" i="7"/>
  <c r="DK24" i="6"/>
  <c r="Y23" i="8"/>
  <c r="Y41" i="8"/>
  <c r="DG51" i="6"/>
  <c r="H48" i="7"/>
  <c r="DG52" i="6"/>
  <c r="H49" i="7"/>
  <c r="DK30" i="6"/>
  <c r="DG27" i="6"/>
  <c r="H24" i="7"/>
  <c r="F26" i="8" s="1"/>
  <c r="DG60" i="6"/>
  <c r="H57" i="7"/>
  <c r="Y56" i="8"/>
  <c r="G64" i="7"/>
  <c r="F66" i="8" s="1"/>
  <c r="DK39" i="6"/>
  <c r="DI41" i="6"/>
  <c r="DI49" i="6"/>
  <c r="DI67" i="6"/>
  <c r="DE70" i="6"/>
  <c r="DI10" i="6"/>
  <c r="DI11" i="6"/>
  <c r="DI12" i="6"/>
  <c r="DI17" i="6"/>
  <c r="DI29" i="6"/>
  <c r="DI13" i="6"/>
  <c r="DI21" i="6"/>
  <c r="DI37" i="6"/>
  <c r="DI33" i="6"/>
  <c r="DI45" i="6"/>
  <c r="DI53" i="6"/>
  <c r="DI70" i="6"/>
  <c r="DI14" i="6"/>
  <c r="DI25" i="6"/>
  <c r="R44" i="7"/>
  <c r="R60" i="7"/>
  <c r="R43" i="7"/>
  <c r="R59" i="7"/>
  <c r="R55" i="7"/>
  <c r="R67" i="7"/>
  <c r="R54" i="7"/>
  <c r="R62" i="7"/>
  <c r="DE14" i="6"/>
  <c r="DE13" i="6"/>
  <c r="DE10" i="6"/>
  <c r="R61" i="7"/>
  <c r="R63" i="7"/>
  <c r="R46" i="7"/>
  <c r="DE49" i="6"/>
  <c r="R52" i="7"/>
  <c r="DE53" i="6"/>
  <c r="R51" i="7"/>
  <c r="R47" i="7"/>
  <c r="R38" i="7"/>
  <c r="DE41" i="6"/>
  <c r="DE45" i="6"/>
  <c r="R45" i="7"/>
  <c r="R39" i="7"/>
  <c r="R36" i="7"/>
  <c r="R35" i="7"/>
  <c r="DE33" i="6"/>
  <c r="R30" i="7"/>
  <c r="DE37" i="6"/>
  <c r="R37" i="7"/>
  <c r="R31" i="7"/>
  <c r="R27" i="7"/>
  <c r="R19" i="7"/>
  <c r="R20" i="7"/>
  <c r="R22" i="7"/>
  <c r="DE25" i="6"/>
  <c r="R23" i="7"/>
  <c r="DE29" i="6"/>
  <c r="R28" i="7"/>
  <c r="R21" i="7"/>
  <c r="R15" i="7"/>
  <c r="DE21" i="6"/>
  <c r="R14" i="7"/>
  <c r="DE17" i="6"/>
  <c r="F113" i="6"/>
  <c r="DE12" i="6"/>
  <c r="DE11" i="6"/>
  <c r="E113" i="6"/>
  <c r="D113" i="6"/>
  <c r="S118" i="6"/>
  <c r="S117" i="6"/>
  <c r="V115" i="6"/>
  <c r="S119" i="6"/>
  <c r="S115" i="6"/>
  <c r="S113" i="6"/>
  <c r="T115" i="6"/>
  <c r="U115" i="6"/>
  <c r="AA117" i="6"/>
  <c r="AA115" i="6"/>
  <c r="AD115" i="6"/>
  <c r="AA113" i="6"/>
  <c r="AA119" i="6"/>
  <c r="AG115" i="6"/>
  <c r="AA118" i="6"/>
  <c r="AH115" i="6"/>
  <c r="DI9" i="6"/>
  <c r="M15" i="10" s="1"/>
  <c r="BL9" i="6"/>
  <c r="M26" i="10" s="1"/>
  <c r="AM117" i="6"/>
  <c r="AM115" i="6"/>
  <c r="AT115" i="6"/>
  <c r="AM113" i="6"/>
  <c r="AM119" i="6"/>
  <c r="AS115" i="6"/>
  <c r="AM118" i="6"/>
  <c r="AP115" i="6"/>
  <c r="DK9" i="6"/>
  <c r="M16" i="10" s="1"/>
  <c r="DE9" i="6"/>
  <c r="M13" i="10" s="1"/>
  <c r="L119" i="6"/>
  <c r="L113" i="6"/>
  <c r="L118" i="6"/>
  <c r="L115" i="6"/>
  <c r="N115" i="6"/>
  <c r="O115" i="6"/>
  <c r="L117" i="6"/>
  <c r="M115" i="6"/>
  <c r="AY117" i="6"/>
  <c r="AY115" i="6"/>
  <c r="BF115" i="6"/>
  <c r="AY113" i="6"/>
  <c r="AY119" i="6"/>
  <c r="BE115" i="6"/>
  <c r="AY118" i="6"/>
  <c r="BB115" i="6"/>
  <c r="DM9" i="6"/>
  <c r="M17" i="10" s="1"/>
  <c r="DG9" i="6"/>
  <c r="M14" i="10" s="1"/>
  <c r="R8" i="7"/>
  <c r="R7" i="7"/>
  <c r="R11" i="7"/>
  <c r="F64" i="8" l="1"/>
  <c r="F32" i="8"/>
  <c r="F45" i="8"/>
  <c r="Y45" i="8" s="1"/>
  <c r="F53" i="8"/>
  <c r="Y53" i="8" s="1"/>
  <c r="F63" i="8"/>
  <c r="Y63" i="8" s="1"/>
  <c r="F37" i="8"/>
  <c r="Y37" i="8" s="1"/>
  <c r="F54" i="8"/>
  <c r="Y54" i="8" s="1"/>
  <c r="F13" i="8"/>
  <c r="F12" i="8"/>
  <c r="Y12" i="8" s="1"/>
  <c r="F11" i="8"/>
  <c r="Y11" i="8" s="1"/>
  <c r="F36" i="8"/>
  <c r="Y36" i="8" s="1"/>
  <c r="F24" i="8"/>
  <c r="Y24" i="8" s="1"/>
  <c r="F9" i="8"/>
  <c r="Y9" i="8" s="1"/>
  <c r="F52" i="8"/>
  <c r="Y52" i="8" s="1"/>
  <c r="F44" i="8"/>
  <c r="Y44" i="8" s="1"/>
  <c r="F48" i="8"/>
  <c r="Y48" i="8" s="1"/>
  <c r="F61" i="8"/>
  <c r="Y61" i="8" s="1"/>
  <c r="F16" i="8"/>
  <c r="Y16" i="8" s="1"/>
  <c r="F57" i="8"/>
  <c r="Y57" i="8" s="1"/>
  <c r="F59" i="8"/>
  <c r="Y59" i="8" s="1"/>
  <c r="F67" i="8"/>
  <c r="Y67" i="8" s="1"/>
  <c r="F51" i="8"/>
  <c r="Y51" i="8" s="1"/>
  <c r="F42" i="8"/>
  <c r="Y42" i="8" s="1"/>
  <c r="F62" i="8"/>
  <c r="Y62" i="8" s="1"/>
  <c r="F14" i="8"/>
  <c r="Y14" i="8" s="1"/>
  <c r="Y26" i="8"/>
  <c r="F20" i="8"/>
  <c r="Y20" i="8" s="1"/>
  <c r="Y35" i="8"/>
  <c r="F8" i="8"/>
  <c r="Y8" i="8" s="1"/>
  <c r="Q22" i="10" s="1"/>
  <c r="F28" i="8"/>
  <c r="Y28" i="8" s="1"/>
  <c r="F50" i="8"/>
  <c r="Y50" i="8" s="1"/>
  <c r="F43" i="8"/>
  <c r="Y43" i="8" s="1"/>
  <c r="F38" i="8"/>
  <c r="Y38" i="8" s="1"/>
  <c r="F10" i="8"/>
  <c r="Y10" i="8" s="1"/>
  <c r="F69" i="8"/>
  <c r="Y69" i="8" s="1"/>
  <c r="F68" i="8"/>
  <c r="Y68" i="8" s="1"/>
  <c r="F49" i="8"/>
  <c r="Y49" i="8" s="1"/>
  <c r="F34" i="8"/>
  <c r="Y34" i="8" s="1"/>
  <c r="G7" i="9"/>
  <c r="N7" i="9" s="1"/>
  <c r="E58" i="8"/>
  <c r="G5" i="9"/>
  <c r="N5" i="9" s="1"/>
  <c r="I12" i="9"/>
  <c r="I13" i="9" s="1"/>
  <c r="Y17" i="8"/>
  <c r="M12" i="9"/>
  <c r="M13" i="9" s="1"/>
  <c r="E17" i="8"/>
  <c r="E14" i="8"/>
  <c r="Y46" i="8"/>
  <c r="E47" i="8"/>
  <c r="E25" i="8"/>
  <c r="G6" i="9"/>
  <c r="BY20" i="5"/>
  <c r="BM19" i="6"/>
  <c r="E19" i="8"/>
  <c r="E57" i="8"/>
  <c r="Y15" i="8"/>
  <c r="E61" i="8"/>
  <c r="Y39" i="8"/>
  <c r="E29" i="8"/>
  <c r="C8" i="9"/>
  <c r="C12" i="9" s="1"/>
  <c r="C13" i="9" s="1"/>
  <c r="E45" i="8"/>
  <c r="E23" i="8"/>
  <c r="Q13" i="10"/>
  <c r="Q18" i="10" s="1"/>
  <c r="E46" i="8"/>
  <c r="Y27" i="8"/>
  <c r="BU115" i="6"/>
  <c r="BQ116" i="6" s="1"/>
  <c r="E63" i="8"/>
  <c r="E27" i="8"/>
  <c r="N10" i="9"/>
  <c r="E56" i="8"/>
  <c r="Y58" i="8"/>
  <c r="E18" i="8"/>
  <c r="N11" i="9"/>
  <c r="N9" i="9"/>
  <c r="H8" i="9"/>
  <c r="H12" i="9" s="1"/>
  <c r="H13" i="9" s="1"/>
  <c r="E55" i="8"/>
  <c r="R6" i="7"/>
  <c r="K117" i="8"/>
  <c r="E43" i="8"/>
  <c r="E59" i="8"/>
  <c r="E35" i="8"/>
  <c r="E60" i="8"/>
  <c r="E62" i="8"/>
  <c r="E8" i="9"/>
  <c r="E12" i="9" s="1"/>
  <c r="E13" i="9" s="1"/>
  <c r="Y65" i="8"/>
  <c r="Y64" i="8"/>
  <c r="Y66" i="8"/>
  <c r="Y40" i="8"/>
  <c r="Y13" i="8"/>
  <c r="Y32" i="8"/>
  <c r="E42" i="8"/>
  <c r="E15" i="8"/>
  <c r="E38" i="8"/>
  <c r="L8" i="9"/>
  <c r="D8" i="9"/>
  <c r="D12" i="9" s="1"/>
  <c r="D13" i="9" s="1"/>
  <c r="E50" i="8"/>
  <c r="E51" i="8"/>
  <c r="E41" i="8"/>
  <c r="E31" i="8"/>
  <c r="E21" i="8"/>
  <c r="E33" i="8"/>
  <c r="E26" i="8"/>
  <c r="E22" i="8"/>
  <c r="F8" i="9"/>
  <c r="F12" i="9" s="1"/>
  <c r="F13" i="9" s="1"/>
  <c r="B8" i="9"/>
  <c r="E54" i="8"/>
  <c r="N118" i="7"/>
  <c r="E67" i="8"/>
  <c r="H116" i="7"/>
  <c r="H118" i="7"/>
  <c r="H117" i="7"/>
  <c r="N117" i="7"/>
  <c r="I117" i="7"/>
  <c r="I118" i="7"/>
  <c r="I115" i="7"/>
  <c r="I116" i="7"/>
  <c r="G116" i="7"/>
  <c r="G111" i="7"/>
  <c r="G117" i="7"/>
  <c r="G118" i="7"/>
  <c r="G115" i="7"/>
  <c r="CI115" i="6"/>
  <c r="CE116" i="6" s="1"/>
  <c r="N116" i="7"/>
  <c r="H111" i="7"/>
  <c r="H115" i="7"/>
  <c r="CB115" i="6"/>
  <c r="BX116" i="6" s="1"/>
  <c r="N115" i="7"/>
  <c r="H110" i="7"/>
  <c r="G109" i="7"/>
  <c r="G110" i="7"/>
  <c r="G112" i="7"/>
  <c r="H109" i="7"/>
  <c r="I110" i="7"/>
  <c r="I111" i="7"/>
  <c r="I112" i="7"/>
  <c r="I109" i="7"/>
  <c r="H112" i="7"/>
  <c r="E40" i="8"/>
  <c r="E53" i="8"/>
  <c r="E48" i="8"/>
  <c r="E11" i="8"/>
  <c r="E32" i="8"/>
  <c r="E9" i="8"/>
  <c r="E16" i="8"/>
  <c r="E20" i="8"/>
  <c r="E28" i="8"/>
  <c r="G113" i="6"/>
  <c r="W115" i="6"/>
  <c r="S116" i="6" s="1"/>
  <c r="P115" i="6"/>
  <c r="L116" i="6" s="1"/>
  <c r="AU115" i="6"/>
  <c r="AM116" i="6" s="1"/>
  <c r="BG115" i="6"/>
  <c r="AY116" i="6" s="1"/>
  <c r="AI115" i="6"/>
  <c r="AA116" i="6" s="1"/>
  <c r="E68" i="8" l="1"/>
  <c r="E65" i="8"/>
  <c r="E49" i="8"/>
  <c r="E37" i="8"/>
  <c r="E64" i="8"/>
  <c r="G8" i="9"/>
  <c r="G12" i="9" s="1"/>
  <c r="G13" i="9" s="1"/>
  <c r="E44" i="8"/>
  <c r="N6" i="9"/>
  <c r="E34" i="8"/>
  <c r="BY21" i="5"/>
  <c r="BM20" i="6"/>
  <c r="E69" i="8"/>
  <c r="P20" i="10"/>
  <c r="Q19" i="10" s="1"/>
  <c r="E39" i="8"/>
  <c r="E10" i="8"/>
  <c r="M19" i="10"/>
  <c r="E52" i="8"/>
  <c r="E36" i="8"/>
  <c r="L12" i="9"/>
  <c r="L13" i="9" s="1"/>
  <c r="E66" i="8"/>
  <c r="E30" i="8"/>
  <c r="E13" i="8"/>
  <c r="E12" i="8"/>
  <c r="E24" i="8"/>
  <c r="B12" i="9"/>
  <c r="E8" i="8"/>
  <c r="G116" i="6"/>
  <c r="F117" i="8" s="1"/>
  <c r="O117" i="8" s="1"/>
  <c r="F119" i="8"/>
  <c r="F115" i="8"/>
  <c r="F114" i="8"/>
  <c r="K119" i="8" s="1"/>
  <c r="K120" i="8" s="1"/>
  <c r="J109" i="7"/>
  <c r="K112" i="7"/>
  <c r="M116" i="7"/>
  <c r="M117" i="7"/>
  <c r="M118" i="7"/>
  <c r="M115" i="7"/>
  <c r="N113" i="7"/>
  <c r="J118" i="7"/>
  <c r="K117" i="7"/>
  <c r="J115" i="7"/>
  <c r="L117" i="7"/>
  <c r="L118" i="7"/>
  <c r="L115" i="7"/>
  <c r="L116" i="7"/>
  <c r="J117" i="7"/>
  <c r="K116" i="7"/>
  <c r="K118" i="7"/>
  <c r="K111" i="7"/>
  <c r="J116" i="7"/>
  <c r="K115" i="7"/>
  <c r="J112" i="7"/>
  <c r="I113" i="7"/>
  <c r="K110" i="7"/>
  <c r="J111" i="7"/>
  <c r="K109" i="7"/>
  <c r="J110" i="7"/>
  <c r="H113" i="7"/>
  <c r="G113" i="7"/>
  <c r="A113" i="6"/>
  <c r="N108" i="7" l="1"/>
  <c r="N114" i="7" s="1"/>
  <c r="N8" i="9"/>
  <c r="BY22" i="5"/>
  <c r="BM21" i="6"/>
  <c r="Q20" i="10"/>
  <c r="J113" i="7"/>
  <c r="B13" i="9"/>
  <c r="N12" i="9"/>
  <c r="A116" i="6"/>
  <c r="F118" i="8"/>
  <c r="O118" i="8" s="1"/>
  <c r="O119" i="8"/>
  <c r="L113" i="7"/>
  <c r="H108" i="7"/>
  <c r="H114" i="7" s="1"/>
  <c r="I108" i="7"/>
  <c r="I114" i="7" s="1"/>
  <c r="G108" i="7"/>
  <c r="G114" i="7" s="1"/>
  <c r="K113" i="7"/>
  <c r="M113" i="7"/>
  <c r="Q26" i="10" l="1"/>
  <c r="M18" i="10"/>
  <c r="M20" i="10" s="1"/>
  <c r="Q24" i="10" s="1"/>
  <c r="J108" i="7"/>
  <c r="J114" i="7" s="1"/>
  <c r="L108" i="7"/>
  <c r="L114" i="7" s="1"/>
  <c r="N13" i="9"/>
  <c r="BY23" i="5"/>
  <c r="BM22" i="6"/>
  <c r="F120" i="8"/>
  <c r="O120" i="8"/>
  <c r="M108" i="7"/>
  <c r="M114" i="7" s="1"/>
  <c r="K108" i="7"/>
  <c r="K114" i="7" s="1"/>
  <c r="BY24" i="5" l="1"/>
  <c r="BM23" i="6"/>
  <c r="BY25" i="5" l="1"/>
  <c r="BM24" i="6"/>
  <c r="BY26" i="5" l="1"/>
  <c r="BM25" i="6"/>
  <c r="BY27" i="5" l="1"/>
  <c r="BM26" i="6"/>
  <c r="BY28" i="5" l="1"/>
  <c r="BM27" i="6"/>
  <c r="BY29" i="5" l="1"/>
  <c r="BM28" i="6"/>
  <c r="BY30" i="5" l="1"/>
  <c r="BM29" i="6"/>
  <c r="BY31" i="5" l="1"/>
  <c r="BM30" i="6"/>
  <c r="BY32" i="5" l="1"/>
  <c r="BM31" i="6"/>
  <c r="BY33" i="5" l="1"/>
  <c r="BM32" i="6"/>
  <c r="BY34" i="5" l="1"/>
  <c r="BM33" i="6"/>
  <c r="BY35" i="5" l="1"/>
  <c r="BM34" i="6"/>
  <c r="BY36" i="5" l="1"/>
  <c r="BM35" i="6"/>
  <c r="BY37" i="5" l="1"/>
  <c r="BM36" i="6"/>
  <c r="BY38" i="5" l="1"/>
  <c r="BM37" i="6"/>
  <c r="BY39" i="5" l="1"/>
  <c r="BM38" i="6"/>
  <c r="BY40" i="5" l="1"/>
  <c r="BM39" i="6"/>
  <c r="BY41" i="5" l="1"/>
  <c r="BM40" i="6"/>
  <c r="BY42" i="5" l="1"/>
  <c r="BM41" i="6"/>
  <c r="BY43" i="5" l="1"/>
  <c r="BM42" i="6"/>
  <c r="BY44" i="5" l="1"/>
  <c r="BM43" i="6"/>
  <c r="BY45" i="5" l="1"/>
  <c r="BM44" i="6"/>
  <c r="BY46" i="5" l="1"/>
  <c r="BM45" i="6"/>
  <c r="BY47" i="5" l="1"/>
  <c r="BM46" i="6"/>
  <c r="BY48" i="5" l="1"/>
  <c r="BM47" i="6"/>
  <c r="BY49" i="5" l="1"/>
  <c r="BM48" i="6"/>
  <c r="BY50" i="5" l="1"/>
  <c r="BM49" i="6"/>
  <c r="BY51" i="5" l="1"/>
  <c r="BM50" i="6"/>
  <c r="BY52" i="5" l="1"/>
  <c r="BM51" i="6"/>
  <c r="BY53" i="5" l="1"/>
  <c r="BM52" i="6"/>
  <c r="BY54" i="5" l="1"/>
  <c r="BM53" i="6"/>
  <c r="BY55" i="5" l="1"/>
  <c r="BM54" i="6"/>
  <c r="BY56" i="5" l="1"/>
  <c r="BM55" i="6"/>
  <c r="BY57" i="5" l="1"/>
  <c r="BM56" i="6"/>
  <c r="BY58" i="5" l="1"/>
  <c r="BM57" i="6"/>
  <c r="BY59" i="5" l="1"/>
  <c r="BM58" i="6"/>
  <c r="BY60" i="5" l="1"/>
  <c r="BM59" i="6"/>
  <c r="BY61" i="5" l="1"/>
  <c r="BM60" i="6"/>
  <c r="BY62" i="5" l="1"/>
  <c r="BM61" i="6"/>
  <c r="BY63" i="5" l="1"/>
  <c r="BM62" i="6"/>
  <c r="BY64" i="5" l="1"/>
  <c r="BM63" i="6"/>
  <c r="BY65" i="5" l="1"/>
  <c r="BM64" i="6"/>
  <c r="BY66" i="5" l="1"/>
  <c r="BM65" i="6"/>
  <c r="BY67" i="5" l="1"/>
  <c r="BM66" i="6"/>
  <c r="BY68" i="5" l="1"/>
  <c r="BM67" i="6"/>
  <c r="BY69" i="5" l="1"/>
  <c r="BM68" i="6"/>
  <c r="BY70" i="5" l="1"/>
  <c r="BM69" i="6"/>
  <c r="BY71" i="5" l="1"/>
  <c r="BM70" i="6"/>
  <c r="BY72" i="5" l="1"/>
  <c r="BM71" i="6"/>
  <c r="BY73" i="5" l="1"/>
  <c r="BM72" i="6"/>
  <c r="BY74" i="5" l="1"/>
  <c r="BM73" i="6"/>
  <c r="BY75" i="5" l="1"/>
  <c r="BM74" i="6"/>
  <c r="BY76" i="5" l="1"/>
  <c r="BM75" i="6"/>
  <c r="BY77" i="5" l="1"/>
  <c r="BM76" i="6"/>
  <c r="BY78" i="5" l="1"/>
  <c r="BM77" i="6"/>
  <c r="BY79" i="5" l="1"/>
  <c r="BM78" i="6"/>
  <c r="BY80" i="5" l="1"/>
  <c r="BM79" i="6"/>
  <c r="BY81" i="5" l="1"/>
  <c r="BM80" i="6"/>
  <c r="BY82" i="5" l="1"/>
  <c r="BM81" i="6"/>
  <c r="BY83" i="5" l="1"/>
  <c r="BM82" i="6"/>
  <c r="BY84" i="5" l="1"/>
  <c r="BM83" i="6"/>
  <c r="BY85" i="5" l="1"/>
  <c r="BM84" i="6"/>
  <c r="BY86" i="5" l="1"/>
  <c r="BM85" i="6"/>
  <c r="BY87" i="5" l="1"/>
  <c r="BM86" i="6"/>
  <c r="BY88" i="5" l="1"/>
  <c r="BM87" i="6"/>
  <c r="BY89" i="5" l="1"/>
  <c r="BM88" i="6"/>
  <c r="BY90" i="5" l="1"/>
  <c r="BM89" i="6"/>
  <c r="BY91" i="5" l="1"/>
  <c r="BM90" i="6"/>
  <c r="BY92" i="5" l="1"/>
  <c r="BM91" i="6"/>
  <c r="BY93" i="5" l="1"/>
  <c r="BM92" i="6"/>
  <c r="BY94" i="5" l="1"/>
  <c r="BM93" i="6"/>
  <c r="BY95" i="5" l="1"/>
  <c r="BM94" i="6"/>
  <c r="BY96" i="5" l="1"/>
  <c r="BM95" i="6"/>
  <c r="BY97" i="5" l="1"/>
  <c r="BM96" i="6"/>
  <c r="BY98" i="5" l="1"/>
  <c r="BM97" i="6"/>
  <c r="BY99" i="5" l="1"/>
  <c r="BM98" i="6"/>
  <c r="BY100" i="5" l="1"/>
  <c r="BM99" i="6"/>
  <c r="BY101" i="5" l="1"/>
  <c r="BM100" i="6"/>
  <c r="BY102" i="5" l="1"/>
  <c r="BM101" i="6"/>
  <c r="BY103" i="5" l="1"/>
  <c r="BM102" i="6"/>
  <c r="BY104" i="5" l="1"/>
  <c r="BM103" i="6"/>
  <c r="BY105" i="5" l="1"/>
  <c r="BM104" i="6"/>
  <c r="BY106" i="5" l="1"/>
  <c r="BM105" i="6"/>
  <c r="BY107" i="5" l="1"/>
  <c r="BM106" i="6"/>
  <c r="BY108" i="5" l="1"/>
  <c r="BM107" i="6"/>
  <c r="BY109" i="5" l="1"/>
  <c r="BM109" i="6" s="1"/>
  <c r="BM108" i="6"/>
</calcChain>
</file>

<file path=xl/sharedStrings.xml><?xml version="1.0" encoding="utf-8"?>
<sst xmlns="http://schemas.openxmlformats.org/spreadsheetml/2006/main" count="11828" uniqueCount="3700">
  <si>
    <t>Government Senior Secondary School, Deograh (Rajsamand)</t>
  </si>
  <si>
    <t>DISE CODE-</t>
  </si>
  <si>
    <t>08140912304</t>
  </si>
  <si>
    <t>Class</t>
  </si>
  <si>
    <t>Session</t>
  </si>
  <si>
    <t>Date of Result</t>
  </si>
  <si>
    <t>Subject's Name-</t>
  </si>
  <si>
    <t>2021-22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</si>
  <si>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</si>
  <si>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</si>
  <si>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</si>
  <si>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</si>
  <si>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</si>
  <si>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</si>
  <si>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</si>
  <si>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</si>
  <si>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</si>
  <si>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</si>
  <si>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</si>
  <si>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</si>
  <si>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</si>
  <si>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</si>
  <si>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</si>
  <si>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</si>
  <si>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</si>
  <si>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</si>
  <si>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</si>
  <si>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</si>
  <si>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</si>
  <si>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</si>
  <si>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</si>
  <si>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</si>
  <si>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</si>
  <si>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</si>
  <si>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</si>
  <si>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</si>
  <si>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</si>
  <si>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</si>
  <si>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Aarav Bapana</t>
  </si>
  <si>
    <t>Pankaj Bapana</t>
  </si>
  <si>
    <t>Suman Bapana</t>
  </si>
  <si>
    <t>M</t>
  </si>
  <si>
    <t>GEN</t>
  </si>
  <si>
    <t>Hindu</t>
  </si>
  <si>
    <t>GOVT. SENIOR SECONDARY SCHOOL DEOGARH (222753)</t>
  </si>
  <si>
    <t>KOTWALI CHABUTARA,DEOGARH,DEOGARH,313331</t>
  </si>
  <si>
    <t>N</t>
  </si>
  <si>
    <t>No</t>
  </si>
  <si>
    <t>None</t>
  </si>
  <si>
    <t>Almira Dayer</t>
  </si>
  <si>
    <t>Dildar Mohammed</t>
  </si>
  <si>
    <t>Sayana</t>
  </si>
  <si>
    <t>F</t>
  </si>
  <si>
    <t>OBC</t>
  </si>
  <si>
    <t>Muslim</t>
  </si>
  <si>
    <t>XXXX1851</t>
  </si>
  <si>
    <t>BEHIND GSSS DEOGARH,DEOGARH,DEOGARH,313331</t>
  </si>
  <si>
    <t>Yes</t>
  </si>
  <si>
    <t>Divyansh Puri Goswami</t>
  </si>
  <si>
    <t>Jaswant Puri Goswami</t>
  </si>
  <si>
    <t>Nutan Goswami</t>
  </si>
  <si>
    <t>WARD NO 23,DEOGARH,DEOGARH,313331</t>
  </si>
  <si>
    <t>Garima Tailor</t>
  </si>
  <si>
    <t>Devi Lal</t>
  </si>
  <si>
    <t>Meera Tailor</t>
  </si>
  <si>
    <t>NARAYAN JI KA ,MOHALLA,DEOGARH,SUTHARON KI GALI,313331</t>
  </si>
  <si>
    <t>Gourav Kumar Suthar</t>
  </si>
  <si>
    <t>Dhanraj Suthar</t>
  </si>
  <si>
    <t>Sumitra Suthar</t>
  </si>
  <si>
    <t>SHAKTI NAGAR,DEOGARH,DEOGARH,313331</t>
  </si>
  <si>
    <t>Najmin Bano</t>
  </si>
  <si>
    <t>Sadik Mohammad Luhar</t>
  </si>
  <si>
    <t>Najma Bano</t>
  </si>
  <si>
    <t>XXXX6242</t>
  </si>
  <si>
    <t>BAJRANG BATTRY KE PASS ,DEOGARH,DEOGARH,313331</t>
  </si>
  <si>
    <t>Nisha Regar</t>
  </si>
  <si>
    <t>Ramlal Regar</t>
  </si>
  <si>
    <t>Shanta Regar</t>
  </si>
  <si>
    <t>SC</t>
  </si>
  <si>
    <t>XXXX2319</t>
  </si>
  <si>
    <t>SOLANKI DARWAJA KE ANDER,DEOGARH,DEOGARH,313331</t>
  </si>
  <si>
    <t>Pankaj Mali</t>
  </si>
  <si>
    <t>Mukesh Mali</t>
  </si>
  <si>
    <t>Rekha Mali</t>
  </si>
  <si>
    <t>XXXX7869</t>
  </si>
  <si>
    <t>BRAHMCHARYA AASHRAM KE PASS,DEOGARH,DEOGARH,313331</t>
  </si>
  <si>
    <t>Prahlad</t>
  </si>
  <si>
    <t>Shanti Lal</t>
  </si>
  <si>
    <t>Leela Devi</t>
  </si>
  <si>
    <t>XXXX1066</t>
  </si>
  <si>
    <t>BEHIND BRAHMCHARYA AASHRAM,DEOGARH,SHAKTI NAGAR DEOGARH,313331</t>
  </si>
  <si>
    <t>Pratyaksha Paliwal</t>
  </si>
  <si>
    <t>Vishvesh Paliwal</t>
  </si>
  <si>
    <t>Pooja Bagora</t>
  </si>
  <si>
    <t>XXXX4107</t>
  </si>
  <si>
    <t>BAPU NAGAR PARK KE PASS,DEOGARH,DEOGARH,313341</t>
  </si>
  <si>
    <t>Tamanna Banu</t>
  </si>
  <si>
    <t>Sajjad</t>
  </si>
  <si>
    <t>Aklimunnusha</t>
  </si>
  <si>
    <t>XXXX4544</t>
  </si>
  <si>
    <t>NAYA DARWAJA ,DEOGARH,DEOGARH,313331</t>
  </si>
  <si>
    <t>Vijay Kumar Mali</t>
  </si>
  <si>
    <t>Vanna Lal Mali</t>
  </si>
  <si>
    <t>Manju Devi</t>
  </si>
  <si>
    <t>SHAKTI NAGAR WARD NO 24,DEOGARH,DEOGARH,313331</t>
  </si>
  <si>
    <t>Vishal Mali</t>
  </si>
  <si>
    <t>Radheshyam Mali</t>
  </si>
  <si>
    <t>Vardi Mali</t>
  </si>
  <si>
    <t>XXXX6236</t>
  </si>
  <si>
    <t>Yuvan Mali</t>
  </si>
  <si>
    <t>Mahendra Mali</t>
  </si>
  <si>
    <t>Neelam</t>
  </si>
  <si>
    <t>VZBKSPT</t>
  </si>
  <si>
    <t>PASHU CHIKISTALYA KE SAMNE WARD NO 24,DEOGARH,DEOGARH,313331</t>
  </si>
  <si>
    <t>Anil Mali</t>
  </si>
  <si>
    <t>Ganpat Lal Mali</t>
  </si>
  <si>
    <t>Santu Devi Mali</t>
  </si>
  <si>
    <t>XXXX0482</t>
  </si>
  <si>
    <t>NARANIYA MAHADEV ROAD,DEOGARH,DEOGARH,313331</t>
  </si>
  <si>
    <t>Bhupendra Mali</t>
  </si>
  <si>
    <t>Ladu Lal Mali</t>
  </si>
  <si>
    <t>Seema Mali</t>
  </si>
  <si>
    <t>Chandraprakash Mali</t>
  </si>
  <si>
    <t>Vinod Kumar Mali</t>
  </si>
  <si>
    <t>Mamta</t>
  </si>
  <si>
    <t>SHAKTI NAGAR WARD NO 20,DEOGARH,DEOGARH,313331</t>
  </si>
  <si>
    <t>Divya</t>
  </si>
  <si>
    <t>Roshan Lal</t>
  </si>
  <si>
    <t>Pushpa</t>
  </si>
  <si>
    <t>XXXX8617</t>
  </si>
  <si>
    <t>BEHIND BRAHMCHARYA AASHRAM ,DEOGARH,DEOGARH,313331</t>
  </si>
  <si>
    <t>Harsh Mali</t>
  </si>
  <si>
    <t>Kanhaiya Lal Mali</t>
  </si>
  <si>
    <t>Sushila Devi</t>
  </si>
  <si>
    <t>XXXX2518</t>
  </si>
  <si>
    <t>YBSSSOO</t>
  </si>
  <si>
    <t>WARD NO 20 DEOGARH,DEOGARH,DEOGARH,313331</t>
  </si>
  <si>
    <t>Harshita</t>
  </si>
  <si>
    <t>Panna Lal Suthar</t>
  </si>
  <si>
    <t>Meena Devi</t>
  </si>
  <si>
    <t>XXXX8310</t>
  </si>
  <si>
    <t>SUTHARO KI GALI NARAYAN JI KA MOHALLA,DEOGARH,DEOGARH,313331</t>
  </si>
  <si>
    <t>Irshad</t>
  </si>
  <si>
    <t>Tahir Mohammad</t>
  </si>
  <si>
    <t>Sma Banu Shekh</t>
  </si>
  <si>
    <t>XXXX1857</t>
  </si>
  <si>
    <t>SHEIKHO KA MOHALLA,DEOGARH,DEOGARH,313331</t>
  </si>
  <si>
    <t>Kamal Mali</t>
  </si>
  <si>
    <t>Kalu Lal Mali</t>
  </si>
  <si>
    <t>Sushila Devi Mali</t>
  </si>
  <si>
    <t>XXXX2845</t>
  </si>
  <si>
    <t>VBRVXSV</t>
  </si>
  <si>
    <t>BHARMACHARYA AASHRAM KE PASS,DEOGARH,DEOGARH,313331</t>
  </si>
  <si>
    <t>Jagdish Mali</t>
  </si>
  <si>
    <t>Sona Mali</t>
  </si>
  <si>
    <t>XXXX7845</t>
  </si>
  <si>
    <t>KHADI BHANDAR KE PICHE WARD NO 20,DEOGARH,DEOGARH,313331</t>
  </si>
  <si>
    <t>Pankaj Regar</t>
  </si>
  <si>
    <t>Laxman Lal Regar</t>
  </si>
  <si>
    <t>Kamla Devi</t>
  </si>
  <si>
    <t>XXXX2753</t>
  </si>
  <si>
    <t>WARD NO 10 REGAR MOHALLA,DEOGARH,DEOGARH,313331</t>
  </si>
  <si>
    <t>Piyush Sen</t>
  </si>
  <si>
    <t>Mahendra Kumar Sen</t>
  </si>
  <si>
    <t>Bhagwati Devi</t>
  </si>
  <si>
    <t>XXXX6992</t>
  </si>
  <si>
    <t>YBQDIAO</t>
  </si>
  <si>
    <t>Pooja Mali</t>
  </si>
  <si>
    <t>Babu Lal Mali</t>
  </si>
  <si>
    <t>Lali</t>
  </si>
  <si>
    <t>SURAJ DARWAJA BUS STAND,DEOGARH,DEOGARH,313331</t>
  </si>
  <si>
    <t>Purnima Mali</t>
  </si>
  <si>
    <t>Sunil Mali</t>
  </si>
  <si>
    <t>XXXX6645</t>
  </si>
  <si>
    <t>BAPU NAGAR,DEOGARH,DEOGARH,313331</t>
  </si>
  <si>
    <t>Radhika Mali</t>
  </si>
  <si>
    <t>Reshma</t>
  </si>
  <si>
    <t>Sidarth Kumar Sen</t>
  </si>
  <si>
    <t>Pradeep Kumar Sen</t>
  </si>
  <si>
    <t>Pooja Devi</t>
  </si>
  <si>
    <t>XXXX7636</t>
  </si>
  <si>
    <t>NAIYON KI GALI WARD NO 16,DEOGARH,KOTWALI CHABUTARA DEOGARH,313331</t>
  </si>
  <si>
    <t>Siddhi Sen</t>
  </si>
  <si>
    <t>Prahalad Sen</t>
  </si>
  <si>
    <t>Meetu Sen</t>
  </si>
  <si>
    <t>XXXX2187</t>
  </si>
  <si>
    <t>NAYION KA MOHALLA WARD NO 16,DEOGARH,DEOGARH,313331</t>
  </si>
  <si>
    <t>Tarun Jalliya</t>
  </si>
  <si>
    <t>Mahendra Kumar Regar</t>
  </si>
  <si>
    <t>Manju</t>
  </si>
  <si>
    <t>XXXX3514</t>
  </si>
  <si>
    <t>Bhawna Mali</t>
  </si>
  <si>
    <t>XXXX8706</t>
  </si>
  <si>
    <t>VZPBHUJ</t>
  </si>
  <si>
    <t>NARANIYA MAHADEV ROAD WARD NO 20,DEOGARH,DEOGARH,313331</t>
  </si>
  <si>
    <t>Bhumika Mali</t>
  </si>
  <si>
    <t>Ramesh Chandra Mali</t>
  </si>
  <si>
    <t>Sushila</t>
  </si>
  <si>
    <t>XXXX1576</t>
  </si>
  <si>
    <t>BAAISGG</t>
  </si>
  <si>
    <t>Lahri Lal Mali</t>
  </si>
  <si>
    <t>XXXX1441</t>
  </si>
  <si>
    <t>SUKHWAL STONE KE PICHE WARD NO 20,DEOGARH,DEOGARH,313331</t>
  </si>
  <si>
    <t>Deepak Mali</t>
  </si>
  <si>
    <t>Vinod Mali</t>
  </si>
  <si>
    <t>Chandrika Mali</t>
  </si>
  <si>
    <t>XXXX2982</t>
  </si>
  <si>
    <t>BAPU NAGAR ,DEOGARH,DEOGARH,313331</t>
  </si>
  <si>
    <t>DIMPLE MALI</t>
  </si>
  <si>
    <t>GANPAT LAL</t>
  </si>
  <si>
    <t>SANTOSH DEVI</t>
  </si>
  <si>
    <t>XXXX5673</t>
  </si>
  <si>
    <t>KARANI MATA DEOGARH,DEOGARH,DEOGARH,313331</t>
  </si>
  <si>
    <t>Dungar Mali</t>
  </si>
  <si>
    <t>Omprakash Mali</t>
  </si>
  <si>
    <t>Basanti Devi</t>
  </si>
  <si>
    <t>XXXX4163</t>
  </si>
  <si>
    <t>YFBKWEG</t>
  </si>
  <si>
    <t>NARANIYA MAHADEV MANDIR ROAD,DEOGARH,DEOGARH,31331</t>
  </si>
  <si>
    <t>Jyoti Sen</t>
  </si>
  <si>
    <t>Ganpat Lal Sen</t>
  </si>
  <si>
    <t>XXXX8365</t>
  </si>
  <si>
    <t>NARANIYON KA MOHALLA WARD NO 15,DEOGARH,DEOGARH,313331</t>
  </si>
  <si>
    <t>KHUSHI MALI</t>
  </si>
  <si>
    <t>KAILASH CHANDRA</t>
  </si>
  <si>
    <t>MEENA KUMARI</t>
  </si>
  <si>
    <t>XXXX8531</t>
  </si>
  <si>
    <t>BHARMCHARIYA AASHRAM DEOGARH,DEOGARH,DEOGARH,313331</t>
  </si>
  <si>
    <t>KIRAN KUMARI</t>
  </si>
  <si>
    <t>Late</t>
  </si>
  <si>
    <t>VIJAY SINGH</t>
  </si>
  <si>
    <t>SHANTA DEVI</t>
  </si>
  <si>
    <t>XXXX4467</t>
  </si>
  <si>
    <t>MALIYON KA MOHALLA,DEOGARH,DEOGARH,313331</t>
  </si>
  <si>
    <t>Lakhan Lohar</t>
  </si>
  <si>
    <t>Suresh Lohar</t>
  </si>
  <si>
    <t>Maya Devi</t>
  </si>
  <si>
    <t>XXXX5246</t>
  </si>
  <si>
    <t>BCCWYQO</t>
  </si>
  <si>
    <t>MALIYO KA MOHALLA,DEOGARH,DEOGARH,313331</t>
  </si>
  <si>
    <t>Y</t>
  </si>
  <si>
    <t>Minakshi Mali</t>
  </si>
  <si>
    <t>Kailash Chandra Mali</t>
  </si>
  <si>
    <t>Tamu Devi</t>
  </si>
  <si>
    <t>XXXX4955</t>
  </si>
  <si>
    <t>VBRXNHR</t>
  </si>
  <si>
    <t>Mohd Ashzad Raza</t>
  </si>
  <si>
    <t>Jamshed</t>
  </si>
  <si>
    <t>Rukhsar Vano</t>
  </si>
  <si>
    <t>XXXX8902</t>
  </si>
  <si>
    <t>MASJID DEOGARH,DEOGARH,DEOGARH,313331</t>
  </si>
  <si>
    <t>Mukesh Regar</t>
  </si>
  <si>
    <t>Naina Lal</t>
  </si>
  <si>
    <t>Kanchan Devi</t>
  </si>
  <si>
    <t>XXXX0893</t>
  </si>
  <si>
    <t>SOLANKI DARWAJA KE BAHAR,DEOGARH,DEOGARH,313331</t>
  </si>
  <si>
    <t>Nilesh Mali</t>
  </si>
  <si>
    <t>XXXX2547</t>
  </si>
  <si>
    <t>Prahlad Mali</t>
  </si>
  <si>
    <t>Shanti Lal Mali</t>
  </si>
  <si>
    <t>MALIYO KA NOHRA,DEOGARH,DEOGARH,313331</t>
  </si>
  <si>
    <t>Priyanka Solanki</t>
  </si>
  <si>
    <t>Kanti Lal Solanki</t>
  </si>
  <si>
    <t>Prem Devi</t>
  </si>
  <si>
    <t>XXXX6154</t>
  </si>
  <si>
    <t>INSIDE SOLANKI GATE,DEOGARH,DEOGARH,313331</t>
  </si>
  <si>
    <t>Viraj Sen</t>
  </si>
  <si>
    <t>Mukesh Sen</t>
  </si>
  <si>
    <t>Anita Sen</t>
  </si>
  <si>
    <t>XXXX3522</t>
  </si>
  <si>
    <t>NAYION KI GALI WARD NO 16,DEOGARH,KOTWALI CHABUTARA DEOGARH,313331</t>
  </si>
  <si>
    <t>XXXX0434</t>
  </si>
  <si>
    <t>Yashwant Kumar Vaishnav</t>
  </si>
  <si>
    <t>Vinod Kumar Vaishnav</t>
  </si>
  <si>
    <t>Sumitra Devi</t>
  </si>
  <si>
    <t>XXXX3792</t>
  </si>
  <si>
    <t>VSJHRVJ</t>
  </si>
  <si>
    <t>NAYA MEJA,MANDAL,MEJJA,311140</t>
  </si>
  <si>
    <t>Bharath Mali</t>
  </si>
  <si>
    <t>YBRVXSV</t>
  </si>
  <si>
    <t>Isika Sen</t>
  </si>
  <si>
    <t>Narendra Kumar Sen</t>
  </si>
  <si>
    <t>Mamta Sen</t>
  </si>
  <si>
    <t>SHAKTI NAGAR DEOGARH,DEOGARH,DEOGARH,313331</t>
  </si>
  <si>
    <t>JANVI KUMARI</t>
  </si>
  <si>
    <t>ARJUN SINGH RAWAT</t>
  </si>
  <si>
    <t>KAMLA DEVI</t>
  </si>
  <si>
    <t>XXXX9805</t>
  </si>
  <si>
    <t>JALPA POST-KUKADA,SWADARI,JALPA TOGI,313331</t>
  </si>
  <si>
    <t>JEEVIKA MALI</t>
  </si>
  <si>
    <t>AMBA LAL MALI</t>
  </si>
  <si>
    <t>KESHAR DEVI</t>
  </si>
  <si>
    <t>MELA GAROUND WARD NO 20 DEOGARH,DEOGARH,DEOGARH,313331</t>
  </si>
  <si>
    <t>KHUSHWANT PRAJAPAT</t>
  </si>
  <si>
    <t>LAXMAN LAL PRAJAPAT</t>
  </si>
  <si>
    <t>RATAN DEVI</t>
  </si>
  <si>
    <t>XXXX0162</t>
  </si>
  <si>
    <t>WARD NO 6 SURAJ DARWAJA DESHANTRIYON KA MOHALLA,DEOGARH,DEOGARH,313331</t>
  </si>
  <si>
    <t>Komal</t>
  </si>
  <si>
    <t>Devi Lal Mali</t>
  </si>
  <si>
    <t>Eji Devi</t>
  </si>
  <si>
    <t>XXXX4048</t>
  </si>
  <si>
    <t>YBSKKEB</t>
  </si>
  <si>
    <t>WARD NO 20 BEHIND BRAHMCHARYA AASHRAM,DEOGARH,DEOGARH,313331</t>
  </si>
  <si>
    <t>LALITA LOHAR</t>
  </si>
  <si>
    <t>SURESH LOHAR</t>
  </si>
  <si>
    <t>MAYA DEVI</t>
  </si>
  <si>
    <t>XXXX6836</t>
  </si>
  <si>
    <t>MALIYO KA MOHALLA DEOGARH,DEOGARH,DEOGARH,313331</t>
  </si>
  <si>
    <t>LOKENDR PAL SINGH</t>
  </si>
  <si>
    <t>LAL SINGH</t>
  </si>
  <si>
    <t>HEMLATA DEVI</t>
  </si>
  <si>
    <t>XXXX1502</t>
  </si>
  <si>
    <t>VXOORHR</t>
  </si>
  <si>
    <t>Dholi magri,Bhim,Adawala,305921</t>
  </si>
  <si>
    <t>Mamta Mali</t>
  </si>
  <si>
    <t>Shantilal Mali</t>
  </si>
  <si>
    <t>Manisha Mali</t>
  </si>
  <si>
    <t>Dinesh Mali</t>
  </si>
  <si>
    <t>Rekha Devi</t>
  </si>
  <si>
    <t>XXXX1373</t>
  </si>
  <si>
    <t>NAYA DARWAJA WARD NO 20,DEOGARH,DEOGARH,313331</t>
  </si>
  <si>
    <t>NARGIS BANU</t>
  </si>
  <si>
    <t>NIYAAZ MOHAMMAD</t>
  </si>
  <si>
    <t>FARZANA BANU</t>
  </si>
  <si>
    <t>XXXX4386</t>
  </si>
  <si>
    <t>SIPAHIYON KA MOHALLA,DEOGARH,DEOGARH,313331</t>
  </si>
  <si>
    <t>Pooja</t>
  </si>
  <si>
    <t>Lahri Lal</t>
  </si>
  <si>
    <t>XXXX6889</t>
  </si>
  <si>
    <t>SUKHWAL STONE KE PICHE WARD NO 20 ,DEOGARH,DEOGARH,313331</t>
  </si>
  <si>
    <t>Praveen Mali</t>
  </si>
  <si>
    <t>Roshan Lal Mali</t>
  </si>
  <si>
    <t>XXXX5520</t>
  </si>
  <si>
    <t>DEOGARH,DEOGARH,DEOGARH,313331</t>
  </si>
  <si>
    <t>Shibjeet Sarakar</t>
  </si>
  <si>
    <t>Prabhas Sarakar</t>
  </si>
  <si>
    <t>Fulmala</t>
  </si>
  <si>
    <t>HOLI KA THAN,DEOGARH,KUNDELI,313331</t>
  </si>
  <si>
    <t>Shrvan Kumar Sen</t>
  </si>
  <si>
    <t>XXXX4886</t>
  </si>
  <si>
    <t>Tanisha Mali</t>
  </si>
  <si>
    <t>Basanti</t>
  </si>
  <si>
    <t>XXXX5821</t>
  </si>
  <si>
    <t>Vijendra Mali</t>
  </si>
  <si>
    <t>NEAR BRAHMCHARYA AASHRAM,DEOGARH,DEOGARH,313331</t>
  </si>
  <si>
    <t>Virat Mali</t>
  </si>
  <si>
    <t>XXXX2062</t>
  </si>
  <si>
    <t>AARUSHI MALI</t>
  </si>
  <si>
    <t>KAILASH CHANDRA MALI</t>
  </si>
  <si>
    <t>TAMU BAI</t>
  </si>
  <si>
    <t>XXXX2098</t>
  </si>
  <si>
    <t>BHARMCHARIY AASHRAM KE PASS WARD NO 20 DEOGARH,DEOGARH,DEOGARH,313331</t>
  </si>
  <si>
    <t>Bhavesh Kumar Sen</t>
  </si>
  <si>
    <t>Mukesh Kumar Sen</t>
  </si>
  <si>
    <t>XXXX5524</t>
  </si>
  <si>
    <t>BHAVESH LOHAR</t>
  </si>
  <si>
    <t>GOVIND LAL LOHAR</t>
  </si>
  <si>
    <t>MEENA DEVI</t>
  </si>
  <si>
    <t>XXXX5744</t>
  </si>
  <si>
    <t>YBMYEFO</t>
  </si>
  <si>
    <t>SURAJ DARWAJA WARD NO 6,DEOGARH,DEOGARH,313331</t>
  </si>
  <si>
    <t>BHAVESH MALI</t>
  </si>
  <si>
    <t>KAILASH MALI</t>
  </si>
  <si>
    <t>PUSHPA MALI</t>
  </si>
  <si>
    <t>XXXX1095</t>
  </si>
  <si>
    <t>NEAR KHADI BHANDAR, SHAKTI NAGAR,DEVGARH,DEVGARH,313331</t>
  </si>
  <si>
    <t>BHANWAR LAL MALI</t>
  </si>
  <si>
    <t>MANJU MALI</t>
  </si>
  <si>
    <t>XXXX7422</t>
  </si>
  <si>
    <t>VBCTPKX</t>
  </si>
  <si>
    <t>SURAJ DARWAJA,DEOGARH,DEOGARH,313331</t>
  </si>
  <si>
    <t>BHAWESH PRAJAPAT</t>
  </si>
  <si>
    <t>LAXMAN LAL</t>
  </si>
  <si>
    <t>XXXX4984</t>
  </si>
  <si>
    <t>YYVAWIK</t>
  </si>
  <si>
    <t>SURAJ DARWAJA DAKOTA KA MOHALLA ,DEOGARH,DEOGARH,313331</t>
  </si>
  <si>
    <t>CHETANA TAILOR</t>
  </si>
  <si>
    <t>DEVI LAL</t>
  </si>
  <si>
    <t>MEERA DEVI</t>
  </si>
  <si>
    <t>vbcsnpv</t>
  </si>
  <si>
    <t>NARAYAN JI KA MOHALLA DEOGARH,DEOGARH,DEOGARH,313331</t>
  </si>
  <si>
    <t>Kanhaiya Sukhwal</t>
  </si>
  <si>
    <t>Satya Narayan Sukhwal</t>
  </si>
  <si>
    <t>XXXX2191</t>
  </si>
  <si>
    <t>hospital road bapu nagar ,DEOGARH,DEOGARH,313331</t>
  </si>
  <si>
    <t>Kavyansh Singh Panvar</t>
  </si>
  <si>
    <t>Karan Singh</t>
  </si>
  <si>
    <t>Tara Panvar</t>
  </si>
  <si>
    <t>XXXX7632</t>
  </si>
  <si>
    <t>MALIYON KA MOHALLA ,DEOGARH,DEOGARH,313331</t>
  </si>
  <si>
    <t>Khushal Prajapat</t>
  </si>
  <si>
    <t>Dinesh Prajapat</t>
  </si>
  <si>
    <t>Manju Prajapat</t>
  </si>
  <si>
    <t>XXXX6227</t>
  </si>
  <si>
    <t>ward no.06 deshantariyo ka mohalla,deogarh,,313331</t>
  </si>
  <si>
    <t>KHUSHI LOHAR</t>
  </si>
  <si>
    <t>BHAWER LAL</t>
  </si>
  <si>
    <t>XXXX2156</t>
  </si>
  <si>
    <t>vbnpcrv</t>
  </si>
  <si>
    <t>KRISHNA KUMARI</t>
  </si>
  <si>
    <t>XXXX7858</t>
  </si>
  <si>
    <t>Krishna Suthar</t>
  </si>
  <si>
    <t>Om Prakash Suthar</t>
  </si>
  <si>
    <t>XXXX9114</t>
  </si>
  <si>
    <t>YFDIDWO</t>
  </si>
  <si>
    <t>SURAJ DARWAJA BAHAR BHILWARA ROAD,DEOGARH,DEOGARH,313331</t>
  </si>
  <si>
    <t>Luckky Prajapat</t>
  </si>
  <si>
    <t>Shesh Mal Prajapat</t>
  </si>
  <si>
    <t>Rekha</t>
  </si>
  <si>
    <t>XXXX9751</t>
  </si>
  <si>
    <t>SURAJ DARWAJA WARD NO 23,DEOGARH,DEOGARH,313331</t>
  </si>
  <si>
    <t>Mayank Sen</t>
  </si>
  <si>
    <t>Lalit Kumar Sen</t>
  </si>
  <si>
    <t>Indubala Sen</t>
  </si>
  <si>
    <t>XXXX4147</t>
  </si>
  <si>
    <t>NAIYON KA MOHALLA WARD NO 16,DEOGARH,DEOGARH,313331</t>
  </si>
  <si>
    <t>Niharika</t>
  </si>
  <si>
    <t>Kishan Lal</t>
  </si>
  <si>
    <t>Asha</t>
  </si>
  <si>
    <t>SURAJ DARWAJA ,DEOGARH,DEOGARH,313331</t>
  </si>
  <si>
    <t>NIRMA MALI</t>
  </si>
  <si>
    <t>KANARAM MALI</t>
  </si>
  <si>
    <t>SANTOKI BAI</t>
  </si>
  <si>
    <t>XXXX9700</t>
  </si>
  <si>
    <t>YDYYEIO</t>
  </si>
  <si>
    <t>SHAKTI NAGAR ,DEOGARH,DEOGARH,313331</t>
  </si>
  <si>
    <t>Pooja Lohar</t>
  </si>
  <si>
    <t>Sohan Lal Lohar</t>
  </si>
  <si>
    <t>Sukhi Devi</t>
  </si>
  <si>
    <t>XXXX3976</t>
  </si>
  <si>
    <t>VPXVZJP</t>
  </si>
  <si>
    <t>NAYA DARWAJA,DEOGARH,DEOGARH,313331</t>
  </si>
  <si>
    <t>POONAM MALI</t>
  </si>
  <si>
    <t>RAMESH MALI</t>
  </si>
  <si>
    <t>ANACHHI BAI</t>
  </si>
  <si>
    <t>Praveen Prajapat</t>
  </si>
  <si>
    <t>Ashok Prajapat</t>
  </si>
  <si>
    <t>XXXX7116</t>
  </si>
  <si>
    <t>SANJANA MALI</t>
  </si>
  <si>
    <t>XXXX2487</t>
  </si>
  <si>
    <t>Vijay Mali</t>
  </si>
  <si>
    <t>Radhey Shyam Mali</t>
  </si>
  <si>
    <t>Yashshree</t>
  </si>
  <si>
    <t>Pannalal</t>
  </si>
  <si>
    <t>XXXX9510</t>
  </si>
  <si>
    <t>AFREEN BANU</t>
  </si>
  <si>
    <t>XXXX1805</t>
  </si>
  <si>
    <t>APSARA BANU</t>
  </si>
  <si>
    <t>TAHIR MOHAMMAD</t>
  </si>
  <si>
    <t>SHAMA BANU</t>
  </si>
  <si>
    <t>XXXX2573</t>
  </si>
  <si>
    <t>VWVSGWH</t>
  </si>
  <si>
    <t>VEDWARI DARWAJA DEOGARH,DEOGARH,DEOGARH,313331</t>
  </si>
  <si>
    <t>BANTI SINGH</t>
  </si>
  <si>
    <t>MOTI SINGH</t>
  </si>
  <si>
    <t>XXXX0054</t>
  </si>
  <si>
    <t>YOIAGAW</t>
  </si>
  <si>
    <t>KITO KA BADIYA,DEOGARH,KITO KA BADIYA,313331</t>
  </si>
  <si>
    <t>BHAGYAWATI MALI</t>
  </si>
  <si>
    <t>DHARMESH LOHAR</t>
  </si>
  <si>
    <t>BHANWAR LAL</t>
  </si>
  <si>
    <t>PATHWARI KE PASS,DEOGARH,DEOGARH,313331</t>
  </si>
  <si>
    <t>JAMANA KUMARI</t>
  </si>
  <si>
    <t>XXXX8149</t>
  </si>
  <si>
    <t>Jitendra Mali</t>
  </si>
  <si>
    <t>Shayam Lal Mali</t>
  </si>
  <si>
    <t>Pushpa Devi</t>
  </si>
  <si>
    <t>Kushal Prajapat</t>
  </si>
  <si>
    <t>Anita Devi</t>
  </si>
  <si>
    <t>XXXX1672</t>
  </si>
  <si>
    <t>KUMHARON KA MOHALLA SURAJ DARWAJA,DEOGARH,DEOGARH,313331</t>
  </si>
  <si>
    <t>LAXMI CHOUHAN</t>
  </si>
  <si>
    <t>RAJENDRA SINGH CHOUHAN</t>
  </si>
  <si>
    <t>ULLAS DEVI</t>
  </si>
  <si>
    <t>XXXX5908</t>
  </si>
  <si>
    <t>NARAYAN JI KA MOHALLA,DEOGARH,DEOGARH,313331</t>
  </si>
  <si>
    <t>MAHINUR BANU</t>
  </si>
  <si>
    <t>JAMIL MOHAMMAD</t>
  </si>
  <si>
    <t>RESHMA BANU</t>
  </si>
  <si>
    <t>XXXX0987</t>
  </si>
  <si>
    <t>CHIPPO KA MOHALLA DEOGARH WARD NO. 18,DEOGARH,DEOGARH,313331</t>
  </si>
  <si>
    <t>MAYA MALI</t>
  </si>
  <si>
    <t>DINESH MALI</t>
  </si>
  <si>
    <t>NEMA DEVI</t>
  </si>
  <si>
    <t>XXXX4039</t>
  </si>
  <si>
    <t>NEAR BRAHAMCHARYA ASHRAM,DEOGARH,DEOGARH,313331</t>
  </si>
  <si>
    <t>MOHAMMAD BABAR</t>
  </si>
  <si>
    <t>MUZAMMIL HUSAIN</t>
  </si>
  <si>
    <t>RAFIYA PARVEEN</t>
  </si>
  <si>
    <t>XXXX0869</t>
  </si>
  <si>
    <t>CHIPPO KA MOHALLA DEOGARH,DEOGARH,DEOGARH,313331</t>
  </si>
  <si>
    <t>Mohammad Hussain</t>
  </si>
  <si>
    <t>Rashid Mohammad</t>
  </si>
  <si>
    <t>Nasim Banu</t>
  </si>
  <si>
    <t>XXXX3673</t>
  </si>
  <si>
    <t>SIPHAYION KA MOHALLA ,DEOGARH,DEOGARH,313331</t>
  </si>
  <si>
    <t>PHOOLWANTI REGAR</t>
  </si>
  <si>
    <t>LAXMAN REGAR</t>
  </si>
  <si>
    <t>XXXX3336</t>
  </si>
  <si>
    <t>YCFEAGO</t>
  </si>
  <si>
    <t>WARD NO 10 REGARO KA MOHALLA DEOGARH,DEOGARH,DEOGARH,313331</t>
  </si>
  <si>
    <t>PREM SINGH</t>
  </si>
  <si>
    <t>XXXX2372</t>
  </si>
  <si>
    <t>DHOLI MAGARI,BHIM,BAGGAR,313341</t>
  </si>
  <si>
    <t>PRIYA MALI</t>
  </si>
  <si>
    <t>KALU LAL</t>
  </si>
  <si>
    <t>RAMU DEVI</t>
  </si>
  <si>
    <t>XXXX9863</t>
  </si>
  <si>
    <t>SHAKTI NAGAR WARD NO. 20,DEOGARH,DEOGARH,313331</t>
  </si>
  <si>
    <t>Rahul Lohar</t>
  </si>
  <si>
    <t>Girdhari Lal</t>
  </si>
  <si>
    <t>Kamla Lohar</t>
  </si>
  <si>
    <t>XXXX1289</t>
  </si>
  <si>
    <t>Shubh Ved</t>
  </si>
  <si>
    <t>Mukesh Ved</t>
  </si>
  <si>
    <t>Vidhya Ved</t>
  </si>
  <si>
    <t>KOTWALI CHABUTARA ,DEOGARH,DEOGARH,313331</t>
  </si>
  <si>
    <t>Sonu Mali</t>
  </si>
  <si>
    <t>XXXX4671</t>
  </si>
  <si>
    <t>VAISHALI KUMARI</t>
  </si>
  <si>
    <t>HANSA DEVI</t>
  </si>
  <si>
    <t>XXXX5814</t>
  </si>
  <si>
    <t>KESHRINGGHATI,DEOGARH,DEOGARH,313331</t>
  </si>
  <si>
    <t>Yash Sen</t>
  </si>
  <si>
    <t>XXXX0754</t>
  </si>
  <si>
    <t>Abhijeet Sarakar</t>
  </si>
  <si>
    <t>XXXX0844</t>
  </si>
  <si>
    <t>ALEENA BANU</t>
  </si>
  <si>
    <t>RAISH HUSEN</t>
  </si>
  <si>
    <t>XXXX4233</t>
  </si>
  <si>
    <t>YDEABWB</t>
  </si>
  <si>
    <t>Gali No. 10 gul nagari Bhilwara,Suwana,Bhilwara,311001</t>
  </si>
  <si>
    <t>Bhawani Singh Rathore</t>
  </si>
  <si>
    <t>Prahlad Singh Rathore</t>
  </si>
  <si>
    <t>Devkanya Rathore</t>
  </si>
  <si>
    <t>XXXX2320</t>
  </si>
  <si>
    <t>rajputon ka mohalla,DEOGARH,DEOGARH,313331</t>
  </si>
  <si>
    <t>Bhawesh Regar</t>
  </si>
  <si>
    <t>Bhagwan Lal Regar</t>
  </si>
  <si>
    <t>Yashoda Regar</t>
  </si>
  <si>
    <t>XXXX2266</t>
  </si>
  <si>
    <t>BHNSCTT</t>
  </si>
  <si>
    <t>Deepak Regar</t>
  </si>
  <si>
    <t>Jethumal Regar</t>
  </si>
  <si>
    <t>Sunita Devi</t>
  </si>
  <si>
    <t>XXXX9686</t>
  </si>
  <si>
    <t>OUTSIDE SOLANKI GATE , REGAR MOHALLA ,DEOGARH,DEOGARH,313331</t>
  </si>
  <si>
    <t>DIMPAL MALI</t>
  </si>
  <si>
    <t>XXXX7661</t>
  </si>
  <si>
    <t>GAYATRI REGAR</t>
  </si>
  <si>
    <t>LAXMAN LAL REGAR</t>
  </si>
  <si>
    <t>XXXX8968</t>
  </si>
  <si>
    <t>YDFEAGO</t>
  </si>
  <si>
    <t>Khushi Sen</t>
  </si>
  <si>
    <t>BCGXGPT</t>
  </si>
  <si>
    <t>KOMAL MALI</t>
  </si>
  <si>
    <t>KALU LAL MALI</t>
  </si>
  <si>
    <t>XXXX0204</t>
  </si>
  <si>
    <t>Mahesh Mali</t>
  </si>
  <si>
    <t>Shyam Lal Mali</t>
  </si>
  <si>
    <t>XXXX9638</t>
  </si>
  <si>
    <t>shakti nagar deogarh,DEOGARH,DEOGARH,313331</t>
  </si>
  <si>
    <t>MANISHA MALI</t>
  </si>
  <si>
    <t>JAGDISH MALI</t>
  </si>
  <si>
    <t>PATASI DEVI</t>
  </si>
  <si>
    <t>XXXX2587</t>
  </si>
  <si>
    <t>WARD NO 20,DEOGARH,SAKTI NAGAR DEOGARH,313331</t>
  </si>
  <si>
    <t>MISBAH BANU</t>
  </si>
  <si>
    <t>SHARIF MOHAMMAD</t>
  </si>
  <si>
    <t>SHAMINA BANU</t>
  </si>
  <si>
    <t>XXXX7871</t>
  </si>
  <si>
    <t>VEDWARI DARWAJA ,DEOGARH,DEOGARH,313341</t>
  </si>
  <si>
    <t>Narpat Singh Ratnawat</t>
  </si>
  <si>
    <t>Sumer Singh Ratnawat</t>
  </si>
  <si>
    <t>Dipeeka Kanwar</t>
  </si>
  <si>
    <t>XXXX9427</t>
  </si>
  <si>
    <t>VEDWARI DARWAJE KE ANDAR,DEOGARH,DEOGARH,313331</t>
  </si>
  <si>
    <t>NAVED KHAN</t>
  </si>
  <si>
    <t>NAEEM KHAN</t>
  </si>
  <si>
    <t>NAJMEEN BANU</t>
  </si>
  <si>
    <t>VVROGKN</t>
  </si>
  <si>
    <t>BAMBA MOHALLA POST OFFICE KI GALI JODHPUR,JODHPUR,JODHPUR,313331</t>
  </si>
  <si>
    <t>NAYADA BANU</t>
  </si>
  <si>
    <t>XXXX0728</t>
  </si>
  <si>
    <t>Neha Vaishnav</t>
  </si>
  <si>
    <t>XXXX0255</t>
  </si>
  <si>
    <t>VSZHRVJ</t>
  </si>
  <si>
    <t>MEJA,MANDAL,TEH MANDAL,311403</t>
  </si>
  <si>
    <t>OM PRAKASH MALI</t>
  </si>
  <si>
    <t>BHERU LAL MALI</t>
  </si>
  <si>
    <t>NARAYANI DEVI</t>
  </si>
  <si>
    <t>XXXX4078</t>
  </si>
  <si>
    <t>YMSEICW</t>
  </si>
  <si>
    <t>POOJA MALI</t>
  </si>
  <si>
    <t>TAMU DEVI</t>
  </si>
  <si>
    <t>XXXX8581</t>
  </si>
  <si>
    <t>PRATAP SINGH</t>
  </si>
  <si>
    <t>KHIM SINGH</t>
  </si>
  <si>
    <t>SITA DEVI</t>
  </si>
  <si>
    <t>XXXX2325</t>
  </si>
  <si>
    <t>KISHANPURA,DEOGARH,KISHANPURA,313331</t>
  </si>
  <si>
    <t>PRAVIN KUMAR KHATIK</t>
  </si>
  <si>
    <t>ARJUN LAL</t>
  </si>
  <si>
    <t>SUGANA DEVI</t>
  </si>
  <si>
    <t>XXXX7492</t>
  </si>
  <si>
    <t>YMYGOSG</t>
  </si>
  <si>
    <t>Umraj Tapalo Ka Kheda Deogarh 313332,Umraj Tapalo Ka Kheda Deogarh ,Umraj Tapalo Ka Kheda Deogarh 313332,313332</t>
  </si>
  <si>
    <t>Rahul Jingar</t>
  </si>
  <si>
    <t>Omprakash Jingar</t>
  </si>
  <si>
    <t>Sumitra</t>
  </si>
  <si>
    <t>XXXX5984</t>
  </si>
  <si>
    <t>MARU DARWAJA,DEOGARH,DEOGARH,313331</t>
  </si>
  <si>
    <t>RIJA PARVEEN</t>
  </si>
  <si>
    <t>ZUBAIR AHMED</t>
  </si>
  <si>
    <t>HANEEFA BANO</t>
  </si>
  <si>
    <t>XXXX1418</t>
  </si>
  <si>
    <t>SATYAPAL SINGH</t>
  </si>
  <si>
    <t>SHRAWAN SINGH</t>
  </si>
  <si>
    <t>XXXX7543</t>
  </si>
  <si>
    <t>vzphxtj</t>
  </si>
  <si>
    <t>kishanpura,DEOGARH,kishanpura,313332</t>
  </si>
  <si>
    <t>Suneeta Kanwar</t>
  </si>
  <si>
    <t>Pratap Singh</t>
  </si>
  <si>
    <t>Vasana Kanwar</t>
  </si>
  <si>
    <t>XXXX5874</t>
  </si>
  <si>
    <t>NAYA DARWAJA CHHIPON KA MOHALLA,DEOGARH,DEOGARH,313331</t>
  </si>
  <si>
    <t>YOGITA VED</t>
  </si>
  <si>
    <t>HARISH VED</t>
  </si>
  <si>
    <t>MAMTA VED</t>
  </si>
  <si>
    <t>XXXX5926</t>
  </si>
  <si>
    <t>VEDO KA MOHALLA,DEOGARH,DEOGARH,313331</t>
  </si>
  <si>
    <t>AAYAN HUSEN</t>
  </si>
  <si>
    <t>RAESH HUSEN</t>
  </si>
  <si>
    <t>XXXX6361</t>
  </si>
  <si>
    <t>Raish hussain jama masjid ke pass deogath rajsamand deogath,deogath,Rajsamand,313331</t>
  </si>
  <si>
    <t>Ankit Kumar Prajapat</t>
  </si>
  <si>
    <t>XXXX1772</t>
  </si>
  <si>
    <t>Ankush Jain</t>
  </si>
  <si>
    <t>Parasmal Jain</t>
  </si>
  <si>
    <t>Seema Jain</t>
  </si>
  <si>
    <t>XXXX4212</t>
  </si>
  <si>
    <t>SONIYO KI GALI,DEOGARH,KOTWALI CHABUTARA,313331</t>
  </si>
  <si>
    <t>Prakash Mali</t>
  </si>
  <si>
    <t>Kesar Devi</t>
  </si>
  <si>
    <t>XXXX7273</t>
  </si>
  <si>
    <t>BCROPGH</t>
  </si>
  <si>
    <t>SURAJ DARWAJA WARD NO 19,DEOGARH,DEOGARH,313331</t>
  </si>
  <si>
    <t>Chirag Chouhan</t>
  </si>
  <si>
    <t>Chandra Prakash</t>
  </si>
  <si>
    <t>Seeta</t>
  </si>
  <si>
    <t>XXXX3436</t>
  </si>
  <si>
    <t>DEVENDRA KUMAR REGAR</t>
  </si>
  <si>
    <t>SANGRAM LAL REGAR</t>
  </si>
  <si>
    <t>XXXX0963</t>
  </si>
  <si>
    <t>REGAR MOHALLA WARD NO. 10,DEOGARH,DEOGARH,313331</t>
  </si>
  <si>
    <t>DIMPAL KANWAR</t>
  </si>
  <si>
    <t>BHAGWAT SINGH</t>
  </si>
  <si>
    <t>PAWAN KANWAR</t>
  </si>
  <si>
    <t>XXXX7342</t>
  </si>
  <si>
    <t>NEW DARWAJA SURO KA MOHALLA,DEOGARH,DEOGARH,313331</t>
  </si>
  <si>
    <t>DIMPAL LUHAR</t>
  </si>
  <si>
    <t>GOVIND LUHAR</t>
  </si>
  <si>
    <t>MEENA LUHAR</t>
  </si>
  <si>
    <t>XXXX8422</t>
  </si>
  <si>
    <t>Goirav Singh Chouhan</t>
  </si>
  <si>
    <t>Mukesh Singh Chouhan</t>
  </si>
  <si>
    <t>XXXX3516</t>
  </si>
  <si>
    <t>Gyangarh,Mandal,Gyangarh,311804</t>
  </si>
  <si>
    <t>HANSRAJ PRAJAPAT</t>
  </si>
  <si>
    <t>HIRA LAL PRAJAPAT</t>
  </si>
  <si>
    <t>METABI BAI</t>
  </si>
  <si>
    <t>XXXX9601</t>
  </si>
  <si>
    <t>KUMHARO KA MOHALLA SURAAJ DARWAJA,DEOGARH,DEOGARH,313331</t>
  </si>
  <si>
    <t>HITESH CHANDEL</t>
  </si>
  <si>
    <t>RAJU LAL CHANDEL</t>
  </si>
  <si>
    <t>NIRMALA DEVI</t>
  </si>
  <si>
    <t>XXXX0523</t>
  </si>
  <si>
    <t>YYCFAKG</t>
  </si>
  <si>
    <t>GUJARI DARWAJA,DEOGARH,DEOGARH,313331</t>
  </si>
  <si>
    <t>Hitesh Joshi</t>
  </si>
  <si>
    <t>Tejmal Joshi</t>
  </si>
  <si>
    <t>Guddi Devi</t>
  </si>
  <si>
    <t>XXXX8319</t>
  </si>
  <si>
    <t>ISHWAR MALI</t>
  </si>
  <si>
    <t>MOHAN LAL MALI</t>
  </si>
  <si>
    <t>PYARI DEVI</t>
  </si>
  <si>
    <t>XXXX4303</t>
  </si>
  <si>
    <t>VZZNNSJ</t>
  </si>
  <si>
    <t>SURAJ DARWAJA MALIYO KA MOHALLA DEOGARH,DEOGARH,DEOGARH,313331</t>
  </si>
  <si>
    <t>KHUSHBU REGAR</t>
  </si>
  <si>
    <t>RAM LAL REGAR</t>
  </si>
  <si>
    <t>XXXX0405</t>
  </si>
  <si>
    <t>KHUSHI SOLANKI</t>
  </si>
  <si>
    <t>KANTI LAL SOLANKI</t>
  </si>
  <si>
    <t>PREM DEVI</t>
  </si>
  <si>
    <t>XXXX1141</t>
  </si>
  <si>
    <t>INSIDE SOLANKI GET,DEOGARH,DEOGARH,313331</t>
  </si>
  <si>
    <t>KISHAN MALI</t>
  </si>
  <si>
    <t>RANA JI MALI</t>
  </si>
  <si>
    <t>PUSHPA DEVI</t>
  </si>
  <si>
    <t>XXXX7045</t>
  </si>
  <si>
    <t>KOMAL CHAUHAN</t>
  </si>
  <si>
    <t>DEVENDRA SINGH CHAUHAN</t>
  </si>
  <si>
    <t>XXXX3643</t>
  </si>
  <si>
    <t>KRISHNA MALI</t>
  </si>
  <si>
    <t>VINOD MALI</t>
  </si>
  <si>
    <t>CHANDRIKA</t>
  </si>
  <si>
    <t>XXXX7310</t>
  </si>
  <si>
    <t>Mahadev Mali</t>
  </si>
  <si>
    <t>Suresh Mali</t>
  </si>
  <si>
    <t>Vimla Devi</t>
  </si>
  <si>
    <t>XXXX6794</t>
  </si>
  <si>
    <t>VVWPOBV</t>
  </si>
  <si>
    <t>KHADI BHANDAR KE PICHE BAPU NAGAR,DEOGARH,DEOGARH,313331</t>
  </si>
  <si>
    <t>Manish Suthar</t>
  </si>
  <si>
    <t>XXXX5587</t>
  </si>
  <si>
    <t>yfdidwo</t>
  </si>
  <si>
    <t>suraj darwaja bahar bhilwara road,DEOGARH,DEOGARH,313331</t>
  </si>
  <si>
    <t>Maya Rager</t>
  </si>
  <si>
    <t>Nena Lal Rager</t>
  </si>
  <si>
    <t>XXXX7308</t>
  </si>
  <si>
    <t>NARESH MALI</t>
  </si>
  <si>
    <t>OMPRAKASH MALI</t>
  </si>
  <si>
    <t>PREMI DEVI</t>
  </si>
  <si>
    <t>XXXX1180</t>
  </si>
  <si>
    <t>BAMBGIO</t>
  </si>
  <si>
    <t>Pathan Sijan Azad Khan</t>
  </si>
  <si>
    <t>Azad Khan</t>
  </si>
  <si>
    <t>Pathan Ishratbanu Azad Khan</t>
  </si>
  <si>
    <t>XXXX4611</t>
  </si>
  <si>
    <t>BCTWOKP</t>
  </si>
  <si>
    <t>WARD NO 18,DEOGARH,DEOGARH,313331</t>
  </si>
  <si>
    <t>PAWAN MEWARA</t>
  </si>
  <si>
    <t>GOPI LAL MEWARA</t>
  </si>
  <si>
    <t>PARAS DEVI</t>
  </si>
  <si>
    <t>XXXX1786</t>
  </si>
  <si>
    <t>KHADI BHANDAR KE PASS BAPU NAGAR WARD NO 20,DEOGARH,DEOGARH,313331</t>
  </si>
  <si>
    <t>Pradeep</t>
  </si>
  <si>
    <t>Rakesh Ved</t>
  </si>
  <si>
    <t>XXXX6064</t>
  </si>
  <si>
    <t>YFMAWDG</t>
  </si>
  <si>
    <t>VEDON KA MOHALLA,DEOGARH,DEOGARH,313331</t>
  </si>
  <si>
    <t>PRAKASH CHAND</t>
  </si>
  <si>
    <t>HARI LAL</t>
  </si>
  <si>
    <t>BHARTIYA,BHIM,BARAR,313341</t>
  </si>
  <si>
    <t>PREM SINGH RAWAT</t>
  </si>
  <si>
    <t>TRILOK SINGH</t>
  </si>
  <si>
    <t>DEVI BEN</t>
  </si>
  <si>
    <t>XXXX1665</t>
  </si>
  <si>
    <t>GYANGAH,BHILWARA,BHILWARA,313331</t>
  </si>
  <si>
    <t>Prosen Sarkar</t>
  </si>
  <si>
    <t>Prabhas Sarkar</t>
  </si>
  <si>
    <t>Fulmal</t>
  </si>
  <si>
    <t>XXXX3772</t>
  </si>
  <si>
    <t>HOLI KA THAN ,DEOGARH,KUNDELI,313331</t>
  </si>
  <si>
    <t>RAHUL MALI</t>
  </si>
  <si>
    <t>XXXX7505</t>
  </si>
  <si>
    <t>RAJU SINGH</t>
  </si>
  <si>
    <t>BHANWAR SINGH</t>
  </si>
  <si>
    <t>XXXX2197</t>
  </si>
  <si>
    <t>YMPSIKF</t>
  </si>
  <si>
    <t>khokhato ka badiya,DEOGRAH,kitto ka badiya,313331</t>
  </si>
  <si>
    <t>RAKESH SINGH</t>
  </si>
  <si>
    <t>XXXX4261</t>
  </si>
  <si>
    <t>HAWALA,DEOGARH,,313331</t>
  </si>
  <si>
    <t>Ramesh Chandra Salvi</t>
  </si>
  <si>
    <t>Sohan Lal Salvi</t>
  </si>
  <si>
    <t>XXXX6632</t>
  </si>
  <si>
    <t>YBOEUYO</t>
  </si>
  <si>
    <t>AMET,AMET,AMET,313331</t>
  </si>
  <si>
    <t>SHANKAR LAL GURJAR</t>
  </si>
  <si>
    <t>TILOK GURJAR</t>
  </si>
  <si>
    <t>SBC</t>
  </si>
  <si>
    <t>XXXX8899</t>
  </si>
  <si>
    <t>VBGXGCN</t>
  </si>
  <si>
    <t>SHASTRI NAGAR,DEOGARH,DEOGARH,313331</t>
  </si>
  <si>
    <t>Kailash Mali</t>
  </si>
  <si>
    <t>Meena Kumari</t>
  </si>
  <si>
    <t>XXXX6996</t>
  </si>
  <si>
    <t>TEJ SINGH</t>
  </si>
  <si>
    <t>NARAYAN SINGH</t>
  </si>
  <si>
    <t>GEETA BAI</t>
  </si>
  <si>
    <t>XXXX4735</t>
  </si>
  <si>
    <t>YOCQIQO</t>
  </si>
  <si>
    <t>RAJA KA DHANA,DEOGARH,RAJA KA DHANA,313331</t>
  </si>
  <si>
    <t>TOKIR</t>
  </si>
  <si>
    <t>XXXX8552</t>
  </si>
  <si>
    <t>SIPAHIYO KA MOHALLA WARD NO. 18,DEOGARH,DEOGARH,313331</t>
  </si>
  <si>
    <t>VARSHA MALI</t>
  </si>
  <si>
    <t>HARISH MALI</t>
  </si>
  <si>
    <t>USHA</t>
  </si>
  <si>
    <t>XXXX4657</t>
  </si>
  <si>
    <t>NRSINGH DWAR,DEOGARH,DEOGARH,313331</t>
  </si>
  <si>
    <t>Ajay Kumar Gawariya</t>
  </si>
  <si>
    <t>Badri Lal Gawariya</t>
  </si>
  <si>
    <t>Priya Devi</t>
  </si>
  <si>
    <t>YVRJXTH</t>
  </si>
  <si>
    <t>GUJARI DARWAJA DEOGARH,DEOGARH,DEOGARH,313331</t>
  </si>
  <si>
    <t>AMRIT RAWAL</t>
  </si>
  <si>
    <t>PARAS RAWAL</t>
  </si>
  <si>
    <t>REETA DEVI</t>
  </si>
  <si>
    <t>XXXX6105</t>
  </si>
  <si>
    <t>YBSBUYF</t>
  </si>
  <si>
    <t>KUNDELI , POST- MIYALA , TEH.- DEOGARH,DEOGARH,KUNDELI,313341</t>
  </si>
  <si>
    <t>ANIL KUMAR NAT</t>
  </si>
  <si>
    <t>BHERU LAL NAT</t>
  </si>
  <si>
    <t>SURJA DEVI</t>
  </si>
  <si>
    <t>XXXX7182</t>
  </si>
  <si>
    <t>VZKKPWN</t>
  </si>
  <si>
    <t>SANGRAMPURA,DEOGARH ,VIJAYPURA,313331</t>
  </si>
  <si>
    <t>ARJUN LOUHAR</t>
  </si>
  <si>
    <t>DEVI LAL LOUHAR</t>
  </si>
  <si>
    <t>SANTOSH</t>
  </si>
  <si>
    <t>XXXX1381</t>
  </si>
  <si>
    <t>YOEFOAB</t>
  </si>
  <si>
    <t>KUNDELI,DEOGARH,KUNDELI,313341</t>
  </si>
  <si>
    <t>ARVIND KALAL</t>
  </si>
  <si>
    <t>INDRAMAL KALAL</t>
  </si>
  <si>
    <t>RADHA DEVI</t>
  </si>
  <si>
    <t>XXXX5670</t>
  </si>
  <si>
    <t>sopari,deogarh,sopari,313331</t>
  </si>
  <si>
    <t>Avinash Meena</t>
  </si>
  <si>
    <t>Suresh Chand Meena</t>
  </si>
  <si>
    <t>Rashali Devi</t>
  </si>
  <si>
    <t>ST</t>
  </si>
  <si>
    <t>XXXX6605</t>
  </si>
  <si>
    <t>POLICE CHOWKI KE PASS,DEOGARH,SURAJ DARWAJA DEOGARH,313331</t>
  </si>
  <si>
    <t>BABU SINGH</t>
  </si>
  <si>
    <t>LAXMAN SINGH</t>
  </si>
  <si>
    <t>MANGI DEVI</t>
  </si>
  <si>
    <t>XXXX4654</t>
  </si>
  <si>
    <t>YMFUWUK</t>
  </si>
  <si>
    <t>PANTA KI AANTI,DEOGARH,POST-MIYALA,313341</t>
  </si>
  <si>
    <t>BHAIRU SINGH</t>
  </si>
  <si>
    <t>GHEESA SINGH</t>
  </si>
  <si>
    <t>GHEESI DEVI</t>
  </si>
  <si>
    <t>XXXX7677</t>
  </si>
  <si>
    <t>ADAWALA,TEH - BHIM,BAGGAR,313341</t>
  </si>
  <si>
    <t>NAINA SINGH</t>
  </si>
  <si>
    <t>XXXX5511</t>
  </si>
  <si>
    <t>WXZXPVX</t>
  </si>
  <si>
    <t>VILLAGE-KUNDELI POST-MIYALA,DEOGARH,KUNDELI,313341</t>
  </si>
  <si>
    <t>BHAVESH GURJAR</t>
  </si>
  <si>
    <t>NARAYAN LAL GURJAR</t>
  </si>
  <si>
    <t>DAKHU DEVI</t>
  </si>
  <si>
    <t>XXXX4421</t>
  </si>
  <si>
    <t>BHAVESH KUMAR</t>
  </si>
  <si>
    <t>GOPI LAL GURJAR</t>
  </si>
  <si>
    <t>PRABHU DEVI</t>
  </si>
  <si>
    <t>XXXX4633</t>
  </si>
  <si>
    <t>YZPHBVP</t>
  </si>
  <si>
    <t>DEOGARH,DEOGARH,DOEGARH,313331</t>
  </si>
  <si>
    <t>XXXX9004</t>
  </si>
  <si>
    <t>BHAVESH REGAR</t>
  </si>
  <si>
    <t>SHOBHA LAL REGAR</t>
  </si>
  <si>
    <t>GEETA DEVI</t>
  </si>
  <si>
    <t>XXXX0991</t>
  </si>
  <si>
    <t>OUT SIDE SOLANKI DOOR REGAR MOHALLA WARD NO 10,DEOGARH,DEOGARH,313331</t>
  </si>
  <si>
    <t>BHERU SINGH TANK</t>
  </si>
  <si>
    <t>HIMMAT SINGH TANK</t>
  </si>
  <si>
    <t>KANTA KANWAR</t>
  </si>
  <si>
    <t>XXXX8618</t>
  </si>
  <si>
    <t>WXZXOXH</t>
  </si>
  <si>
    <t>WARD NO 9,DEOGARH,DEOGARH,313331</t>
  </si>
  <si>
    <t>CHANDRA PRAKASH SALVI</t>
  </si>
  <si>
    <t>CHANDAN MAL SALVI</t>
  </si>
  <si>
    <t>HEMI DEVI</t>
  </si>
  <si>
    <t>XXXX3400</t>
  </si>
  <si>
    <t>YOEIQCB</t>
  </si>
  <si>
    <t>CHETAN PRAJAPAT</t>
  </si>
  <si>
    <t>CHAND MAL</t>
  </si>
  <si>
    <t>LADI PRAJAPAT</t>
  </si>
  <si>
    <t>XXXX2715</t>
  </si>
  <si>
    <t>YYQQBOC</t>
  </si>
  <si>
    <t>CHHOTU LAL NAT</t>
  </si>
  <si>
    <t>MADAN LAL NAT</t>
  </si>
  <si>
    <t>BALI DEVI</t>
  </si>
  <si>
    <t>XXXX5799</t>
  </si>
  <si>
    <t>VBKNJGX</t>
  </si>
  <si>
    <t>LADUWAS,MANDAL,LADUWAS,311026</t>
  </si>
  <si>
    <t>DAKSHRAJ SINGH CHUNDAWAT</t>
  </si>
  <si>
    <t>RAJENDRA SINGH CHUNDAWAT</t>
  </si>
  <si>
    <t>GAYATRI KANWAR</t>
  </si>
  <si>
    <t>XXXX9323</t>
  </si>
  <si>
    <t>VNTCZIJ</t>
  </si>
  <si>
    <t>MOYANA ,DEOGARH,DEOGARH,313331</t>
  </si>
  <si>
    <t>DAL CHAND</t>
  </si>
  <si>
    <t>KALU RAM</t>
  </si>
  <si>
    <t>KELA DEVI</t>
  </si>
  <si>
    <t>XXXX4066</t>
  </si>
  <si>
    <t>VONCJJT</t>
  </si>
  <si>
    <t>Deepak Salvi</t>
  </si>
  <si>
    <t>Dinesh Chandra</t>
  </si>
  <si>
    <t>Jashoda Devi</t>
  </si>
  <si>
    <t>XXXX2105</t>
  </si>
  <si>
    <t>SANGRAMPURA,TEH DEOGARH,SANGRAMPURA ,313331</t>
  </si>
  <si>
    <t>Devendra Kumar Soni</t>
  </si>
  <si>
    <t>Dal Chand Soni</t>
  </si>
  <si>
    <t>Laxmi Devi</t>
  </si>
  <si>
    <t>XXXX5112</t>
  </si>
  <si>
    <t>BCWZKVH</t>
  </si>
  <si>
    <t>BAPU NAGAR PANI KI TANKI KE PASS,DEOGARH,DEOGARH,313331</t>
  </si>
  <si>
    <t>DEVENDRA SINGH</t>
  </si>
  <si>
    <t>MOHAN SINGH</t>
  </si>
  <si>
    <t>KANCHAN DEVI</t>
  </si>
  <si>
    <t>XXXX5064</t>
  </si>
  <si>
    <t>Devkinandan Gurjar</t>
  </si>
  <si>
    <t>Prahlad Gurjar</t>
  </si>
  <si>
    <t>Sita Devi</t>
  </si>
  <si>
    <t>XXXX3078</t>
  </si>
  <si>
    <t>GUJARI DARWAJA ,DEOGARH,DEOGARH,313331</t>
  </si>
  <si>
    <t>DILEEP SINGH</t>
  </si>
  <si>
    <t>CHANDAN SINGH</t>
  </si>
  <si>
    <t>HANJA DEVI</t>
  </si>
  <si>
    <t>XXXX5599</t>
  </si>
  <si>
    <t>VZGVRSV</t>
  </si>
  <si>
    <t>MANARAIL,DEOGARH,VIJAYPURA,313331</t>
  </si>
  <si>
    <t>GANPAT SINGH</t>
  </si>
  <si>
    <t>ISHWAR SINGH</t>
  </si>
  <si>
    <t>JASHODA DEVI</t>
  </si>
  <si>
    <t>XXXX7376</t>
  </si>
  <si>
    <t>YOEGYEK</t>
  </si>
  <si>
    <t>PANTA KI AANTI,DEOGARH,PANTA KI AANTI,313341</t>
  </si>
  <si>
    <t>GANSHYAM BHIL</t>
  </si>
  <si>
    <t>PURAN LAL BHIL</t>
  </si>
  <si>
    <t>XXXX2577</t>
  </si>
  <si>
    <t>YFKKGBC</t>
  </si>
  <si>
    <t>BHILO KI TANKDI,DEOGARH,DEOGARH,313331</t>
  </si>
  <si>
    <t>GEHARI LAL SALVI</t>
  </si>
  <si>
    <t>BHURA LAL</t>
  </si>
  <si>
    <t>SENI DEVI</t>
  </si>
  <si>
    <t>XXXX9481</t>
  </si>
  <si>
    <t>VPZCRNH</t>
  </si>
  <si>
    <t>GOVIND LAL SALVI</t>
  </si>
  <si>
    <t>NAINA RAM</t>
  </si>
  <si>
    <t>KAILASHI DEVI</t>
  </si>
  <si>
    <t>XXXX6760</t>
  </si>
  <si>
    <t>VWNZNPR</t>
  </si>
  <si>
    <t>HEMANT KUMAR SALVI</t>
  </si>
  <si>
    <t>NARAYAN LAL</t>
  </si>
  <si>
    <t>LAXMI DEVI</t>
  </si>
  <si>
    <t>XXXX7849</t>
  </si>
  <si>
    <t>BHRXZCN</t>
  </si>
  <si>
    <t>SANGRAMPURA,DEOGARH,VIJAYPURA,313331</t>
  </si>
  <si>
    <t>HEMRAJ MALI</t>
  </si>
  <si>
    <t>PYARE LAL MALI</t>
  </si>
  <si>
    <t>DALI DEVI</t>
  </si>
  <si>
    <t>XXXX6842</t>
  </si>
  <si>
    <t>KAMLIGHAT,DEOGARH,DEOGARH,313331</t>
  </si>
  <si>
    <t>HIMANSHU SALVI</t>
  </si>
  <si>
    <t>BHANWARLAL SALVI</t>
  </si>
  <si>
    <t>VIMLA DEVI</t>
  </si>
  <si>
    <t>XXXX7320</t>
  </si>
  <si>
    <t>VVRRVVP</t>
  </si>
  <si>
    <t>OIL MIL GALI,DEOGARH,DEOGARH,313331</t>
  </si>
  <si>
    <t>HIMESH VED</t>
  </si>
  <si>
    <t>KANHAIYA LAL</t>
  </si>
  <si>
    <t>MAMTA BEN</t>
  </si>
  <si>
    <t>XXXX4168</t>
  </si>
  <si>
    <t>VEDO KA MOHALLA DEOGARH,DEOGARH,DEOGARH,313331</t>
  </si>
  <si>
    <t>HITESH KUMAR SALVI</t>
  </si>
  <si>
    <t>CHANDAN MAL</t>
  </si>
  <si>
    <t>XXXX0062</t>
  </si>
  <si>
    <t>SANGRPURA ,DEOGARH ,VIJAYPURA ,313331</t>
  </si>
  <si>
    <t>Hitesh Regar</t>
  </si>
  <si>
    <t>Hajari Lal</t>
  </si>
  <si>
    <t>Rani Devi</t>
  </si>
  <si>
    <t>XXXX9401</t>
  </si>
  <si>
    <t>SOLANKI DARWAJA BAHAR REGAR MOHALLA ,DEOGARH,DEOGARH,313331</t>
  </si>
  <si>
    <t>INDAR SINGH</t>
  </si>
  <si>
    <t>SOHAN SINGH</t>
  </si>
  <si>
    <t>PREM KANWAR</t>
  </si>
  <si>
    <t>XXXX6075</t>
  </si>
  <si>
    <t>YMWFSKS</t>
  </si>
  <si>
    <t>MANDAWARA,DEOGARH,MANDAWARA,313331</t>
  </si>
  <si>
    <t>UDAY SINGH</t>
  </si>
  <si>
    <t>BHANWARI DEVI</t>
  </si>
  <si>
    <t>XXXX4815</t>
  </si>
  <si>
    <t>VBCSKON</t>
  </si>
  <si>
    <t>RASHAMI,DEOGARH,RASHAMI,313341</t>
  </si>
  <si>
    <t>JAGDISH SINGH</t>
  </si>
  <si>
    <t>GOPAL SINGH</t>
  </si>
  <si>
    <t>XXXX1254</t>
  </si>
  <si>
    <t>WFOYDUC</t>
  </si>
  <si>
    <t>KANIYANA,DEOGARH,DEOGARH,313331</t>
  </si>
  <si>
    <t>JAI SINGH SOLANKI</t>
  </si>
  <si>
    <t>CHAIN SINGH SOLANKI</t>
  </si>
  <si>
    <t>CHANDRAKANTA</t>
  </si>
  <si>
    <t>XXXX7424</t>
  </si>
  <si>
    <t>VBKJBWJ</t>
  </si>
  <si>
    <t>WARD NO 9 BHILON KI TAKDI,DEOGARH,DEOGARH,313331</t>
  </si>
  <si>
    <t>Jashwant Regar</t>
  </si>
  <si>
    <t>Ratan Lal Regar</t>
  </si>
  <si>
    <t>Shanta Devi</t>
  </si>
  <si>
    <t>XXXX9489</t>
  </si>
  <si>
    <t>JASWANT LAL SALVI</t>
  </si>
  <si>
    <t>BHADA RAM</t>
  </si>
  <si>
    <t>CHAINI BAI</t>
  </si>
  <si>
    <t>XXXX4865</t>
  </si>
  <si>
    <t>VONWTZX</t>
  </si>
  <si>
    <t>SANGRAMPURA ,DEOGARH ,VIJAYPURA ,313331</t>
  </si>
  <si>
    <t>JASWANT SINGH</t>
  </si>
  <si>
    <t>TARA DEVI</t>
  </si>
  <si>
    <t>XXXX4097</t>
  </si>
  <si>
    <t>JITENDRA NATH</t>
  </si>
  <si>
    <t>LADU NATH</t>
  </si>
  <si>
    <t>XXXX9426</t>
  </si>
  <si>
    <t>YMFAQYS</t>
  </si>
  <si>
    <t>VILL BHARAT SINGH KA GUDA,DEOGARH ,POST KUNDWA,313331</t>
  </si>
  <si>
    <t>KAILASH DAS</t>
  </si>
  <si>
    <t>ARJUN DAS</t>
  </si>
  <si>
    <t>MANJU DEVI</t>
  </si>
  <si>
    <t>XXXX3847</t>
  </si>
  <si>
    <t>VBTBPSX</t>
  </si>
  <si>
    <t>SUBHASH NAGAR,DEOGARH,DEOGARH,313331</t>
  </si>
  <si>
    <t>KAILASH SINGH</t>
  </si>
  <si>
    <t>VARAD SINGH</t>
  </si>
  <si>
    <t>SANTOSH KANWAR</t>
  </si>
  <si>
    <t>XXXX4842</t>
  </si>
  <si>
    <t>VOJWVJP</t>
  </si>
  <si>
    <t>HEMALA MANGARI ,DEOGARH,PANTA KI AANTI,313341</t>
  </si>
  <si>
    <t>KAMLESH MALI</t>
  </si>
  <si>
    <t>XXXX2936</t>
  </si>
  <si>
    <t>KAMLESH SINGH RAWAT</t>
  </si>
  <si>
    <t>RANJEET SINGH</t>
  </si>
  <si>
    <t>SUSHEELA DEVI</t>
  </si>
  <si>
    <t>XXXX8918</t>
  </si>
  <si>
    <t>vbhgkon</t>
  </si>
  <si>
    <t>hemla mangari,deogarh,PANTA KI AANTI,313341</t>
  </si>
  <si>
    <t>KAMLESH VAN</t>
  </si>
  <si>
    <t>LAXMAN VAN</t>
  </si>
  <si>
    <t>BHURI DEVI</t>
  </si>
  <si>
    <t>XXXX7578</t>
  </si>
  <si>
    <t>VILL BHARAT SINGH KA GUDA,DEOGARH,POST KUNDWA,313331</t>
  </si>
  <si>
    <t>KARTIK PURI</t>
  </si>
  <si>
    <t>PARAS PURI</t>
  </si>
  <si>
    <t>RANJANA DEVI</t>
  </si>
  <si>
    <t>XXXX1757</t>
  </si>
  <si>
    <t>YBKOOCF</t>
  </si>
  <si>
    <t>MALIYO KA MOHALLA, WARD NO 16,DEOGARH,DEOGARH,313331</t>
  </si>
  <si>
    <t>Kishan Mali</t>
  </si>
  <si>
    <t>XXXX6290</t>
  </si>
  <si>
    <t>KARNI MATA KE PASS ,DEOGARH,HOSPITAL ROAD WARD NO 24,313331</t>
  </si>
  <si>
    <t>Krishnapal Singh Chundawat</t>
  </si>
  <si>
    <t>Ram Singh Chundawat</t>
  </si>
  <si>
    <t>Prem Kanwar</t>
  </si>
  <si>
    <t>XXXX0067</t>
  </si>
  <si>
    <t>WZONKJX</t>
  </si>
  <si>
    <t>LAL JI KA KHEDA,DEOGARH,LAL JI KA KHEDA,313331</t>
  </si>
  <si>
    <t>KULDEEP SINGH</t>
  </si>
  <si>
    <t>XXXX1821</t>
  </si>
  <si>
    <t>YYAOISK</t>
  </si>
  <si>
    <t>KULDEEP SOLANKI</t>
  </si>
  <si>
    <t>RADHESHYAM SOLANKI</t>
  </si>
  <si>
    <t>SANTOSH SOLANKI</t>
  </si>
  <si>
    <t>XXXX5363</t>
  </si>
  <si>
    <t>YBCBQOW</t>
  </si>
  <si>
    <t>SOLANKI DARWAJA KE ANDAR,DEOGARH,DEOGARH,313331</t>
  </si>
  <si>
    <t>LAKHAN SINGH</t>
  </si>
  <si>
    <t>KISHAN SINGH</t>
  </si>
  <si>
    <t>SENA DEVI</t>
  </si>
  <si>
    <t>XXXX9159</t>
  </si>
  <si>
    <t>VPVOJTT</t>
  </si>
  <si>
    <t>KHERA,DEOGARH,PANTA KI AANTI,313341</t>
  </si>
  <si>
    <t>KUSHAL SINGH</t>
  </si>
  <si>
    <t>XXXX3457</t>
  </si>
  <si>
    <t>YMFCQCE</t>
  </si>
  <si>
    <t>FUKIYATHAD,DEOGARH,,313331</t>
  </si>
  <si>
    <t>Lalit Kalal</t>
  </si>
  <si>
    <t>Shivlal Kalal</t>
  </si>
  <si>
    <t>Kanku Devi</t>
  </si>
  <si>
    <t>XXXX7068</t>
  </si>
  <si>
    <t>GORAM KUA KE PASS,DEOGARH,SOPARI,313331</t>
  </si>
  <si>
    <t>LALIT KALAL</t>
  </si>
  <si>
    <t>YASHWANT KALAL</t>
  </si>
  <si>
    <t>REKHA DEVI</t>
  </si>
  <si>
    <t>XXXX4248</t>
  </si>
  <si>
    <t>VNPHCRR</t>
  </si>
  <si>
    <t>SOPARI,DEOGARH,SOPARI,313331</t>
  </si>
  <si>
    <t>PURANMAL</t>
  </si>
  <si>
    <t>ROSHANI DEVI</t>
  </si>
  <si>
    <t>XXXX9618</t>
  </si>
  <si>
    <t>VWTVHCH</t>
  </si>
  <si>
    <t>LOKESH BAROLIYA</t>
  </si>
  <si>
    <t>SHANKAR LAL BAROLIYA</t>
  </si>
  <si>
    <t>INDRA DEVI</t>
  </si>
  <si>
    <t>XXXX6035</t>
  </si>
  <si>
    <t>YWIFCYS</t>
  </si>
  <si>
    <t>Lokesh Kalal</t>
  </si>
  <si>
    <t>Dalchand Kalal</t>
  </si>
  <si>
    <t>Devi</t>
  </si>
  <si>
    <t>XXXX7919</t>
  </si>
  <si>
    <t>KALALO KI AANTI,DEOGARH,LASANI,313331</t>
  </si>
  <si>
    <t>LOKESH KUMAR</t>
  </si>
  <si>
    <t>GOPI DEVI</t>
  </si>
  <si>
    <t>VZGHWNV</t>
  </si>
  <si>
    <t>227 SHORGHARO KA MOHALLA,DEOGARH,DEOGARH,313331</t>
  </si>
  <si>
    <t>GOKUL RAM</t>
  </si>
  <si>
    <t>LILA DEVI</t>
  </si>
  <si>
    <t>XXXX6434</t>
  </si>
  <si>
    <t>YOIAGEW</t>
  </si>
  <si>
    <t>SANGRAMPURA ,DEOGARH,VIJAYPURA ,313331</t>
  </si>
  <si>
    <t>LOKESH KUMAR GURJAR</t>
  </si>
  <si>
    <t>DHARM CHAND GURJAR</t>
  </si>
  <si>
    <t>XXXX3523</t>
  </si>
  <si>
    <t>YFUIDYO</t>
  </si>
  <si>
    <t>DEOGARH,RAJSAMAND,DEOGARH,313331</t>
  </si>
  <si>
    <t>B</t>
  </si>
  <si>
    <t>AFTAB KHAN</t>
  </si>
  <si>
    <t>IRSHAD AHMED</t>
  </si>
  <si>
    <t>SHAHINA BANU</t>
  </si>
  <si>
    <t>XXXX3292</t>
  </si>
  <si>
    <t>SHIPAHIYO KA MOHALLA,DEOGARH,DEOGARH,313331</t>
  </si>
  <si>
    <t>Alfej Khan</t>
  </si>
  <si>
    <t>Israt Banu</t>
  </si>
  <si>
    <t>XXXX3695</t>
  </si>
  <si>
    <t>SIPAHIYON KA MOHALLA ISLAMI MADARSE KE PASS,DEOGARH,DEOGARH,313331</t>
  </si>
  <si>
    <t>ANISH HUSSAIN</t>
  </si>
  <si>
    <t>HAKIM SHA</t>
  </si>
  <si>
    <t>SHABNAM BANU</t>
  </si>
  <si>
    <t>XXXX1421</t>
  </si>
  <si>
    <t>VBPVKON</t>
  </si>
  <si>
    <t>TAJIYO KA CHOWK ,DEOGARH,DEOGARH,313331</t>
  </si>
  <si>
    <t>JABBAR HUSSAIN</t>
  </si>
  <si>
    <t>MUSTAK</t>
  </si>
  <si>
    <t>AKILA BANU</t>
  </si>
  <si>
    <t>XXXX1894</t>
  </si>
  <si>
    <t>VXRHGPH</t>
  </si>
  <si>
    <t>Juman Khan</t>
  </si>
  <si>
    <t>Jakir Husain Pathan</t>
  </si>
  <si>
    <t>Rehana Banoo</t>
  </si>
  <si>
    <t>XXXX0984</t>
  </si>
  <si>
    <t>YACOBOK</t>
  </si>
  <si>
    <t>SIPAHIYO KA MOHALLA,DEOGARH,DEOGARH,313331</t>
  </si>
  <si>
    <t>MADAN SINGH</t>
  </si>
  <si>
    <t>TARU SINGH</t>
  </si>
  <si>
    <t>XXXX8067</t>
  </si>
  <si>
    <t>YOEFKUF</t>
  </si>
  <si>
    <t>MAHAVEER SINGH</t>
  </si>
  <si>
    <t>RAJENDRA SINGH</t>
  </si>
  <si>
    <t>XXXX2962</t>
  </si>
  <si>
    <t>YDOGWCO</t>
  </si>
  <si>
    <t>DHOLI MAGARI AADAWALA BAGGAD,DEOGARH,BAGGAD,313331</t>
  </si>
  <si>
    <t>MAHENDRA SINGH</t>
  </si>
  <si>
    <t>DEVI SINGH</t>
  </si>
  <si>
    <t>VARDI DEVI</t>
  </si>
  <si>
    <t>XXXX6970</t>
  </si>
  <si>
    <t>BARJAL,BHIM,VPO-BARJAL,313331</t>
  </si>
  <si>
    <t>MAHESH CHANDRA SARGARA</t>
  </si>
  <si>
    <t>RAJKUMAR SARGARA</t>
  </si>
  <si>
    <t>SUSHILA DEVI</t>
  </si>
  <si>
    <t>XXXX9236</t>
  </si>
  <si>
    <t>BAKMIBO</t>
  </si>
  <si>
    <t>SASTRI NAGAR WARD NO. 5,DEOGARH,DEOGARH,313331</t>
  </si>
  <si>
    <t>MANEESH KUMAR</t>
  </si>
  <si>
    <t>KAILASH CHANDRA PRAJAPAT</t>
  </si>
  <si>
    <t>SEETA DEVI</t>
  </si>
  <si>
    <t>XXXX0417</t>
  </si>
  <si>
    <t>VPZKGVR</t>
  </si>
  <si>
    <t>Manish Khatik</t>
  </si>
  <si>
    <t>Mukesh Kumar Khatik</t>
  </si>
  <si>
    <t>Pinki Devi</t>
  </si>
  <si>
    <t>XXXX9936</t>
  </si>
  <si>
    <t>vbrnkov</t>
  </si>
  <si>
    <t>SURAJ DAREWAJA KHATIK MOHALLA ,DEOGARH,WRAD NO 8 DEOGARH,313331</t>
  </si>
  <si>
    <t>MANISH MEWARA</t>
  </si>
  <si>
    <t>DHARM CHAND</t>
  </si>
  <si>
    <t>XXXX3912</t>
  </si>
  <si>
    <t>WXZXOZR</t>
  </si>
  <si>
    <t>kundeli,Deogarh,kundeli,313141</t>
  </si>
  <si>
    <t>MANISH REGAR</t>
  </si>
  <si>
    <t>SURESH REGAR</t>
  </si>
  <si>
    <t>DEVU DEVI</t>
  </si>
  <si>
    <t>XXXX0631</t>
  </si>
  <si>
    <t>BAWQCKG</t>
  </si>
  <si>
    <t>SOLANKI DARWAJA,DEOGARH,DEOGARH,313331</t>
  </si>
  <si>
    <t>MANISH SINGH</t>
  </si>
  <si>
    <t>LEELA DEVI</t>
  </si>
  <si>
    <t>XXXX8019</t>
  </si>
  <si>
    <t>VPWNBTR</t>
  </si>
  <si>
    <t>Mohammad Tanveer</t>
  </si>
  <si>
    <t>Mohammad Irfan</t>
  </si>
  <si>
    <t>Rehana Bano</t>
  </si>
  <si>
    <t>XXXX0082</t>
  </si>
  <si>
    <t>MOHIT KUMAR SALVI</t>
  </si>
  <si>
    <t>MANGI LAL</t>
  </si>
  <si>
    <t>XXXX0190</t>
  </si>
  <si>
    <t>VWTNVVJ</t>
  </si>
  <si>
    <t>MUKESH GURJAR</t>
  </si>
  <si>
    <t>MANGI LAL GURJAR</t>
  </si>
  <si>
    <t>DEU DEVI GURJAR</t>
  </si>
  <si>
    <t>XXXX1930</t>
  </si>
  <si>
    <t>VOZJJOX</t>
  </si>
  <si>
    <t>MUKESH SINGH</t>
  </si>
  <si>
    <t>CHANDRA DEVI</t>
  </si>
  <si>
    <t>XXXX5100</t>
  </si>
  <si>
    <t>YMYMGGK</t>
  </si>
  <si>
    <t>Naitik Singh</t>
  </si>
  <si>
    <t>Bheru Singh</t>
  </si>
  <si>
    <t>Rama Kanwar</t>
  </si>
  <si>
    <t>XXXX9812</t>
  </si>
  <si>
    <t>RAMDEV MANDIR KE PASS ,DEOGARH,DEOGARH,313331</t>
  </si>
  <si>
    <t>XXXX0121</t>
  </si>
  <si>
    <t>WXZCGHX</t>
  </si>
  <si>
    <t>NARENDRA KUMAR SALVI</t>
  </si>
  <si>
    <t>GHISA RAM</t>
  </si>
  <si>
    <t>MUNNI DEVI</t>
  </si>
  <si>
    <t>XXXX1409</t>
  </si>
  <si>
    <t>YDOUBYW</t>
  </si>
  <si>
    <t>NARENDRA SINGH</t>
  </si>
  <si>
    <t>XXXX6208</t>
  </si>
  <si>
    <t>VWNXHGX</t>
  </si>
  <si>
    <t>TAARU SINGH</t>
  </si>
  <si>
    <t>KAMALA DEVI</t>
  </si>
  <si>
    <t>XXXX3911</t>
  </si>
  <si>
    <t>VPWPJKR</t>
  </si>
  <si>
    <t>VILLAGE-KUNDELI,Deogarh,KUNDELI,313341</t>
  </si>
  <si>
    <t>NARESH KUMAR</t>
  </si>
  <si>
    <t>PRATAP RAM</t>
  </si>
  <si>
    <t>XXXX9269</t>
  </si>
  <si>
    <t>VVVTNBR</t>
  </si>
  <si>
    <t>NAVEEN TIWARI</t>
  </si>
  <si>
    <t>CHETAN PRAKASH TIWARI</t>
  </si>
  <si>
    <t>GAYATRI DEVI</t>
  </si>
  <si>
    <t>XXXX9010</t>
  </si>
  <si>
    <t>BADDI HOLI KA THAN,DEOGARH,DEOGARH,313331</t>
  </si>
  <si>
    <t>NAVNEET REGAR</t>
  </si>
  <si>
    <t>MOHAN LAL</t>
  </si>
  <si>
    <t>TULSI DEVI</t>
  </si>
  <si>
    <t>XXXX1334</t>
  </si>
  <si>
    <t>WFEOCBC</t>
  </si>
  <si>
    <t>SOLANKI DARWAJA KE ANDER,RAJSAMAND,DEOGARH,313331</t>
  </si>
  <si>
    <t>NIKHIL KHOKAR</t>
  </si>
  <si>
    <t>VIJESH KHOKAR</t>
  </si>
  <si>
    <t>SONU KHOKAR</t>
  </si>
  <si>
    <t>XXXX3882</t>
  </si>
  <si>
    <t>HARIJAN BASTI,DEOGARH,DEOGARH,313331</t>
  </si>
  <si>
    <t>Nikhil Singh</t>
  </si>
  <si>
    <t>Ramesh Singh</t>
  </si>
  <si>
    <t>Dhanwanti</t>
  </si>
  <si>
    <t>XXXX0557</t>
  </si>
  <si>
    <t>BARJAL,BHIM,BHIM,313331</t>
  </si>
  <si>
    <t>NILESH MEWARA</t>
  </si>
  <si>
    <t>XXXX6268</t>
  </si>
  <si>
    <t>YOESFFW</t>
  </si>
  <si>
    <t>KUNDELI POST MIYALA,DEOGARH,KUNDELI,313341</t>
  </si>
  <si>
    <t>NILESH SALVI</t>
  </si>
  <si>
    <t>DHARAM CHAND SALVI</t>
  </si>
  <si>
    <t>XXXX3335</t>
  </si>
  <si>
    <t>VZPHZGJ</t>
  </si>
  <si>
    <t>WARD NO 8 OIL MILL KE PASS,DEOGARH,GUJARI DARWAJA,313331</t>
  </si>
  <si>
    <t>SHRVANLAL SALVI</t>
  </si>
  <si>
    <t>KELEE DEVI</t>
  </si>
  <si>
    <t>XXXX5084</t>
  </si>
  <si>
    <t>VPVKTCN</t>
  </si>
  <si>
    <t>KUNDELI,Deogarh,KUNDELI,313341</t>
  </si>
  <si>
    <t>Nitesh Kumar</t>
  </si>
  <si>
    <t>Nemi Chand</t>
  </si>
  <si>
    <t>XXXX2688</t>
  </si>
  <si>
    <t>CHETA CHAREDO KA BADIYA,DEOGARH,KAMLIGHAT CHORAHA,313331</t>
  </si>
  <si>
    <t>OM NATH</t>
  </si>
  <si>
    <t>MANGU NATH</t>
  </si>
  <si>
    <t>RUPI</t>
  </si>
  <si>
    <t>XXXX4509</t>
  </si>
  <si>
    <t>VOGZVHR</t>
  </si>
  <si>
    <t>JOGELA ,DEOGARH,SAWADARI,313331</t>
  </si>
  <si>
    <t>PIYUSH GURJAR</t>
  </si>
  <si>
    <t>HARDEV GURJAR</t>
  </si>
  <si>
    <t>XXXX6600</t>
  </si>
  <si>
    <t>PITAMPURA,DEOGARH,PITAMPURA,313331</t>
  </si>
  <si>
    <t>POONAM CHAND</t>
  </si>
  <si>
    <t>PYARE LAL</t>
  </si>
  <si>
    <t>XXXX7386</t>
  </si>
  <si>
    <t>YOCSKEK</t>
  </si>
  <si>
    <t>Hamaton Ki Guwar,Bhim,Lakhaguda,313341</t>
  </si>
  <si>
    <t>PRABHU SINGH KANAWAT</t>
  </si>
  <si>
    <t>RANJEET SINGH KANAWAT</t>
  </si>
  <si>
    <t>BEENU KANWAR</t>
  </si>
  <si>
    <t>XXXX8505</t>
  </si>
  <si>
    <t>wzvwohn</t>
  </si>
  <si>
    <t>lasani,deogarh,LASANI,313331</t>
  </si>
  <si>
    <t>PRADEEP SINGH RAWAT</t>
  </si>
  <si>
    <t>BHEEM SINGH</t>
  </si>
  <si>
    <t>XXXX1945</t>
  </si>
  <si>
    <t>VHWJKOR</t>
  </si>
  <si>
    <t>POLISH THANA KE PASS ,DEOGARH,DEOGARH,313331</t>
  </si>
  <si>
    <t>PRAHLAD PRAJAPAT</t>
  </si>
  <si>
    <t>SRI SHESH MAL PRAJAPAT</t>
  </si>
  <si>
    <t>SMT REKHA DEVI</t>
  </si>
  <si>
    <t>XXXX9911</t>
  </si>
  <si>
    <t>VWHZRTX</t>
  </si>
  <si>
    <t>PRAKASH KUMAR SALVI</t>
  </si>
  <si>
    <t>KASTUR LAL</t>
  </si>
  <si>
    <t>XXXX9797</t>
  </si>
  <si>
    <t>YDAFIUG</t>
  </si>
  <si>
    <t>Praveen</t>
  </si>
  <si>
    <t>Jagdish Chandra</t>
  </si>
  <si>
    <t>Asha Devi</t>
  </si>
  <si>
    <t>XXXX4344</t>
  </si>
  <si>
    <t>Raghav Vaishnav</t>
  </si>
  <si>
    <t>Rajesh Vaishnav</t>
  </si>
  <si>
    <t>Durga Devi</t>
  </si>
  <si>
    <t>XXXX7682</t>
  </si>
  <si>
    <t>KOTHARIYO KI POLE,DEOGARH,DEOGARH,313331</t>
  </si>
  <si>
    <t>Rahul Kumar Regar</t>
  </si>
  <si>
    <t>Pyara Lal Regar</t>
  </si>
  <si>
    <t>Anachi Devi</t>
  </si>
  <si>
    <t>XXXX3555</t>
  </si>
  <si>
    <t>WARD NO 6 GUJARI DARWAJA KE ANDER,DEOGARH,DEOGARH,313331</t>
  </si>
  <si>
    <t>XXXX9780</t>
  </si>
  <si>
    <t>OLANA KA KHEDA ,BHILWARA,GOREAAKUWA,313330</t>
  </si>
  <si>
    <t>RAMESH LAL MALI</t>
  </si>
  <si>
    <t>MEENA MALI</t>
  </si>
  <si>
    <t>KALYAN SINGH</t>
  </si>
  <si>
    <t>JHAMKU DEVI</t>
  </si>
  <si>
    <t>XXXX4597</t>
  </si>
  <si>
    <t>YMBOIKB</t>
  </si>
  <si>
    <t>Raju Mali</t>
  </si>
  <si>
    <t>Keshar Devi</t>
  </si>
  <si>
    <t>XXXX6838</t>
  </si>
  <si>
    <t>VIJAYPURA,DEOGARH,KAMLIGHAT,313331</t>
  </si>
  <si>
    <t>RAJU VAN</t>
  </si>
  <si>
    <t>SAMANDER VAN</t>
  </si>
  <si>
    <t>ANITA VAN</t>
  </si>
  <si>
    <t>XXXX4748</t>
  </si>
  <si>
    <t>BHPBGVP</t>
  </si>
  <si>
    <t>Vill.-Nandwa,Deogarh,Kundwa,313331</t>
  </si>
  <si>
    <t>Sohan Singh</t>
  </si>
  <si>
    <t>XXXX6437</t>
  </si>
  <si>
    <t>BARJAL,BHIM,TEH BHIM,313341</t>
  </si>
  <si>
    <t>Ravi Bharti Goswami</t>
  </si>
  <si>
    <t>Suresh Bharti Goswami</t>
  </si>
  <si>
    <t>XXXX0522</t>
  </si>
  <si>
    <t>VHONWTH</t>
  </si>
  <si>
    <t>RAMPURIYA,DEOGARH,RAMPURIYA,313331</t>
  </si>
  <si>
    <t>RAVINDRA SINGH</t>
  </si>
  <si>
    <t>XXXX8940</t>
  </si>
  <si>
    <t>YWWSMAK</t>
  </si>
  <si>
    <t>GOSWAMI MOHALLA ,DEOGARH,DEOGARH,313331</t>
  </si>
  <si>
    <t>RAVINDRA SINGH RATHORE</t>
  </si>
  <si>
    <t>SHANKAR SINGH RATHORE</t>
  </si>
  <si>
    <t>XXXX8062</t>
  </si>
  <si>
    <t>DEOGARH, DEOGARH,RAJSAMAND,,313331</t>
  </si>
  <si>
    <t>Rohit Gurjar</t>
  </si>
  <si>
    <t>Bhanwar Gurjar</t>
  </si>
  <si>
    <t>Krishna Devi</t>
  </si>
  <si>
    <t>XXXX7032</t>
  </si>
  <si>
    <t>bcgmybe</t>
  </si>
  <si>
    <t>SANGRAMPURA,TEH DEOGARH,SANGRAMPURA,313331</t>
  </si>
  <si>
    <t>Sachin Singh Tank</t>
  </si>
  <si>
    <t>Ajay Singh Tank</t>
  </si>
  <si>
    <t>Lona Kanwar</t>
  </si>
  <si>
    <t>XXXX6857</t>
  </si>
  <si>
    <t>KESHRINGH GHATI RAJPUT MOHALLA DEOGARH,DEOGARH,DEOGARH,313331</t>
  </si>
  <si>
    <t>SADDAM HUSSAIN</t>
  </si>
  <si>
    <t>KHURSHID AHAMED</t>
  </si>
  <si>
    <t>MOHASINA BANU</t>
  </si>
  <si>
    <t>XXXX4788</t>
  </si>
  <si>
    <t>YYMADDC</t>
  </si>
  <si>
    <t>SAGAR SINGH</t>
  </si>
  <si>
    <t>LALITA DEVI</t>
  </si>
  <si>
    <t>XXXX2218</t>
  </si>
  <si>
    <t>BCSICCW</t>
  </si>
  <si>
    <t>khokhato ka badiya,deogarh,kitto ka badiya,313331</t>
  </si>
  <si>
    <t>SANJAY KALAL</t>
  </si>
  <si>
    <t>PRAKASH CHANDRA KALAL</t>
  </si>
  <si>
    <t>XXXX3223</t>
  </si>
  <si>
    <t>BCSTBHH</t>
  </si>
  <si>
    <t>Sanjay Sahu</t>
  </si>
  <si>
    <t>Ladu Lal Sahu</t>
  </si>
  <si>
    <t>Sharda Devi</t>
  </si>
  <si>
    <t>XXXX4679</t>
  </si>
  <si>
    <t>VBWBCWN</t>
  </si>
  <si>
    <t>SOLANKI DARWAJA KE ANDER NARAYAN JI KA MOHALLA,DEOGARH,DEOGARH,313331</t>
  </si>
  <si>
    <t>Shahjan Sheikh</t>
  </si>
  <si>
    <t>Firojkha Sheikh</t>
  </si>
  <si>
    <t>Nilofar Banu</t>
  </si>
  <si>
    <t>XXXX6720</t>
  </si>
  <si>
    <t>SIPAHIYO KA MOHALLA WARD NO 20,DEOGARH,DEOGARH,313331</t>
  </si>
  <si>
    <t>Shahnawaj Sheikh</t>
  </si>
  <si>
    <t>Abdul Hamid Sheikh</t>
  </si>
  <si>
    <t>Madina Banu</t>
  </si>
  <si>
    <t>XXXX2832</t>
  </si>
  <si>
    <t>SHORYWARDAN SINGH KANAWAT</t>
  </si>
  <si>
    <t>HEMANT SINGH</t>
  </si>
  <si>
    <t>ASHA KANWAR</t>
  </si>
  <si>
    <t>XXXX9577</t>
  </si>
  <si>
    <t>SHUBHAM KUMAR HARIJAN</t>
  </si>
  <si>
    <t>RAMESH CHANDRA HARIJAN</t>
  </si>
  <si>
    <t>JAMNA DEVI</t>
  </si>
  <si>
    <t>XXXX4804</t>
  </si>
  <si>
    <t>Suraj Regar</t>
  </si>
  <si>
    <t>Suresh Regar</t>
  </si>
  <si>
    <t>XXXX9378</t>
  </si>
  <si>
    <t>SOLANKI DARWAJA KE BAHAR WARD NO 3,DEOGARH,DEOGARH,313331</t>
  </si>
  <si>
    <t>Tejas Gandhi</t>
  </si>
  <si>
    <t>Hastimal Gandhi</t>
  </si>
  <si>
    <t>XXXX9187</t>
  </si>
  <si>
    <t>SADAR BAZAR,DEOGARH,DEOGARH,313331</t>
  </si>
  <si>
    <t>TEJPAL SINGH</t>
  </si>
  <si>
    <t>ANITA DEVI</t>
  </si>
  <si>
    <t>XXXX6020</t>
  </si>
  <si>
    <t>WDFCICG</t>
  </si>
  <si>
    <t>KHERA,PANTA KI AANTI,DEOGARH,KHERA,313341</t>
  </si>
  <si>
    <t>VIJAY LAL KALAL</t>
  </si>
  <si>
    <t>GOPI LAL KALAL</t>
  </si>
  <si>
    <t>XXXX3421</t>
  </si>
  <si>
    <t>YWKGGYF</t>
  </si>
  <si>
    <t>VIKAS DADVARIYA</t>
  </si>
  <si>
    <t>MADAN LAL DADVARIYA</t>
  </si>
  <si>
    <t>XXXX5151</t>
  </si>
  <si>
    <t>YBCIYQG</t>
  </si>
  <si>
    <t>VIKRAM SINGH</t>
  </si>
  <si>
    <t>TILOK SINGH</t>
  </si>
  <si>
    <t>MEVA DEVI</t>
  </si>
  <si>
    <t>XXXX7270</t>
  </si>
  <si>
    <t>YYGFCEO</t>
  </si>
  <si>
    <t>.GUDA GAGA,MARWAR JUNCTION,GUDA,306022</t>
  </si>
  <si>
    <t>VINOD SALVI</t>
  </si>
  <si>
    <t>NENA RAM</t>
  </si>
  <si>
    <t>XXXX7757</t>
  </si>
  <si>
    <t>YMWGFSB</t>
  </si>
  <si>
    <t>HATHAI KE PASS SALVI MOHALLA,DEOGARH,KUNDELI,313341</t>
  </si>
  <si>
    <t>VINOD SINGH</t>
  </si>
  <si>
    <t>XXXX0339</t>
  </si>
  <si>
    <t>YOIUBMC</t>
  </si>
  <si>
    <t>Virendra Singh</t>
  </si>
  <si>
    <t>Pooran Singh</t>
  </si>
  <si>
    <t>Bebi Kanwar</t>
  </si>
  <si>
    <t>XXXX4354</t>
  </si>
  <si>
    <t>LAL JI KHEDA,DEOGARH,DEOGARH,313331</t>
  </si>
  <si>
    <t>VISHNU VAISHNAV</t>
  </si>
  <si>
    <t>KAILASH VAISHNAV</t>
  </si>
  <si>
    <t>XXXX2903</t>
  </si>
  <si>
    <t>YASH GIRI GOSWAMI</t>
  </si>
  <si>
    <t>GIRIRAJ GIRI GOSWAMI</t>
  </si>
  <si>
    <t>SANTOSH PURI</t>
  </si>
  <si>
    <t>XXXX6787</t>
  </si>
  <si>
    <t>WDFDODS</t>
  </si>
  <si>
    <t>SOLANKI DARWAJA KE ANDER,DEOGARH,GOSWAMI MOHALLA WARD NO 12,313331</t>
  </si>
  <si>
    <t>Yash Veragi</t>
  </si>
  <si>
    <t>Hemant Vaishnav</t>
  </si>
  <si>
    <t>XXXX4834</t>
  </si>
  <si>
    <t>BHATTO KA MOHALLA,DEOGARH,DEOGARH,313341</t>
  </si>
  <si>
    <t>Yashwant Regar</t>
  </si>
  <si>
    <t>Pintu Kumar</t>
  </si>
  <si>
    <t>Deu Devi</t>
  </si>
  <si>
    <t>XXXX7515</t>
  </si>
  <si>
    <t>SOLANKI DARWAJA ,DEOGARH,DEOGARH,313331</t>
  </si>
  <si>
    <t>YASHWANT SINGH</t>
  </si>
  <si>
    <t>XXXX4929</t>
  </si>
  <si>
    <t>YBCBFCS</t>
  </si>
  <si>
    <t>KHERA,PANTA KI AANTI,DEOGARH,KHERA,PANTA KI AANTI,313341</t>
  </si>
  <si>
    <t>ANUP KAHAR</t>
  </si>
  <si>
    <t>SOHAN LAL KAHAR</t>
  </si>
  <si>
    <t>SYAMU DEVI</t>
  </si>
  <si>
    <t>XXXX5576</t>
  </si>
  <si>
    <t>Anurag Suman</t>
  </si>
  <si>
    <t>Rajendra Kumar Suman</t>
  </si>
  <si>
    <t>Savitri Bai</t>
  </si>
  <si>
    <t>XXXX9275</t>
  </si>
  <si>
    <t>WXZPNVX</t>
  </si>
  <si>
    <t>RON,PIPALDA,PIPALDA KALA,325004</t>
  </si>
  <si>
    <t>ARJUN SINGH</t>
  </si>
  <si>
    <t>XXXX6673</t>
  </si>
  <si>
    <t>MANAREL,TEH.-DEOGARH,MANAREL,313331</t>
  </si>
  <si>
    <t>BABLU KALAL</t>
  </si>
  <si>
    <t>NARAYAN LAL KALAL</t>
  </si>
  <si>
    <t>MOHANI DEVI</t>
  </si>
  <si>
    <t>XXXX1790</t>
  </si>
  <si>
    <t>VVXOOKR</t>
  </si>
  <si>
    <t>BAHADUR RAWAL</t>
  </si>
  <si>
    <t>XXXX0025</t>
  </si>
  <si>
    <t>YBSBVYF</t>
  </si>
  <si>
    <t>kundeli ,post- miyala teh.- deogarh ,deogarh,kundeli,313341</t>
  </si>
  <si>
    <t>BHAIRU LAL RAYKA</t>
  </si>
  <si>
    <t>GANPAT LAL RAYKA</t>
  </si>
  <si>
    <t>ASANA BAI</t>
  </si>
  <si>
    <t>XXXX5027</t>
  </si>
  <si>
    <t>VPWTCWP</t>
  </si>
  <si>
    <t>BHARAT KUMAR</t>
  </si>
  <si>
    <t>SAROJ DEVI</t>
  </si>
  <si>
    <t>XXXX1633</t>
  </si>
  <si>
    <t>VBNKCON</t>
  </si>
  <si>
    <t>THIKARWAS KALAN,BHIM,,313341</t>
  </si>
  <si>
    <t>BHARAT KUMAR MALI</t>
  </si>
  <si>
    <t>XXXX8297</t>
  </si>
  <si>
    <t>YOMDFWC</t>
  </si>
  <si>
    <t>MALIYO KA MOHALLA ,DEOGARH,DEOGARH,313331</t>
  </si>
  <si>
    <t>BHAVESH MEWARA</t>
  </si>
  <si>
    <t>SOHAN LAL</t>
  </si>
  <si>
    <t>LADI DEVI</t>
  </si>
  <si>
    <t>XXXX1718</t>
  </si>
  <si>
    <t>YOAUWWB</t>
  </si>
  <si>
    <t>kundeli miyala,deogarh,kundeli,313341</t>
  </si>
  <si>
    <t>Bhavesh Mewara</t>
  </si>
  <si>
    <t>Jagannath Mewara</t>
  </si>
  <si>
    <t>Parsi Devi</t>
  </si>
  <si>
    <t>XXXX9050</t>
  </si>
  <si>
    <t>KALALO KI AANTI,DEOGARH,POST LASANI,313331</t>
  </si>
  <si>
    <t>Bhavesh Suthar</t>
  </si>
  <si>
    <t>Ramesh Lal Suthar</t>
  </si>
  <si>
    <t>Deu Bai</t>
  </si>
  <si>
    <t>XXXX1721</t>
  </si>
  <si>
    <t>BCEUOBO</t>
  </si>
  <si>
    <t>SHORGARO KA MOHALLA,DEOGARH,DEOGARH,313331</t>
  </si>
  <si>
    <t>Chandrapal Singh</t>
  </si>
  <si>
    <t>Dunger Singh</t>
  </si>
  <si>
    <t>Pushpa Rupawat</t>
  </si>
  <si>
    <t>XXXX5103</t>
  </si>
  <si>
    <t>wzbkHSP</t>
  </si>
  <si>
    <t>KITO KA WADIYA KAMLIGHAT,DEOGARH,VIJAYPURA,313331</t>
  </si>
  <si>
    <t>CHHOTU LAL GAWARIYA</t>
  </si>
  <si>
    <t>MITHA LAL</t>
  </si>
  <si>
    <t>XXXX2871</t>
  </si>
  <si>
    <t>VBSOTPJ</t>
  </si>
  <si>
    <t>Chitransh Deshantry</t>
  </si>
  <si>
    <t>Paresh Kumar Deshantry</t>
  </si>
  <si>
    <t>Sumitra Deshantry</t>
  </si>
  <si>
    <t>XXXX3983</t>
  </si>
  <si>
    <t>WFYQIUB</t>
  </si>
  <si>
    <t>SURAJ DARWAJA KUMHARO KA MOHALLA,DEOGARH,DEOGARH,313331</t>
  </si>
  <si>
    <t>DAGAR SINGH</t>
  </si>
  <si>
    <t>BHAGWAN SINGH</t>
  </si>
  <si>
    <t>XXXX5937</t>
  </si>
  <si>
    <t>VPWPNXT</t>
  </si>
  <si>
    <t>DALVEER SINGH</t>
  </si>
  <si>
    <t>KHEEM SINGH</t>
  </si>
  <si>
    <t>FULI DEVI</t>
  </si>
  <si>
    <t>XXXX7203</t>
  </si>
  <si>
    <t>VPZKJNX</t>
  </si>
  <si>
    <t>Deepak Kumar Mali</t>
  </si>
  <si>
    <t>Suresh Chandra Mali</t>
  </si>
  <si>
    <t>Prem Devi Mali</t>
  </si>
  <si>
    <t>XXXX3473</t>
  </si>
  <si>
    <t>KANYA P[ATHSHALA KE PICHE WARD NO 23,DEOGARH,DEOGARH,313331</t>
  </si>
  <si>
    <t>Deepanshu Regar</t>
  </si>
  <si>
    <t>Ladu Lal Regar</t>
  </si>
  <si>
    <t>Chandra kala Regar</t>
  </si>
  <si>
    <t>XXXX3626</t>
  </si>
  <si>
    <t>VXJCPZX</t>
  </si>
  <si>
    <t>SOLANKI DARWAJA KE ANDER RAMDEV MANDIR KE PASS ,DEOGARH,DEOGARH,313331</t>
  </si>
  <si>
    <t>DEVENDRA GURJAR</t>
  </si>
  <si>
    <t>SUKHI DEVI</t>
  </si>
  <si>
    <t>XXXX0078</t>
  </si>
  <si>
    <t>YBSBGAC</t>
  </si>
  <si>
    <t>DEVENDRA KUMAR KHATIK</t>
  </si>
  <si>
    <t>XXXX3995</t>
  </si>
  <si>
    <t>UMRAJ TAPALO KA KHEDA,Deogarh,Tapaloka kheda,313331</t>
  </si>
  <si>
    <t>DHARMESH KALAL</t>
  </si>
  <si>
    <t>KHUMAN LAL KALAL</t>
  </si>
  <si>
    <t>DEU DEVI</t>
  </si>
  <si>
    <t>XXXX9061</t>
  </si>
  <si>
    <t>BABOISB</t>
  </si>
  <si>
    <t>nichla vaas,deogarh,sopari,313331</t>
  </si>
  <si>
    <t>DUNGAR SINGH</t>
  </si>
  <si>
    <t>UDI DEVI</t>
  </si>
  <si>
    <t>XXXX1342</t>
  </si>
  <si>
    <t>Upali Rashmi,DEOGARH,Rashmi,313341</t>
  </si>
  <si>
    <t>JASODA DEVI</t>
  </si>
  <si>
    <t>VOJGORP</t>
  </si>
  <si>
    <t>RASHMI,DEOGARH,SANGAWAS,313341</t>
  </si>
  <si>
    <t>DHANU DEVI</t>
  </si>
  <si>
    <t>XXXX4956</t>
  </si>
  <si>
    <t>WDFDMYF</t>
  </si>
  <si>
    <t>GAURAV MALI</t>
  </si>
  <si>
    <t>SANTOSH BAI</t>
  </si>
  <si>
    <t>XXXX4844</t>
  </si>
  <si>
    <t>SHAKTI NAGAR DEOGARH ,DEOGARH,DEOGARH,313331</t>
  </si>
  <si>
    <t>GIRIRAJ GAWARIYA</t>
  </si>
  <si>
    <t>GOVIND GAWARIYA</t>
  </si>
  <si>
    <t>SEEMA DEVI</t>
  </si>
  <si>
    <t>XXXX7779</t>
  </si>
  <si>
    <t>BAWQEBG</t>
  </si>
  <si>
    <t>Kacchchi basti,DEOGARH,Ratadiya ka chauda,313331</t>
  </si>
  <si>
    <t>Gopal Lal Gurjar</t>
  </si>
  <si>
    <t>Nenalal Gurjar</t>
  </si>
  <si>
    <t>Chandi Devi</t>
  </si>
  <si>
    <t>XXXX7889</t>
  </si>
  <si>
    <t>VILL GHATI,DEOGARH,POST ANJANA,313331</t>
  </si>
  <si>
    <t>GOVIND MALI</t>
  </si>
  <si>
    <t>MADAN LAL MALI</t>
  </si>
  <si>
    <t>SOHANI DEVI</t>
  </si>
  <si>
    <t>XXXX1380</t>
  </si>
  <si>
    <t>Govind Nath Yogi</t>
  </si>
  <si>
    <t>Bhairu Nath Yogi</t>
  </si>
  <si>
    <t>Teepu Devi</t>
  </si>
  <si>
    <t>XXXX9902</t>
  </si>
  <si>
    <t>vxbhczp</t>
  </si>
  <si>
    <t>GIRDHAR PURA,BADNOR,BHOJPURA TEH BADNOR,311302</t>
  </si>
  <si>
    <t>HEMANT SINGH RAWAT</t>
  </si>
  <si>
    <t>HARI SINGH</t>
  </si>
  <si>
    <t>ANHCHI DEVI</t>
  </si>
  <si>
    <t>XXXX6539</t>
  </si>
  <si>
    <t>VXZVKSP</t>
  </si>
  <si>
    <t>HEMENDRA</t>
  </si>
  <si>
    <t>LAXMAN LAL KALAL</t>
  </si>
  <si>
    <t>XXXX5384</t>
  </si>
  <si>
    <t>VBCTSHT</t>
  </si>
  <si>
    <t>HATHAI KE PASS NICHALA WAS,DEOGARH,KUNDELI ,313341</t>
  </si>
  <si>
    <t>HEMENDRA SEN</t>
  </si>
  <si>
    <t>BANSI LAL SEN</t>
  </si>
  <si>
    <t>BINDU SEN</t>
  </si>
  <si>
    <t>XXXX4641</t>
  </si>
  <si>
    <t>YOIWMBK</t>
  </si>
  <si>
    <t>MANDAWARA SWADARI,DEOGARH,DEOGARH,313331</t>
  </si>
  <si>
    <t>Hemraj Regar</t>
  </si>
  <si>
    <t>Nena Lal Regar</t>
  </si>
  <si>
    <t>XXXX7322</t>
  </si>
  <si>
    <t>HINDRAJ SINGH PANWAR</t>
  </si>
  <si>
    <t>DWARKA SINGH PANWAR</t>
  </si>
  <si>
    <t>RAJESHWARI PANWAR</t>
  </si>
  <si>
    <t>XXXX5072</t>
  </si>
  <si>
    <t>JASRAJ NAT</t>
  </si>
  <si>
    <t>GOPAL LAL NAT</t>
  </si>
  <si>
    <t>SHANTI DEVI NAT</t>
  </si>
  <si>
    <t>XXXX2029</t>
  </si>
  <si>
    <t>YFMKDMB</t>
  </si>
  <si>
    <t>JEETU SINGH</t>
  </si>
  <si>
    <t>XXXX5810</t>
  </si>
  <si>
    <t>XXXX1874</t>
  </si>
  <si>
    <t>YMFSIKF</t>
  </si>
  <si>
    <t>Kamlesh Guvariya</t>
  </si>
  <si>
    <t>Lakha Ram Guvariya</t>
  </si>
  <si>
    <t>XXXX7696</t>
  </si>
  <si>
    <t>Kamlesh Khatik</t>
  </si>
  <si>
    <t>XXXX2007</t>
  </si>
  <si>
    <t>KHATIK MOHALLA SURAJ DARWAJA,DEOGARH,DEOGARH,313331</t>
  </si>
  <si>
    <t>KAMLESH SINGH</t>
  </si>
  <si>
    <t>BHERU SINGH</t>
  </si>
  <si>
    <t>HEMA DEVI</t>
  </si>
  <si>
    <t>XXXX0098</t>
  </si>
  <si>
    <t>YFCIFAS</t>
  </si>
  <si>
    <t>kishanpura,deogarh,kishanpura,313331</t>
  </si>
  <si>
    <t>KARAN GAWARIYA</t>
  </si>
  <si>
    <t>BHURA LAL GAWARIYA</t>
  </si>
  <si>
    <t>XXXX8665</t>
  </si>
  <si>
    <t>VVPZSHR</t>
  </si>
  <si>
    <t>KISHAN JOSHI</t>
  </si>
  <si>
    <t>RADHE SHYAM JOSHI</t>
  </si>
  <si>
    <t>PINNA DEVI</t>
  </si>
  <si>
    <t>XXXX7251</t>
  </si>
  <si>
    <t>YFIUMFW</t>
  </si>
  <si>
    <t>KHUMARO KA MOHALLA,DEOGARH,SURAJ DARWAJA,313331</t>
  </si>
  <si>
    <t>NCC</t>
  </si>
  <si>
    <t>KISHAN LAL REGAR</t>
  </si>
  <si>
    <t>BHANWAR LAL REGAR</t>
  </si>
  <si>
    <t>XXXX8234</t>
  </si>
  <si>
    <t>VPZCVSV</t>
  </si>
  <si>
    <t>SHOBHARAM JI KI SAMADHI MANDAWARA,DEOGARH,MANDAWARA,313331</t>
  </si>
  <si>
    <t>KISHOR KAHAR</t>
  </si>
  <si>
    <t>GOVIND LAL KAHAR</t>
  </si>
  <si>
    <t>YYMAUYG</t>
  </si>
  <si>
    <t>VILLAGE- MANDAWARA,DEOGARH,MANDAWARA,313331</t>
  </si>
  <si>
    <t>KISHOR NATH</t>
  </si>
  <si>
    <t>TEEMU</t>
  </si>
  <si>
    <t>XXXX2404</t>
  </si>
  <si>
    <t>Ladunath,Deogarh,Jogela,313331</t>
  </si>
  <si>
    <t>KISHOR SINGH</t>
  </si>
  <si>
    <t>XXXX5665</t>
  </si>
  <si>
    <t>VOHSKWH</t>
  </si>
  <si>
    <t>KHERA ,DEOGARH,PANTA KI AANTI PANCHAYAT SANGAWAS,313341</t>
  </si>
  <si>
    <t>Lavish Jeengar</t>
  </si>
  <si>
    <t>Paras Jeengar</t>
  </si>
  <si>
    <t>Kiran Devi</t>
  </si>
  <si>
    <t>XXXX6619</t>
  </si>
  <si>
    <t>VZVTRBV</t>
  </si>
  <si>
    <t>MARU DARWAJA KE ANDER ,DEOGARH,DEOGARH,313331</t>
  </si>
  <si>
    <t>LOKESH MALI</t>
  </si>
  <si>
    <t>TARU MALI</t>
  </si>
  <si>
    <t>BHAWANA MALI</t>
  </si>
  <si>
    <t>XXXX0280</t>
  </si>
  <si>
    <t>WARD NO. 20 ,DEOGARH,DEOGARH ,313331</t>
  </si>
  <si>
    <t>BANTI MOHAMMAD</t>
  </si>
  <si>
    <t>SADDIK MOHAMMAD</t>
  </si>
  <si>
    <t>MADINA BANU</t>
  </si>
  <si>
    <t>XXXX2439</t>
  </si>
  <si>
    <t>YWGDFYC</t>
  </si>
  <si>
    <t>KACHHI BASTI RATDIYA KA BADLA,DEOGARH,DEOGARH,313331</t>
  </si>
  <si>
    <t>MADAN REGAR</t>
  </si>
  <si>
    <t>KESHU LAL REGAR</t>
  </si>
  <si>
    <t>XXXX9756</t>
  </si>
  <si>
    <t>YYWBQMK</t>
  </si>
  <si>
    <t>SOLANKI DARWAJA, REGAR MOHALLA,DEOGARH,DEOGARH,313331</t>
  </si>
  <si>
    <t>XXXX9205</t>
  </si>
  <si>
    <t>KITO KA BADIYA,DEOGARH,VIJAYPURA,313331</t>
  </si>
  <si>
    <t>MAHENDRA LAL LOHAR</t>
  </si>
  <si>
    <t>SURESH LAL LOHAR</t>
  </si>
  <si>
    <t>YOCSMAO</t>
  </si>
  <si>
    <t>NICHALA WAS KUNDELI,DEOGARH,KUNDELI,313141</t>
  </si>
  <si>
    <t>XXXX1245</t>
  </si>
  <si>
    <t>VXKHXBT</t>
  </si>
  <si>
    <t>VEERAMGUDA PO KAMLIGHAT,BHIM,VEERAMGUDA,313341</t>
  </si>
  <si>
    <t>GULAB DEVI</t>
  </si>
  <si>
    <t>XXXX8335</t>
  </si>
  <si>
    <t>YIWGGCC</t>
  </si>
  <si>
    <t>MAHESH REGAR</t>
  </si>
  <si>
    <t>PRABHU LAL REGAR</t>
  </si>
  <si>
    <t>XXXX2401</t>
  </si>
  <si>
    <t>YBCQBGG</t>
  </si>
  <si>
    <t>MANOHAR SINGH</t>
  </si>
  <si>
    <t>KHUMAN SINGH</t>
  </si>
  <si>
    <t>XXXX8583</t>
  </si>
  <si>
    <t>YOCCSCG</t>
  </si>
  <si>
    <t>MAYUR KUMAR</t>
  </si>
  <si>
    <t>PARAS KUMAR PRAJAPAT</t>
  </si>
  <si>
    <t>BASANTI DEVI</t>
  </si>
  <si>
    <t>XXXX9250</t>
  </si>
  <si>
    <t>ybqkcfs</t>
  </si>
  <si>
    <t>KUMHARO KA MOHALLA,DEOGARH,WARD NO 17,313331</t>
  </si>
  <si>
    <t>MOHAMMAD ABRAJ</t>
  </si>
  <si>
    <t>GANEE MOHAMMAD</t>
  </si>
  <si>
    <t>SITARA BANU</t>
  </si>
  <si>
    <t>XXXX2614</t>
  </si>
  <si>
    <t>VTSVWOR</t>
  </si>
  <si>
    <t>MOHAMMAD FIROJ HASAMI</t>
  </si>
  <si>
    <t>NASIB ALI</t>
  </si>
  <si>
    <t>ISLAMUN NISHA</t>
  </si>
  <si>
    <t>XXXX1848</t>
  </si>
  <si>
    <t>VZPHBGH</t>
  </si>
  <si>
    <t>MONU SHARMA</t>
  </si>
  <si>
    <t>RAKESH KUMAR SHARMA</t>
  </si>
  <si>
    <t>URMILA DEVI</t>
  </si>
  <si>
    <t>XXXX0985</t>
  </si>
  <si>
    <t>AAAAAAA</t>
  </si>
  <si>
    <t>GUJARI DARWAJA KE BAHAR,DEOGARH,DEOGARH,313331</t>
  </si>
  <si>
    <t>BHERU LAL SALVI</t>
  </si>
  <si>
    <t>XXXX3971</t>
  </si>
  <si>
    <t>YOIAGAC</t>
  </si>
  <si>
    <t>SANGRAMPURA,DEOGARH,SANGRAMPURA,313331</t>
  </si>
  <si>
    <t>NARESH KUMAR GURJAR</t>
  </si>
  <si>
    <t>GANGA DEVI</t>
  </si>
  <si>
    <t>XXXX8035</t>
  </si>
  <si>
    <t>VZWKBZH</t>
  </si>
  <si>
    <t>NIKHIL KUMAR HARIJAN</t>
  </si>
  <si>
    <t>LALIT KUMAR</t>
  </si>
  <si>
    <t>GYANEE DEVI</t>
  </si>
  <si>
    <t>XXXX8473</t>
  </si>
  <si>
    <t>YBYUSYW</t>
  </si>
  <si>
    <t>NIRMAL KUMAR SALVI</t>
  </si>
  <si>
    <t>XXXX7687</t>
  </si>
  <si>
    <t>VOJSOVT</t>
  </si>
  <si>
    <t>NUVESH VAN</t>
  </si>
  <si>
    <t>XXXX0778</t>
  </si>
  <si>
    <t>PANKAJ REGAR</t>
  </si>
  <si>
    <t>BHAGWAN LAL</t>
  </si>
  <si>
    <t>XXXX8417</t>
  </si>
  <si>
    <t>PAWAN KUMAR REGAR</t>
  </si>
  <si>
    <t>SURESH CHANDRA REGAR</t>
  </si>
  <si>
    <t>XXXX8869</t>
  </si>
  <si>
    <t>WZJOJOT</t>
  </si>
  <si>
    <t>SOLANKI DARWAJA DEOGARH,DEOGARH,DEOGARH,313331</t>
  </si>
  <si>
    <t>PRAHLAD REGAR</t>
  </si>
  <si>
    <t>VIJAY RAM REGAR</t>
  </si>
  <si>
    <t>XXXX6953</t>
  </si>
  <si>
    <t>VRBPNVX</t>
  </si>
  <si>
    <t>Mohannagar,Rajsamand,Pandolaie,313324</t>
  </si>
  <si>
    <t>PRAKASH KALAL</t>
  </si>
  <si>
    <t>BHERU LAL KALAL</t>
  </si>
  <si>
    <t>XXXX2761</t>
  </si>
  <si>
    <t>YYSYYDO</t>
  </si>
  <si>
    <t>upar ka vaas,deogarh,sopari,313331</t>
  </si>
  <si>
    <t>PRAKASH SINGH</t>
  </si>
  <si>
    <t>JAMANA DEVI</t>
  </si>
  <si>
    <t>XXXX4943</t>
  </si>
  <si>
    <t>WDFCEDG</t>
  </si>
  <si>
    <t>VILLAGE-KUNDELI ,KUNDELI TEH.-DEOGARH,KUNDELI,313341</t>
  </si>
  <si>
    <t>PRAVEEN KUMAR REGAR</t>
  </si>
  <si>
    <t>PREM LAL REGAR</t>
  </si>
  <si>
    <t>XXXX5722</t>
  </si>
  <si>
    <t>BAFGQYG</t>
  </si>
  <si>
    <t>PRINCE KUMAR REGAR</t>
  </si>
  <si>
    <t>KISHAN LAL</t>
  </si>
  <si>
    <t>XXXX7441</t>
  </si>
  <si>
    <t>VBWOORV</t>
  </si>
  <si>
    <t>RAJIV NAGAR RATDIYA KA CHODA,DEOGARH,DEOGARH,313331</t>
  </si>
  <si>
    <t>Priyanshu Vaishnav</t>
  </si>
  <si>
    <t>Dilkhush Vaishnav</t>
  </si>
  <si>
    <t>Kalawati Vaishnav</t>
  </si>
  <si>
    <t>XXXX6745</t>
  </si>
  <si>
    <t>KOTHARIYON KI POLL KE ANDER,DEOGARH,DEOGARH,313331</t>
  </si>
  <si>
    <t>PUROSHATTAM DAS VAISHNAV</t>
  </si>
  <si>
    <t>SHANKAR DAS</t>
  </si>
  <si>
    <t>XXXX9991</t>
  </si>
  <si>
    <t>YBGUFQW</t>
  </si>
  <si>
    <t>RAMPURIYA WARD NO 19,DEOGARH,RAMPURIYA WARD NO 19,313331</t>
  </si>
  <si>
    <t>BHERU LAL</t>
  </si>
  <si>
    <t>XXXX4912</t>
  </si>
  <si>
    <t>RAHUL PRAJAPAT</t>
  </si>
  <si>
    <t>GANGA RAM</t>
  </si>
  <si>
    <t>MANGI BAI</t>
  </si>
  <si>
    <t>XXXX2302</t>
  </si>
  <si>
    <t>VOOSSKX</t>
  </si>
  <si>
    <t>RAJENDRA KUMAR REGAR</t>
  </si>
  <si>
    <t>JAGDISH CHANDRA</t>
  </si>
  <si>
    <t>DHAPU DEVI</t>
  </si>
  <si>
    <t>XXXX4822</t>
  </si>
  <si>
    <t>BAOQAEB</t>
  </si>
  <si>
    <t>ADARSH NAGAR ,DEOGARH,CHETRA ASAN ,313331</t>
  </si>
  <si>
    <t>Rajendra Singh</t>
  </si>
  <si>
    <t>Khuman Singh</t>
  </si>
  <si>
    <t>Ratan Kanwar</t>
  </si>
  <si>
    <t>XXXX2859</t>
  </si>
  <si>
    <t>KESHRING GHATI RAJPOOT MOHALLA,DEOGARH,DEOGARH,313331</t>
  </si>
  <si>
    <t>RAKESH DASANA</t>
  </si>
  <si>
    <t>BHANWAR LAL BHIL</t>
  </si>
  <si>
    <t>KANWARI BAI</t>
  </si>
  <si>
    <t>XXXX9111</t>
  </si>
  <si>
    <t>YWQKAEG</t>
  </si>
  <si>
    <t>RAJIV NAGAR ,DEOGARH,DEOGARH,313331</t>
  </si>
  <si>
    <t>RAMESH SINGH</t>
  </si>
  <si>
    <t>LUMB SINGH</t>
  </si>
  <si>
    <t>XXXX5885</t>
  </si>
  <si>
    <t>VXOSVKX</t>
  </si>
  <si>
    <t>PANTA KI AANTI,DEOGARH,POST-MIYALA,313331</t>
  </si>
  <si>
    <t>SAAGAR KUMAR REGAR</t>
  </si>
  <si>
    <t>MOHAN LAL REGAR</t>
  </si>
  <si>
    <t>XXXX9735</t>
  </si>
  <si>
    <t>SANTOSH SINGH RAWAT</t>
  </si>
  <si>
    <t>MADAN SINGH RAWAT</t>
  </si>
  <si>
    <t>KAMLA BAI</t>
  </si>
  <si>
    <t>XXXX9055</t>
  </si>
  <si>
    <t>WZJNROP</t>
  </si>
  <si>
    <t>TEEPU DEVI</t>
  </si>
  <si>
    <t>XXXX8937</t>
  </si>
  <si>
    <t>YMFEIIK</t>
  </si>
  <si>
    <t>SHUBHAM KUMAR YATI</t>
  </si>
  <si>
    <t>JAGDISH CHANDRA YATI</t>
  </si>
  <si>
    <t>UMA DEVI YATI</t>
  </si>
  <si>
    <t>XXXX6285</t>
  </si>
  <si>
    <t>BCCYACB</t>
  </si>
  <si>
    <t>SHYAM SINGH</t>
  </si>
  <si>
    <t>DINESH SINGH</t>
  </si>
  <si>
    <t>HULAS DEVI</t>
  </si>
  <si>
    <t>XXXX8318</t>
  </si>
  <si>
    <t>WZVROGH</t>
  </si>
  <si>
    <t>PANERIYON KA MOHALLA,DEOGARH,DEOGARH,313331</t>
  </si>
  <si>
    <t>XXXX9121</t>
  </si>
  <si>
    <t>VONHHWV</t>
  </si>
  <si>
    <t>FUKIYA THAD,DEOGARH,FUKIYA THAD,313331</t>
  </si>
  <si>
    <t>SUBHAM SUTHAR</t>
  </si>
  <si>
    <t>BHAGWATI LAL SUTHAR</t>
  </si>
  <si>
    <t>GANESHI</t>
  </si>
  <si>
    <t>XXXX2800</t>
  </si>
  <si>
    <t>vrthbwt</t>
  </si>
  <si>
    <t>LASANI,DEOGARH,LASANI,313331</t>
  </si>
  <si>
    <t>Sunny Singh Tank</t>
  </si>
  <si>
    <t>Lona Devi</t>
  </si>
  <si>
    <t>XXXX6332</t>
  </si>
  <si>
    <t>KESHRING GHATI,DEOGARH,RAJPUT MOHALLA DEOGARH,313331</t>
  </si>
  <si>
    <t>SHANKAR SINGH</t>
  </si>
  <si>
    <t>XXXX2237</t>
  </si>
  <si>
    <t>VPWPKPP</t>
  </si>
  <si>
    <t>SANTOSHI DEVI</t>
  </si>
  <si>
    <t>XXXX4190</t>
  </si>
  <si>
    <t>YMDBKAK</t>
  </si>
  <si>
    <t>TARUN SINGH</t>
  </si>
  <si>
    <t>PINKI KANWAR</t>
  </si>
  <si>
    <t>XXXX1236</t>
  </si>
  <si>
    <t>VVNJPCP</t>
  </si>
  <si>
    <t>suraj darwaja MALIYON KA MOHALLA,deogarh,DEOGARH,313331</t>
  </si>
  <si>
    <t>Tejpal Singh</t>
  </si>
  <si>
    <t>Gopal Singh</t>
  </si>
  <si>
    <t>Tara Devi</t>
  </si>
  <si>
    <t>XXXX1173</t>
  </si>
  <si>
    <t>VWNBZTH</t>
  </si>
  <si>
    <t>KUNDELI,DEOGARH,POST MIYALA,313341</t>
  </si>
  <si>
    <t>Toshif Khan</t>
  </si>
  <si>
    <t>Shabir Khan</t>
  </si>
  <si>
    <t>Praveen Banu</t>
  </si>
  <si>
    <t>XXXX5448</t>
  </si>
  <si>
    <t>VVRJTRP</t>
  </si>
  <si>
    <t>SIPAHIYO KA MOHLLA ,DEOGARH,DEOGARH,313331</t>
  </si>
  <si>
    <t>Usman Harun</t>
  </si>
  <si>
    <t>Aslam Mohammad</t>
  </si>
  <si>
    <t>Rizwana Banu</t>
  </si>
  <si>
    <t>SADAR BAZAR SURAJ DARWAJA,DEOGARH,DEOGARH,313331</t>
  </si>
  <si>
    <t>VIJENDRA SINGH RAWAT</t>
  </si>
  <si>
    <t>DOULAT SINGH RAWAT</t>
  </si>
  <si>
    <t>MINA DEVI</t>
  </si>
  <si>
    <t>XXXX3055</t>
  </si>
  <si>
    <t>WZJNROR</t>
  </si>
  <si>
    <t>KISHANPURA,DEOGARH,KISHANPURA SWADARI,313331</t>
  </si>
  <si>
    <t>BHANWAR LAL SALVI</t>
  </si>
  <si>
    <t>VIMLA SALVI</t>
  </si>
  <si>
    <t>XXXX1881</t>
  </si>
  <si>
    <t>gujari darwaja,deogarh,,313331</t>
  </si>
  <si>
    <t>Virendra Gawariya</t>
  </si>
  <si>
    <t>Hemraj Gawariya</t>
  </si>
  <si>
    <t>XXXX8369</t>
  </si>
  <si>
    <t>WARD NO 6 SHASTRI NAGAR DEOGARH,DEOGARH,DEOGARH,313331</t>
  </si>
  <si>
    <t>VIRENDRA SINGH</t>
  </si>
  <si>
    <t>PARBHU SINGH</t>
  </si>
  <si>
    <t>DEVI BAI</t>
  </si>
  <si>
    <t>XXXX3376</t>
  </si>
  <si>
    <t>VWHHPOT</t>
  </si>
  <si>
    <t>.GUDA GAGA,mj,.GUDA,306022</t>
  </si>
  <si>
    <t>Vishal Soni</t>
  </si>
  <si>
    <t>XXXX7988</t>
  </si>
  <si>
    <t>PANI KI TANKI KE PASS,DEOGARH,BAPU NAGAR,313331</t>
  </si>
  <si>
    <t>YASHPAL SALVI</t>
  </si>
  <si>
    <t>JEEVA RAM SALVI</t>
  </si>
  <si>
    <t>DEU BAI</t>
  </si>
  <si>
    <t>XXXX6058</t>
  </si>
  <si>
    <t>YOICDIF</t>
  </si>
  <si>
    <t>Yuvraj Singh Rathore</t>
  </si>
  <si>
    <t>Rajendra Singh Rathore</t>
  </si>
  <si>
    <t>keshring ghati ke niche,deogarh,rajput mohalla deogarh,313331</t>
  </si>
  <si>
    <t>PUSHPA KALAL</t>
  </si>
  <si>
    <t>PURAN MAL</t>
  </si>
  <si>
    <t>XXXX9355</t>
  </si>
  <si>
    <t>kundeli,KUNDELI,KUNDELI,313341</t>
  </si>
  <si>
    <t>Aayan Mohammad</t>
  </si>
  <si>
    <t>Ramjan Mohammad</t>
  </si>
  <si>
    <t>Rehana Banu</t>
  </si>
  <si>
    <t>XXXX4526</t>
  </si>
  <si>
    <t>CHHIPON KA MOHALLA,DEOGARH,DEOGARH,313331</t>
  </si>
  <si>
    <t>AJAYPAL SINGH</t>
  </si>
  <si>
    <t>RUKMANI DEVI</t>
  </si>
  <si>
    <t>XXXX5395</t>
  </si>
  <si>
    <t>VNJGXVX</t>
  </si>
  <si>
    <t>PATIYO KA DEVRA,RAJSAMAND,DIVER,313331</t>
  </si>
  <si>
    <t>Anand Singh</t>
  </si>
  <si>
    <t>Bhanwar Singh</t>
  </si>
  <si>
    <t>Chandra Devi</t>
  </si>
  <si>
    <t>XXXX8098</t>
  </si>
  <si>
    <t>VOGVXJV</t>
  </si>
  <si>
    <t>DUNGAWAS,BHIM,KHEEMA KHEDA CHHAPALI,313331</t>
  </si>
  <si>
    <t>ANKITA GAHLOT</t>
  </si>
  <si>
    <t>PUNAM SINGH</t>
  </si>
  <si>
    <t>XXXX3401</t>
  </si>
  <si>
    <t>VNCPWPP</t>
  </si>
  <si>
    <t>SATPALIYA,BHIM,SATPALIYA PIPRELU DIWER,313331</t>
  </si>
  <si>
    <t>ARPITA BHARTI</t>
  </si>
  <si>
    <t>DURGA DEVI</t>
  </si>
  <si>
    <t>VWWTPZV</t>
  </si>
  <si>
    <t>PIPRELU,BHIM,PIPRELU,313331</t>
  </si>
  <si>
    <t>ARSIL HUSAIN</t>
  </si>
  <si>
    <t>XXXX6639</t>
  </si>
  <si>
    <t>UDAY KLA ,GANGPUR,GANGAPUR,322201</t>
  </si>
  <si>
    <t>BAJRANG VYAS</t>
  </si>
  <si>
    <t>PANNA LAL VYAS</t>
  </si>
  <si>
    <t>MEENA VYAS</t>
  </si>
  <si>
    <t>XXXX7004</t>
  </si>
  <si>
    <t>ISHARMAND,DEOGARH,ISHARMAND,313331</t>
  </si>
  <si>
    <t>BHAVESH KUMAR GURJAR</t>
  </si>
  <si>
    <t>PRAKASH CHANDRA GURJAR</t>
  </si>
  <si>
    <t>XXXX7668</t>
  </si>
  <si>
    <t>VWWXNRN</t>
  </si>
  <si>
    <t>PITAM PURA,DEOGARH,PITAM PURA,313331</t>
  </si>
  <si>
    <t>Chandramukhi</t>
  </si>
  <si>
    <t>Balakram Morodiya</t>
  </si>
  <si>
    <t>Pinki Aarya</t>
  </si>
  <si>
    <t>XXXX6850</t>
  </si>
  <si>
    <t>BAHROD,ALWAR,BAHROD,301701</t>
  </si>
  <si>
    <t>CHIRAG SALVI</t>
  </si>
  <si>
    <t>DEVI LAL SALVI</t>
  </si>
  <si>
    <t>XXXX2107</t>
  </si>
  <si>
    <t>YDKBWUO</t>
  </si>
  <si>
    <t>NIMBAHEDA JATAN,MANDAL,NIMBAHEDA JATAN,311804</t>
  </si>
  <si>
    <t>DASHRATH REGAR</t>
  </si>
  <si>
    <t>SHESH MAL REGAR</t>
  </si>
  <si>
    <t>KASTURI DEVI</t>
  </si>
  <si>
    <t>XXXX7055</t>
  </si>
  <si>
    <t>yoiodcs</t>
  </si>
  <si>
    <t>AANJANA,DEOGARH,AANJANA,313331</t>
  </si>
  <si>
    <t>DEVA GURJAR</t>
  </si>
  <si>
    <t>VALU GURJAR</t>
  </si>
  <si>
    <t>XXXX8785</t>
  </si>
  <si>
    <t>VOGGCCN</t>
  </si>
  <si>
    <t>JOGELA,DEOGARH,KHAKHARDA,313331</t>
  </si>
  <si>
    <t>XXXX9248</t>
  </si>
  <si>
    <t>YYFQGUF</t>
  </si>
  <si>
    <t>KUND KA CHODA,DEOGARH,ISHARMAND,313331</t>
  </si>
  <si>
    <t>DHARMENDRA SINGH</t>
  </si>
  <si>
    <t>XXXX0956</t>
  </si>
  <si>
    <t>YOIAUUC</t>
  </si>
  <si>
    <t>HEERA KI BASSI,DEOGARH,HEERA KI BASSI,313331</t>
  </si>
  <si>
    <t>DINESH REGER</t>
  </si>
  <si>
    <t>CHUNNI LAL REGAR</t>
  </si>
  <si>
    <t>XXXX3032</t>
  </si>
  <si>
    <t>DOLI RATHORE</t>
  </si>
  <si>
    <t>PRAHLAD SINGH RATHORE</t>
  </si>
  <si>
    <t>DEVKANYA RATHORE</t>
  </si>
  <si>
    <t>XXXX5888</t>
  </si>
  <si>
    <t>VVPXJZH</t>
  </si>
  <si>
    <t>RAJPUTO KA MOHALLA ,DEOGARH,DEOGARH,313331</t>
  </si>
  <si>
    <t>DURG SINGH</t>
  </si>
  <si>
    <t>BHOJ SINGH</t>
  </si>
  <si>
    <t>XXXX1765</t>
  </si>
  <si>
    <t>YBQCOIC</t>
  </si>
  <si>
    <t>DIVER,BHIM,DIVER,313331</t>
  </si>
  <si>
    <t>GARIMA SUTHAR</t>
  </si>
  <si>
    <t>SHANTI LAL SUTHAR</t>
  </si>
  <si>
    <t>XXXX9716</t>
  </si>
  <si>
    <t>VZWJTPP</t>
  </si>
  <si>
    <t>MAARU DARWAJA ,DEOGARH,DEOGARH,313331</t>
  </si>
  <si>
    <t>Govind Sharma</t>
  </si>
  <si>
    <t>Shravan Kumar Sharma</t>
  </si>
  <si>
    <t>Dropadi Sharma</t>
  </si>
  <si>
    <t>XXXX8255</t>
  </si>
  <si>
    <t>UDAI RAM JI KA GUDA,KAREDA,PO GORKHYA,311804</t>
  </si>
  <si>
    <t>Heemang Vaishnav</t>
  </si>
  <si>
    <t>Pawan Vaishnav</t>
  </si>
  <si>
    <t>Hemlata Vaishnav</t>
  </si>
  <si>
    <t>XXXX5620</t>
  </si>
  <si>
    <t>MALIYO KA MOHALLA SURAJ DARWAJA,DEOGARH,DEOGARH,313331</t>
  </si>
  <si>
    <t>HEMANT SALVI</t>
  </si>
  <si>
    <t>TULSIRAM SALVI</t>
  </si>
  <si>
    <t>XXXX7524</t>
  </si>
  <si>
    <t>VZGVRBH</t>
  </si>
  <si>
    <t>HOSPITAL ROAD BAPU NAGAR ,DEOGARH,DEOGARH,313331</t>
  </si>
  <si>
    <t>Hemaraj Salvi</t>
  </si>
  <si>
    <t>Gangaram Salvi</t>
  </si>
  <si>
    <t>Badami Devi</t>
  </si>
  <si>
    <t>XXXX3501</t>
  </si>
  <si>
    <t>VVWDXHT</t>
  </si>
  <si>
    <t>MADARIYA,DEOGARH,DEOGARH,313331</t>
  </si>
  <si>
    <t>Jayesh Kumar Chandel</t>
  </si>
  <si>
    <t>Narayani Devi</t>
  </si>
  <si>
    <t>XXXX4768</t>
  </si>
  <si>
    <t>WFBQUUG</t>
  </si>
  <si>
    <t>SURAJ DARWAJA KHATIK MOHALLA ,DEOGARH,DEOGARH,313341</t>
  </si>
  <si>
    <t>KAMAL SINGH</t>
  </si>
  <si>
    <t>DHANWANTI DEVI</t>
  </si>
  <si>
    <t>XXXX8401</t>
  </si>
  <si>
    <t>KHIMATO KI BARJAL,BHIM,BARJAL,313331</t>
  </si>
  <si>
    <t>Khushboo Suthar</t>
  </si>
  <si>
    <t>Om Prakash</t>
  </si>
  <si>
    <t>Tamu Bai</t>
  </si>
  <si>
    <t>XXXX3272</t>
  </si>
  <si>
    <t>KISHAN RAYKA</t>
  </si>
  <si>
    <t>BHAIRU LAL REBARI</t>
  </si>
  <si>
    <t>PAPPU DEVI REBARI</t>
  </si>
  <si>
    <t>XXXX7546</t>
  </si>
  <si>
    <t>BHVKSKN</t>
  </si>
  <si>
    <t>KUNWARIYA,DEOGARH,KUNWARIYA KALESARIYA,313331</t>
  </si>
  <si>
    <t>Kishor Singh</t>
  </si>
  <si>
    <t>Dilip Singh</t>
  </si>
  <si>
    <t>Santosh Devi</t>
  </si>
  <si>
    <t>XXXX6387</t>
  </si>
  <si>
    <t>CHAREDO KA BADIYA,BHIM,CHAREDO KA BADIYA,313331</t>
  </si>
  <si>
    <t>Koshal Kishor Singh</t>
  </si>
  <si>
    <t>Mohan Singh</t>
  </si>
  <si>
    <t>Basanta Kanwar</t>
  </si>
  <si>
    <t>KHEDA MIYALA,BHIM,KHEDA MIYALA,313341</t>
  </si>
  <si>
    <t>KULVEER EDIWAL</t>
  </si>
  <si>
    <t>DALI</t>
  </si>
  <si>
    <t>XXXX4371</t>
  </si>
  <si>
    <t>WFQSOAK</t>
  </si>
  <si>
    <t>NARDAS KA GUDA,DEOGARH,,313331</t>
  </si>
  <si>
    <t>ANSI DEVI</t>
  </si>
  <si>
    <t>XXXX9842</t>
  </si>
  <si>
    <t>WZKTSHH</t>
  </si>
  <si>
    <t>MOTAGUDA,BHIM,MOTAGUDA,313331</t>
  </si>
  <si>
    <t>MOHIT RAWAL</t>
  </si>
  <si>
    <t>LAXMAN RAWAL</t>
  </si>
  <si>
    <t>SUGNA DEVI</t>
  </si>
  <si>
    <t>XXXX7018</t>
  </si>
  <si>
    <t>VOGCWXJ</t>
  </si>
  <si>
    <t>KALESARIYA,DEOGARH,KALESARIYA,313331</t>
  </si>
  <si>
    <t>Mohmmad Afridi</t>
  </si>
  <si>
    <t>Mohmmad Sharif</t>
  </si>
  <si>
    <t>Siddiaka</t>
  </si>
  <si>
    <t>CHHIPON KA CKOWK ,DEOGARH,DEOGARH,313331</t>
  </si>
  <si>
    <t>MUKESH LAL GURJAR</t>
  </si>
  <si>
    <t>JAYRAM GURJAR</t>
  </si>
  <si>
    <t>BHAGU DEVI</t>
  </si>
  <si>
    <t>XXXX0400</t>
  </si>
  <si>
    <t>VBZTVKJ</t>
  </si>
  <si>
    <t>V- DIDWANA,DEOGARH,PO- RACHHETI,313332</t>
  </si>
  <si>
    <t>Naveen Vyas</t>
  </si>
  <si>
    <t>Suresh Vyas</t>
  </si>
  <si>
    <t>XXXX8107</t>
  </si>
  <si>
    <t>YYQKWDS</t>
  </si>
  <si>
    <t>MARU DARWAJA KE ANDER BANDI HOLI KA THAN,DEOGARH,DEOGARH,313331</t>
  </si>
  <si>
    <t>NEELAM KANWAR</t>
  </si>
  <si>
    <t>KIRAN SINGH CHUNDAWAT</t>
  </si>
  <si>
    <t>PUSHPA KANWAR</t>
  </si>
  <si>
    <t>XXXX9853</t>
  </si>
  <si>
    <t>YIFIUEG</t>
  </si>
  <si>
    <t>NEEMJHAR,DEOGARH,KALESERIYA,313331</t>
  </si>
  <si>
    <t>Nikhil Khokhar</t>
  </si>
  <si>
    <t>XXXX4490</t>
  </si>
  <si>
    <t>GUJARI DARWAJA HARIJAN BASTI ,DEOGARH,DEOGARH,313331</t>
  </si>
  <si>
    <t>Ovesh Raza</t>
  </si>
  <si>
    <t>Irfan Mohmmand Sheikh</t>
  </si>
  <si>
    <t>Tamanna Banu Sheikh</t>
  </si>
  <si>
    <t>XXXX5982</t>
  </si>
  <si>
    <t>MOLANA AAZAD MARG SIPAHIYO KA MOHALLA,DEOGARH,DEOGARH,313331</t>
  </si>
  <si>
    <t>PANKAJ KUMARI</t>
  </si>
  <si>
    <t>XXXX2328</t>
  </si>
  <si>
    <t>YYAUKFG</t>
  </si>
  <si>
    <t>KAMALA,DEOGARH,VIJAYPURA,313331</t>
  </si>
  <si>
    <t>PRADHUMAN SINGH RATHORE</t>
  </si>
  <si>
    <t>DURGA DAS RATHORE</t>
  </si>
  <si>
    <t>OM KANWAR</t>
  </si>
  <si>
    <t>XXXX8494</t>
  </si>
  <si>
    <t>SIRIYARI,MAEWAR JUNCTION,SIRIYARI,306023</t>
  </si>
  <si>
    <t>PRAHLAD KUMAR REBARI</t>
  </si>
  <si>
    <t>RATAN LAL REBARI</t>
  </si>
  <si>
    <t>SAJJAN DEVI</t>
  </si>
  <si>
    <t>XXXX8951</t>
  </si>
  <si>
    <t>YOIGYWC</t>
  </si>
  <si>
    <t>RAJPURA,MANDAL,CHILESHWAR,311804</t>
  </si>
  <si>
    <t>Priayanka Gurjar</t>
  </si>
  <si>
    <t>Ram Chandra Gurjar</t>
  </si>
  <si>
    <t>Ratna Gurjar</t>
  </si>
  <si>
    <t>XXXX8610</t>
  </si>
  <si>
    <t>KAMLIGHAT CHORAHA,DEOGARH,VIJAYPURA,313331</t>
  </si>
  <si>
    <t>PRINCE KUMAR</t>
  </si>
  <si>
    <t>NAND KISHOR</t>
  </si>
  <si>
    <t>XXXX6715</t>
  </si>
  <si>
    <t>VRJGOOP</t>
  </si>
  <si>
    <t>Radheshyam Jatoliya</t>
  </si>
  <si>
    <t>Goverdhan Jatoliya</t>
  </si>
  <si>
    <t>Pani Devi</t>
  </si>
  <si>
    <t>VBOCCRX</t>
  </si>
  <si>
    <t>DAK BANGLE KE PICHE SHASTRI NAGAR,DEOGARH,DEOGARH,313331</t>
  </si>
  <si>
    <t>RAHUL KUMAR</t>
  </si>
  <si>
    <t>RAJ KUMAR MANDAL</t>
  </si>
  <si>
    <t>RITA MANDAL</t>
  </si>
  <si>
    <t>XXXX7746</t>
  </si>
  <si>
    <t>YFFIIBK</t>
  </si>
  <si>
    <t>RAHUL SINGH</t>
  </si>
  <si>
    <t>XXXX7053</t>
  </si>
  <si>
    <t>Rahul Vaishnav</t>
  </si>
  <si>
    <t>XXXX9377</t>
  </si>
  <si>
    <t>BHATTO KA MOHALLA KOTARIYO KI POLE,DEOGARH,DEOGARH,313331</t>
  </si>
  <si>
    <t>Rakesh Suthar</t>
  </si>
  <si>
    <t>Narayan Lal Suthar</t>
  </si>
  <si>
    <t>XXXX0389</t>
  </si>
  <si>
    <t>YMFDAAF</t>
  </si>
  <si>
    <t>Sejal Jeengar</t>
  </si>
  <si>
    <t>Prithviraj Jeengar</t>
  </si>
  <si>
    <t>Meena</t>
  </si>
  <si>
    <t>VDFYMDG</t>
  </si>
  <si>
    <t>SADAR BAZAR MARU DARWAJA KE ANDER,DEOGARH,DEOGARH,313331</t>
  </si>
  <si>
    <t>SHANKAR KHATIK</t>
  </si>
  <si>
    <t>BHERU LAL KHATIK</t>
  </si>
  <si>
    <t>XXXX0815</t>
  </si>
  <si>
    <t>1067-HU</t>
  </si>
  <si>
    <t>LASANI,DEOGARH,PO-LASANI,313331</t>
  </si>
  <si>
    <t>SHIV LAL TELI</t>
  </si>
  <si>
    <t>DEVA LAL TELI</t>
  </si>
  <si>
    <t>BHURI DEVI TELI</t>
  </si>
  <si>
    <t>XXXX5228</t>
  </si>
  <si>
    <t>VWNTWKJ</t>
  </si>
  <si>
    <t>V MIYAFLAS KA KHEDA,MANDAL,TEH KAREDA,311804</t>
  </si>
  <si>
    <t>Shivam Sevani</t>
  </si>
  <si>
    <t>Daulat Ram Sevani</t>
  </si>
  <si>
    <t>Heena Sevani</t>
  </si>
  <si>
    <t>XXXX5512</t>
  </si>
  <si>
    <t>WARD NO 22 BAPU NAGAR ,DEOGARH,DEOGARH,313331</t>
  </si>
  <si>
    <t>SHRAVAN GURJAR</t>
  </si>
  <si>
    <t>BHOJARAM GURJAR</t>
  </si>
  <si>
    <t>NOSI DEVI</t>
  </si>
  <si>
    <t>XXXX5326</t>
  </si>
  <si>
    <t>VWKJBXJ</t>
  </si>
  <si>
    <t>VPO- PARDI,DEOGARH,PARDI,313331</t>
  </si>
  <si>
    <t>SIKANDAR SINGH</t>
  </si>
  <si>
    <t>KANYA DEVI</t>
  </si>
  <si>
    <t>XXXX5861</t>
  </si>
  <si>
    <t>VPZXOGT</t>
  </si>
  <si>
    <t>BARJAL,BHIM,BARJAL,313331</t>
  </si>
  <si>
    <t>Sonu Kumari</t>
  </si>
  <si>
    <t>Manohar Singh</t>
  </si>
  <si>
    <t>XXXX1929</t>
  </si>
  <si>
    <t>SANGAWAS,DEOGARH,VIA BARAR,313341</t>
  </si>
  <si>
    <t>SURAJ SINGH</t>
  </si>
  <si>
    <t>XXXX0238</t>
  </si>
  <si>
    <t>HEERA KHERA,DEOGARH,HEERA KHERA,313331</t>
  </si>
  <si>
    <t>SURYA PRATAP SINGH CHUNDAWAT</t>
  </si>
  <si>
    <t>XXXX5897</t>
  </si>
  <si>
    <t>Vaibhav Prasad</t>
  </si>
  <si>
    <t>Kailash Chandra Salvi</t>
  </si>
  <si>
    <t>XXXX7560</t>
  </si>
  <si>
    <t>LASANI,DEOGARH,DEOGARH,313331</t>
  </si>
  <si>
    <t>Dhanni Devi</t>
  </si>
  <si>
    <t>XXXX7085</t>
  </si>
  <si>
    <t>VVGROHN</t>
  </si>
  <si>
    <t>BADAWAS BAGGAR,BHIM,BAGGAR,313341</t>
  </si>
  <si>
    <t>YOGENDRA SINGH</t>
  </si>
  <si>
    <t>XXXX8909</t>
  </si>
  <si>
    <t>WDEDQCS</t>
  </si>
  <si>
    <t>DIWER,RAJSAMAND,DIWER,313331</t>
  </si>
  <si>
    <t>ASHOK SINGH</t>
  </si>
  <si>
    <t>XXXX0311</t>
  </si>
  <si>
    <t>VVNNVNJ</t>
  </si>
  <si>
    <t>kundeli,TEH.-DEOGARH,kundeli,313341</t>
  </si>
  <si>
    <t>ASHOK SINGH RAWAT</t>
  </si>
  <si>
    <t>BHANWARI BAI</t>
  </si>
  <si>
    <t>XXXX6442</t>
  </si>
  <si>
    <t>BANDI HOLI KA STHAN,DEOGARH,DEOHGARH,313331</t>
  </si>
  <si>
    <t>CHAINI DEVI</t>
  </si>
  <si>
    <t>XXXX3445</t>
  </si>
  <si>
    <t>MAIN ROAD SANGRAMPURA,DEOGARH,DEOGARH,313331</t>
  </si>
  <si>
    <t>CHANDRA SINGH</t>
  </si>
  <si>
    <t>HEERA SINGH</t>
  </si>
  <si>
    <t>SAINA DEVI</t>
  </si>
  <si>
    <t>XXXX2560</t>
  </si>
  <si>
    <t>vocozjh</t>
  </si>
  <si>
    <t>PANTA KI AANTI,DEOGARH,DEOGARH,313331</t>
  </si>
  <si>
    <t>CHETAN KUMAR GURJAR</t>
  </si>
  <si>
    <t>XXXX6731</t>
  </si>
  <si>
    <t>GUJARI DARWAJA,RAJSAMAND,DEOGARH,313331</t>
  </si>
  <si>
    <t>DHANNA SINGH</t>
  </si>
  <si>
    <t>MADHU SINGH</t>
  </si>
  <si>
    <t>SAYARI DEVI</t>
  </si>
  <si>
    <t>XXXX0131</t>
  </si>
  <si>
    <t>YMFUIIO</t>
  </si>
  <si>
    <t>PITHAGUDA,BHIM,,313341</t>
  </si>
  <si>
    <t>DHEERAJ NATH</t>
  </si>
  <si>
    <t>CHHITAR NATH</t>
  </si>
  <si>
    <t>SUNDAR DEVI</t>
  </si>
  <si>
    <t>XXXX4773</t>
  </si>
  <si>
    <t>VIBYBFS</t>
  </si>
  <si>
    <t>jogela,deogarh,jogela,313331</t>
  </si>
  <si>
    <t>DINESH GURJAR</t>
  </si>
  <si>
    <t>KANHEYA LAL GURJAR</t>
  </si>
  <si>
    <t>XXXX2262</t>
  </si>
  <si>
    <t>GOVIND NANGARACHI</t>
  </si>
  <si>
    <t>MANGI LAL NANGARACHI</t>
  </si>
  <si>
    <t>XXXX3627</t>
  </si>
  <si>
    <t>YBGUBSW</t>
  </si>
  <si>
    <t>GURJARI DARWAJA,DEOGARH,DEOGARH,313331</t>
  </si>
  <si>
    <t>INDRA SINGH</t>
  </si>
  <si>
    <t>NAIN SINGH</t>
  </si>
  <si>
    <t>MEETHU KANWAR</t>
  </si>
  <si>
    <t>XXXX8093</t>
  </si>
  <si>
    <t>vogxnpx</t>
  </si>
  <si>
    <t>mandawara,deogarh,swadari,313331</t>
  </si>
  <si>
    <t>JITENDRA SINGH</t>
  </si>
  <si>
    <t>BHAN SINGH</t>
  </si>
  <si>
    <t>DHULI DEVI</t>
  </si>
  <si>
    <t>XXXX6815</t>
  </si>
  <si>
    <t>YWBMEQF</t>
  </si>
  <si>
    <t>KOSHLENDRA SINGH BALLA</t>
  </si>
  <si>
    <t>MANOHAR SINGH BALLA</t>
  </si>
  <si>
    <t>VISHNU KANWAR</t>
  </si>
  <si>
    <t>XXXX9696</t>
  </si>
  <si>
    <t>VXPJTSR</t>
  </si>
  <si>
    <t>SOLANKI DARWAJA KE ANDAR GOSAWAMI MOHALLA WARD NO 9,DEOGARH,DEOGARH,313331</t>
  </si>
  <si>
    <t>RAM SINGH</t>
  </si>
  <si>
    <t>RAMU KANWAR</t>
  </si>
  <si>
    <t>XXXX2589</t>
  </si>
  <si>
    <t>YDYYCYS</t>
  </si>
  <si>
    <t>VILLAGE-MANDAWARA,DEOGARH,MANDAWARA,313331</t>
  </si>
  <si>
    <t>NARESH KUMAR REGAR</t>
  </si>
  <si>
    <t>RADHA DEVI REGAR</t>
  </si>
  <si>
    <t>XXXX0407</t>
  </si>
  <si>
    <t>VOPBBTX</t>
  </si>
  <si>
    <t>REGAR MOHALLA,DEOGARH,DEOGARH,313331</t>
  </si>
  <si>
    <t>RADHA MALI</t>
  </si>
  <si>
    <t>XXXX4866</t>
  </si>
  <si>
    <t>PRAHLAD LOHAR</t>
  </si>
  <si>
    <t>SHANKAR LAL</t>
  </si>
  <si>
    <t>XXXX8903</t>
  </si>
  <si>
    <t>VVGNXGP</t>
  </si>
  <si>
    <t>SHAILENDRA SINGH TANK</t>
  </si>
  <si>
    <t>GIRIJA DEVI</t>
  </si>
  <si>
    <t>XXXX2267</t>
  </si>
  <si>
    <t>VVRKPWJ</t>
  </si>
  <si>
    <t>TAJIYA KA CHOWK GUJARI DARWAJA,DEOGARH,DEOGARH,313331</t>
  </si>
  <si>
    <t>C</t>
  </si>
  <si>
    <t>Abhishek Ved</t>
  </si>
  <si>
    <t>Narendra Kumar Ved</t>
  </si>
  <si>
    <t>VEDO KA MOHALLA WARD NO 16,DEOGARH,DEOGARHJ,313331</t>
  </si>
  <si>
    <t>Akshay Joshi</t>
  </si>
  <si>
    <t>Gopal Joshi</t>
  </si>
  <si>
    <t>Krishna Joshi</t>
  </si>
  <si>
    <t>XXXX7679</t>
  </si>
  <si>
    <t>YDFFCKG</t>
  </si>
  <si>
    <t>BAPU NAGAR KARNI MATA HOSPITAL ROAD,DEOGARH,DEOGARH,313331</t>
  </si>
  <si>
    <t>ASHOK KALAL</t>
  </si>
  <si>
    <t>MANGI LAL KALAL</t>
  </si>
  <si>
    <t>DHARMU DEVI</t>
  </si>
  <si>
    <t>XXXX8452</t>
  </si>
  <si>
    <t>YYQSIQC</t>
  </si>
  <si>
    <t>kundeli,deogarh,kundeli,313341</t>
  </si>
  <si>
    <t>Badal Sen</t>
  </si>
  <si>
    <t>Manoj Sen</t>
  </si>
  <si>
    <t>Sarita Sen</t>
  </si>
  <si>
    <t>XXXX1793</t>
  </si>
  <si>
    <t>YYQKQBS</t>
  </si>
  <si>
    <t>239 KUNJ BIHARI MANDIR KA CHOWK,DEOGARH,DEOGHARH,313331</t>
  </si>
  <si>
    <t>BHAGWAN LAL BHIL</t>
  </si>
  <si>
    <t>BHERU LAL BHIL</t>
  </si>
  <si>
    <t>RASALI DEVI</t>
  </si>
  <si>
    <t>YDIBMCK</t>
  </si>
  <si>
    <t>BHAGWAT SINGH RATHOR</t>
  </si>
  <si>
    <t>KAILASH SINGH RATHOR</t>
  </si>
  <si>
    <t>KRISHNA DEVI RATHOR</t>
  </si>
  <si>
    <t>XXXX3934</t>
  </si>
  <si>
    <t>WZVBOZX</t>
  </si>
  <si>
    <t>KESHRING GHATI,DEOGARH,DEOGARH,313331</t>
  </si>
  <si>
    <t>BHAVESH SALVI</t>
  </si>
  <si>
    <t>XXXX4438</t>
  </si>
  <si>
    <t>VVSSJXN</t>
  </si>
  <si>
    <t>Bhawani Singh Balla</t>
  </si>
  <si>
    <t>Kan Singh</t>
  </si>
  <si>
    <t>Ganga Kanwar</t>
  </si>
  <si>
    <t>XXXX5713</t>
  </si>
  <si>
    <t>YYSBCIC</t>
  </si>
  <si>
    <t>SOLANKI DARWAJA KE ANDER ,DEOGARH,DEOGARH,313332</t>
  </si>
  <si>
    <t>Bhupendra Singh Chouhan</t>
  </si>
  <si>
    <t>Gopal Singh Chouhan</t>
  </si>
  <si>
    <t>Rekha Kanwar</t>
  </si>
  <si>
    <t>XXXX3127</t>
  </si>
  <si>
    <t>RAJPUTO KA MOHALLA WARD NO 11,DEOGARH,DEOGARH,313331</t>
  </si>
  <si>
    <t>BHUPESH KUMAR SALVI</t>
  </si>
  <si>
    <t>KISHAN LAL SALVI</t>
  </si>
  <si>
    <t>XXXX9423</t>
  </si>
  <si>
    <t>VZGVPBN</t>
  </si>
  <si>
    <t>Sangrampura,Deogarh,Sangrampura,313331</t>
  </si>
  <si>
    <t>Chetan Pandiya</t>
  </si>
  <si>
    <t>Hansraj Pandiya</t>
  </si>
  <si>
    <t>Leela Pandiya</t>
  </si>
  <si>
    <t>XXXX0134</t>
  </si>
  <si>
    <t>BANDI HOLI KA THAN MARAU DARWAJA KE ANDER ,DEOGARH,DEOGARH,313331</t>
  </si>
  <si>
    <t>Chetan Prajapat</t>
  </si>
  <si>
    <t>Kanhaiya Lal</t>
  </si>
  <si>
    <t>Sugna Devi</t>
  </si>
  <si>
    <t>XXXX0673</t>
  </si>
  <si>
    <t>YQFKOYB</t>
  </si>
  <si>
    <t>SURAJ DARWAJA KE ANDER WARD NO 17POLICE CHOKI WALI GALI,DEOGARH,DEOGARH,313331</t>
  </si>
  <si>
    <t>CHHAGAN SINGH</t>
  </si>
  <si>
    <t>VANNA SINGH</t>
  </si>
  <si>
    <t>LALI DEVI</t>
  </si>
  <si>
    <t>Dashrath Rawal</t>
  </si>
  <si>
    <t>Munna Rawal</t>
  </si>
  <si>
    <t>Sayari Devi</t>
  </si>
  <si>
    <t>XXXX0681</t>
  </si>
  <si>
    <t>YMWMKMK</t>
  </si>
  <si>
    <t>KUNDELI,DEOGARH,KUNDELI,313331</t>
  </si>
  <si>
    <t>BHERU LAL GURJAR</t>
  </si>
  <si>
    <t>GOTI BAI</t>
  </si>
  <si>
    <t>XXXX1958</t>
  </si>
  <si>
    <t>YBWDSKO</t>
  </si>
  <si>
    <t>DEOGARH, DEOGARH,RAJSAMAND,DEOGARH,313331</t>
  </si>
  <si>
    <t>DHARMESH KUMAR REGAR</t>
  </si>
  <si>
    <t>MAHENDRA KUMAR REGAR</t>
  </si>
  <si>
    <t>MANJU BAI</t>
  </si>
  <si>
    <t>XXXX1892</t>
  </si>
  <si>
    <t>vvrspox</t>
  </si>
  <si>
    <t>SOLANKI DARWAJA KE ANDAR REGARO KA MOHALLA,DEOGARH,DEOGARH,313331</t>
  </si>
  <si>
    <t>Dheeraj Singh Chouhan</t>
  </si>
  <si>
    <t>Kamal Singh Chouhan</t>
  </si>
  <si>
    <t>Meena Chouhan</t>
  </si>
  <si>
    <t>XXXX9958</t>
  </si>
  <si>
    <t>VOJRNPH</t>
  </si>
  <si>
    <t>DARARA,DEOGARH,POST NARDAS KA GUDA,313331</t>
  </si>
  <si>
    <t>Scout/Guide</t>
  </si>
  <si>
    <t>Gopal Salvi</t>
  </si>
  <si>
    <t>Madan Lal Salvi</t>
  </si>
  <si>
    <t>Paras Devi</t>
  </si>
  <si>
    <t>XXXX4833</t>
  </si>
  <si>
    <t>VHRTRSX</t>
  </si>
  <si>
    <t>SANGRAMPURA,DEOGARH,DEOGARH,313331</t>
  </si>
  <si>
    <t>HARDAYAL SINGH</t>
  </si>
  <si>
    <t>TAMMU DEVI</t>
  </si>
  <si>
    <t>XXXX9300</t>
  </si>
  <si>
    <t>VHGXWBN</t>
  </si>
  <si>
    <t>Himanshu Dhabhai</t>
  </si>
  <si>
    <t>Kishan Lal Dhabhai</t>
  </si>
  <si>
    <t>Malti Devi</t>
  </si>
  <si>
    <t>XXXX3544</t>
  </si>
  <si>
    <t>CHHATRIYA BAVJI HANUMAN JI KI GALI TALAB KI PAAL KE NICHE,DEOGARH,DEOGARH,313331</t>
  </si>
  <si>
    <t>ISHWAR LAL GURJAR</t>
  </si>
  <si>
    <t>UDAI LAL</t>
  </si>
  <si>
    <t>XXXX1870</t>
  </si>
  <si>
    <t>YBYYMWC</t>
  </si>
  <si>
    <t>ISHWAR VAN</t>
  </si>
  <si>
    <t>MADHU VAN</t>
  </si>
  <si>
    <t>XXXX6055</t>
  </si>
  <si>
    <t>YMFOYES</t>
  </si>
  <si>
    <t>JAGDISH NATH JOGI</t>
  </si>
  <si>
    <t>BALU NATH JOGI</t>
  </si>
  <si>
    <t>XXXX6984</t>
  </si>
  <si>
    <t>JAGDISH REGAR</t>
  </si>
  <si>
    <t>PRAKASH CHANDRA</t>
  </si>
  <si>
    <t>XXXX4871</t>
  </si>
  <si>
    <t>VNWVTWP</t>
  </si>
  <si>
    <t>ASAN,DEOGARH,MIYALA,313341</t>
  </si>
  <si>
    <t>Jaiprakash Salvi</t>
  </si>
  <si>
    <t>Kalu Ram</t>
  </si>
  <si>
    <t>XXXX2865</t>
  </si>
  <si>
    <t>WFEGOCO</t>
  </si>
  <si>
    <t>CHAREDO KA BADIYA,DEOGARH,KAMLIGHAT,313331</t>
  </si>
  <si>
    <t>Jatan Jain</t>
  </si>
  <si>
    <t>Dinesh Chandra Gandhi</t>
  </si>
  <si>
    <t>Shobha Jain</t>
  </si>
  <si>
    <t>XXXX0592</t>
  </si>
  <si>
    <t>BADI HOLI KA THAN WARD NO 14 NARANIYO KA MOHALLA,DEOGARH,DEOGARH,313331</t>
  </si>
  <si>
    <t>KAILASH SINGH PANWAR</t>
  </si>
  <si>
    <t>KRISHNA DEVI</t>
  </si>
  <si>
    <t>XXXX7612</t>
  </si>
  <si>
    <t>YQSGGES</t>
  </si>
  <si>
    <t>PURANI TANKI KE PAAS, SOLANKI DARWAJA KE ANDER,DEOGARH,DEOGARH,313331</t>
  </si>
  <si>
    <t>KOYALI DEVI</t>
  </si>
  <si>
    <t>XXXX9790</t>
  </si>
  <si>
    <t>VOJSJKT</t>
  </si>
  <si>
    <t>MANAREL,DEOGARH,MANAREL,313331</t>
  </si>
  <si>
    <t>KAMLESH NATH JOGI</t>
  </si>
  <si>
    <t>XXXX7201</t>
  </si>
  <si>
    <t>BAMEDQW</t>
  </si>
  <si>
    <t>Kapil Jain</t>
  </si>
  <si>
    <t>Paras Mal</t>
  </si>
  <si>
    <t>Seema</t>
  </si>
  <si>
    <t>XXXX6541</t>
  </si>
  <si>
    <t>KOTAWALI CHABUTARA SONIYO KI GALI,DEOGARH,DEOGARH,313331</t>
  </si>
  <si>
    <t>KISHAN LAL GURJAR</t>
  </si>
  <si>
    <t>XXXX9852</t>
  </si>
  <si>
    <t>KISHOR KUMAR SALVI</t>
  </si>
  <si>
    <t>LAXMAN LAL SALVI</t>
  </si>
  <si>
    <t>XXXX1683</t>
  </si>
  <si>
    <t>sangrampura,DEOGARH,sangrampura,313331</t>
  </si>
  <si>
    <t>LALIT KUMAR SALVI</t>
  </si>
  <si>
    <t>XXXX4411</t>
  </si>
  <si>
    <t>YOEKMAG</t>
  </si>
  <si>
    <t>Laxman Lal Suthar</t>
  </si>
  <si>
    <t>Tulsi Devi</t>
  </si>
  <si>
    <t>XXXX0867</t>
  </si>
  <si>
    <t>VZZNNCT</t>
  </si>
  <si>
    <t>PITAM ,DEOGARH,DOLPURA,313331</t>
  </si>
  <si>
    <t>LOKESH KUMAR SALVI</t>
  </si>
  <si>
    <t>XXXX3611</t>
  </si>
  <si>
    <t>YOIAQAG</t>
  </si>
  <si>
    <t>Manish Salvi</t>
  </si>
  <si>
    <t>Devi Lal Salvi</t>
  </si>
  <si>
    <t>XXXX6198</t>
  </si>
  <si>
    <t>YMDMBWW</t>
  </si>
  <si>
    <t>MOHAN SINGH BALLA</t>
  </si>
  <si>
    <t>MADAN SINGH BALLA</t>
  </si>
  <si>
    <t>KAMLA KANWAR</t>
  </si>
  <si>
    <t>XXXX0767</t>
  </si>
  <si>
    <t>VBSBGHN</t>
  </si>
  <si>
    <t>XXXX0442</t>
  </si>
  <si>
    <t>Khera,Deoghar ,Panta ki aati,313341</t>
  </si>
  <si>
    <t>RAM LAL</t>
  </si>
  <si>
    <t>SENU DEVI</t>
  </si>
  <si>
    <t>XXXX0424</t>
  </si>
  <si>
    <t>VOJHKPH</t>
  </si>
  <si>
    <t>VP.HAWALA,PIPLINAGAR,BHIM,VAYA DEOGARH,313331</t>
  </si>
  <si>
    <t>NARAYAN LAL REGAR</t>
  </si>
  <si>
    <t>MOOLA RAM REGAR</t>
  </si>
  <si>
    <t>XXXX3722</t>
  </si>
  <si>
    <t>BAUUUGC</t>
  </si>
  <si>
    <t>Narayan Suthar</t>
  </si>
  <si>
    <t>Bheru Lal Suthar</t>
  </si>
  <si>
    <t>Bhanwari Devi</t>
  </si>
  <si>
    <t>XXXX9541</t>
  </si>
  <si>
    <t>YYWMUMC</t>
  </si>
  <si>
    <t>NEN SINGH</t>
  </si>
  <si>
    <t>JAWAN SINGH</t>
  </si>
  <si>
    <t>KHIMI DEVI</t>
  </si>
  <si>
    <t>XXXX4385</t>
  </si>
  <si>
    <t>WFKKAKW</t>
  </si>
  <si>
    <t>VEERAMGUDA,BHIM,VEERAMGUDA,313341</t>
  </si>
  <si>
    <t>Nikhil Salvi</t>
  </si>
  <si>
    <t>Kailash Chandra</t>
  </si>
  <si>
    <t>Laxmiben</t>
  </si>
  <si>
    <t>XXXX7284</t>
  </si>
  <si>
    <t>JAMA MASJID KE PAS DEOGARH,DEOGARH,DEOGARH,313331</t>
  </si>
  <si>
    <t>PRAKASH CHANDRA BHIL</t>
  </si>
  <si>
    <t>PANNA LAL BHIL</t>
  </si>
  <si>
    <t>XXXX9979</t>
  </si>
  <si>
    <t>YYFSMIG</t>
  </si>
  <si>
    <t>BHIL BASTI,DEOGARH,PITAMPURA,313331</t>
  </si>
  <si>
    <t>PRAKASH GURJAR</t>
  </si>
  <si>
    <t>MOOL CHAND GURJAR</t>
  </si>
  <si>
    <t>XXXX7174</t>
  </si>
  <si>
    <t>CHARNIYA WARD NO 2,DEOGARH,DEOGARH,313331</t>
  </si>
  <si>
    <t>PRAMOD VED</t>
  </si>
  <si>
    <t>MURLIDHAR VED</t>
  </si>
  <si>
    <t>XXXX2767</t>
  </si>
  <si>
    <t>yiikbqk</t>
  </si>
  <si>
    <t>VEDO KA MOHALLA ,DEOGARH,DEOGARH,313331</t>
  </si>
  <si>
    <t>PRAVEEN BADARIYA</t>
  </si>
  <si>
    <t>SURESH BADARIYA</t>
  </si>
  <si>
    <t>XXXX7769</t>
  </si>
  <si>
    <t>bawqckg</t>
  </si>
  <si>
    <t>WARD NO 10,DEOGARH,DEOGARH,313331</t>
  </si>
  <si>
    <t>Praveen Chouhan</t>
  </si>
  <si>
    <t>Laxman Singh</t>
  </si>
  <si>
    <t>Nema Devi</t>
  </si>
  <si>
    <t>XXXX0810</t>
  </si>
  <si>
    <t>KUNDELI,DEOGARH,PANCHAYAT SAMITI DEOGARH,313331</t>
  </si>
  <si>
    <t>PRAVEEN SINGH</t>
  </si>
  <si>
    <t>XXXX9288</t>
  </si>
  <si>
    <t>khera panta ki aanti,deoghar,panta ki aanti,313341</t>
  </si>
  <si>
    <t>PUSHPENDRA SINGH</t>
  </si>
  <si>
    <t>NARPAT SINGH</t>
  </si>
  <si>
    <t>SHRAVAN KANWAR</t>
  </si>
  <si>
    <t>XXXX8938</t>
  </si>
  <si>
    <t>BILANKHI,DEOGARH,POST AANJANA,313331</t>
  </si>
  <si>
    <t>RADHEY VAISHNAV</t>
  </si>
  <si>
    <t>RATNESH VAISHNAV</t>
  </si>
  <si>
    <t>PINKI VAISHNAV</t>
  </si>
  <si>
    <t>XXXX6315</t>
  </si>
  <si>
    <t>NEAR RAJ PLACE,DEOGARH,DEOGARH,313331</t>
  </si>
  <si>
    <t>Rahul Mali</t>
  </si>
  <si>
    <t>Ummed Lal Mali</t>
  </si>
  <si>
    <t>XXXX4503</t>
  </si>
  <si>
    <t>YESWOUS</t>
  </si>
  <si>
    <t>WARD NO 20,DEOGARH,DEOGARH,313331</t>
  </si>
  <si>
    <t>Rahul Singh Chouhan</t>
  </si>
  <si>
    <t>Jitendra Singh Chouhan</t>
  </si>
  <si>
    <t>Shalu Devi</t>
  </si>
  <si>
    <t>XXXX6525</t>
  </si>
  <si>
    <t>RAWLA GHATI SHAKTI BHAWAN KE PASS WARD NO 11,DEOGARH,DEOGARH,313331</t>
  </si>
  <si>
    <t>Rajendra Kumar</t>
  </si>
  <si>
    <t>Bhag Chand</t>
  </si>
  <si>
    <t>Meera Devi</t>
  </si>
  <si>
    <t>XXXX6232</t>
  </si>
  <si>
    <t>DOULPURA ,DEOGARH,DOULPURA,313331</t>
  </si>
  <si>
    <t>Rajendra Kumar Regar</t>
  </si>
  <si>
    <t>Mangi Lal Fregar</t>
  </si>
  <si>
    <t>Dali Bai</t>
  </si>
  <si>
    <t>XXXX1908</t>
  </si>
  <si>
    <t>PITAMPURA,DEOGARH,TEH DEOGARH,313331</t>
  </si>
  <si>
    <t>RAJENDRA NATH JOGI</t>
  </si>
  <si>
    <t>NARAYAN NATH JOGI</t>
  </si>
  <si>
    <t>SHANTI DEVI</t>
  </si>
  <si>
    <t>XXXX8090</t>
  </si>
  <si>
    <t>VXGCCBR</t>
  </si>
  <si>
    <t>RAJU SARGARA</t>
  </si>
  <si>
    <t>DHANNA LAL SARGARA</t>
  </si>
  <si>
    <t>SUNDAR BAI</t>
  </si>
  <si>
    <t>XXXX2248</t>
  </si>
  <si>
    <t>VWWRHRX</t>
  </si>
  <si>
    <t>RAMESHWAR LAL</t>
  </si>
  <si>
    <t>RATAN LAL</t>
  </si>
  <si>
    <t>XXXX3835</t>
  </si>
  <si>
    <t>RAVI KUMAR YATI</t>
  </si>
  <si>
    <t>CHANDRA PRAKASH YATI</t>
  </si>
  <si>
    <t>XXXX9270</t>
  </si>
  <si>
    <t>YGWIDMW</t>
  </si>
  <si>
    <t>PITAMPURA,DEOGARH,PITAMPURARH,313331</t>
  </si>
  <si>
    <t>Rishiraj Singh Solanki</t>
  </si>
  <si>
    <t>Shakti Singh Solanki</t>
  </si>
  <si>
    <t>Meena Kanwar</t>
  </si>
  <si>
    <t>yfswsio</t>
  </si>
  <si>
    <t>LASANI,DEOGARH,LASANI,313341</t>
  </si>
  <si>
    <t>Rohit Singh</t>
  </si>
  <si>
    <t>XXXX6991</t>
  </si>
  <si>
    <t>RAWAT RAJPUT SABHA BHAWAN KE PASS GALI NO 2 CHETA ASAN,DEOGARH,VIJAYPURA,313331</t>
  </si>
  <si>
    <t>Rohit Prajapat</t>
  </si>
  <si>
    <t>Om prakash</t>
  </si>
  <si>
    <t>Indra Devi</t>
  </si>
  <si>
    <t>XXXX0685</t>
  </si>
  <si>
    <t>VORJBKP</t>
  </si>
  <si>
    <t>KUMHARO KA MOHALLA SURAJ DARWAJA,DEOGARH,DEOGARH,313331</t>
  </si>
  <si>
    <t>SAJJAN SINGH</t>
  </si>
  <si>
    <t>XXXX7295</t>
  </si>
  <si>
    <t>VOCPKRP</t>
  </si>
  <si>
    <t>Khara ,Deoghar ,Panta ki aanti,313341</t>
  </si>
  <si>
    <t>Sharukh Mohammad Dayer</t>
  </si>
  <si>
    <t>Riyaz Mohammad Dayer</t>
  </si>
  <si>
    <t>Ayasha Banu</t>
  </si>
  <si>
    <t>XXXX2130</t>
  </si>
  <si>
    <t>SUNIL KAHAR</t>
  </si>
  <si>
    <t>SHANKAR LAL KAHAR</t>
  </si>
  <si>
    <t>KANKU DEVI</t>
  </si>
  <si>
    <t>XXXX3286</t>
  </si>
  <si>
    <t>BABOCDW</t>
  </si>
  <si>
    <t>Tanush Joshi</t>
  </si>
  <si>
    <t>Lalit Joshi</t>
  </si>
  <si>
    <t>Sanju Devi</t>
  </si>
  <si>
    <t>XXXX6350</t>
  </si>
  <si>
    <t>BANDI HOLI KA THAN ,DEOGARH,DEOGARH,313331</t>
  </si>
  <si>
    <t>VAHID MOHAMMAD</t>
  </si>
  <si>
    <t>FAIYAJ MOHAMMAD</t>
  </si>
  <si>
    <t>XXXX8177</t>
  </si>
  <si>
    <t>WXZXHRJ</t>
  </si>
  <si>
    <t>paykon ki gali potlan ,sAHARA,POTLAN,311806</t>
  </si>
  <si>
    <t>VIJAY KUMAR SALVI</t>
  </si>
  <si>
    <t>XXXX3162</t>
  </si>
  <si>
    <t>VOGICKK</t>
  </si>
  <si>
    <t>KAMLIGHAT,DEOGARH,VIJAYPURA,313331</t>
  </si>
  <si>
    <t>VIJESH PURI GOSWAMI</t>
  </si>
  <si>
    <t>CHATAR PURI GOSWAMI</t>
  </si>
  <si>
    <t>XXXX1706</t>
  </si>
  <si>
    <t>VVRTTVV</t>
  </si>
  <si>
    <t>INSIDE SOLANKI GATE , OPP BALA JI MANDIR DEOGARH,RAJSAMAND,DEOGARH,313331</t>
  </si>
  <si>
    <t>VIKAS GURJAR</t>
  </si>
  <si>
    <t>GAJARI DEVI</t>
  </si>
  <si>
    <t>XXXX5159</t>
  </si>
  <si>
    <t>yomevcf</t>
  </si>
  <si>
    <t>VINOD SEN</t>
  </si>
  <si>
    <t>BANSHI LAL SEN</t>
  </si>
  <si>
    <t>XXXX7195</t>
  </si>
  <si>
    <t>yoiwmbk</t>
  </si>
  <si>
    <t>VIPESH KUMAR</t>
  </si>
  <si>
    <t>RODI LAL</t>
  </si>
  <si>
    <t>XXXX6104</t>
  </si>
  <si>
    <t>vonwvhn</t>
  </si>
  <si>
    <t>VILLAGE-KUNDELI ,KUNDELI TEH.-DEOGARH,,313341</t>
  </si>
  <si>
    <t>Virendra Pratap Regar</t>
  </si>
  <si>
    <t>Gopi Lal Regar</t>
  </si>
  <si>
    <t>Vadami Devi</t>
  </si>
  <si>
    <t>XXXX9614</t>
  </si>
  <si>
    <t>VBRSZKJ</t>
  </si>
  <si>
    <t>NARAYAN JI KA MOHALLA SOLANKI DARWAJA KE ANDER,DEOGARH,DEOGARH,313331</t>
  </si>
  <si>
    <t>XXXX9247</t>
  </si>
  <si>
    <t>YYCDAFG</t>
  </si>
  <si>
    <t>VISHNU REGAR</t>
  </si>
  <si>
    <t>PYARE LALREGAR</t>
  </si>
  <si>
    <t>BADAMI DEVI</t>
  </si>
  <si>
    <t>XXXX6746</t>
  </si>
  <si>
    <t>VVRSPOV</t>
  </si>
  <si>
    <t>YOGESH REGAR</t>
  </si>
  <si>
    <t>KALYAN MAL REGAR</t>
  </si>
  <si>
    <t>XXXX5469</t>
  </si>
  <si>
    <t>VSPKKBP</t>
  </si>
  <si>
    <t>D</t>
  </si>
  <si>
    <t>AKASH BHARTI</t>
  </si>
  <si>
    <t>MUKESH BHARTI</t>
  </si>
  <si>
    <t>JANU BHARTI</t>
  </si>
  <si>
    <t>XXXX1609</t>
  </si>
  <si>
    <t>VHCVVRX</t>
  </si>
  <si>
    <t>RAMPURIYA,DEOGARH,DEOGARH,313331</t>
  </si>
  <si>
    <t>ASHOK DAMAMI</t>
  </si>
  <si>
    <t>JAGDISH DAMAMI</t>
  </si>
  <si>
    <t>XXXX4209</t>
  </si>
  <si>
    <t>VPWWTHH</t>
  </si>
  <si>
    <t>VPO PARDI,DEOGARH,PARDI,313331</t>
  </si>
  <si>
    <t>BHARAT SINGH</t>
  </si>
  <si>
    <t>XXXX8740</t>
  </si>
  <si>
    <t>VOJTPTP</t>
  </si>
  <si>
    <t>KHERA PANTA KI AANTI,DEOGHAR,PANTA LI AANTI,313341</t>
  </si>
  <si>
    <t>Bhavesh Mali</t>
  </si>
  <si>
    <t>Mitha Lal</t>
  </si>
  <si>
    <t>Kanta Devi</t>
  </si>
  <si>
    <t>XXXX2502</t>
  </si>
  <si>
    <t>VZPHWZV</t>
  </si>
  <si>
    <t>Bhawani Shankar Vaishnav</t>
  </si>
  <si>
    <t>Liladhar Vaishnav</t>
  </si>
  <si>
    <t>XXXX3559</t>
  </si>
  <si>
    <t>ydegsek</t>
  </si>
  <si>
    <t>WARD NO 20 SHAKTI NAGAR,DEOGARH,DEOGARH,313331</t>
  </si>
  <si>
    <t>Chetan Mali</t>
  </si>
  <si>
    <t>Pyare Lal Mali</t>
  </si>
  <si>
    <t>XXXX4534</t>
  </si>
  <si>
    <t>VGBGZZJ</t>
  </si>
  <si>
    <t>BHANWARIYA,DEOGARH,AANJANA,313331</t>
  </si>
  <si>
    <t>Chirag Khatik</t>
  </si>
  <si>
    <t>Rajmal Khatik</t>
  </si>
  <si>
    <t>XXXX9083</t>
  </si>
  <si>
    <t>YMFQBDW</t>
  </si>
  <si>
    <t>TAL,DEOGARH,TAL,313331</t>
  </si>
  <si>
    <t>Danish Mohammad</t>
  </si>
  <si>
    <t>Hidayat Hussain</t>
  </si>
  <si>
    <t>Rabiya Banu</t>
  </si>
  <si>
    <t>XXXX5707</t>
  </si>
  <si>
    <t>DHARMVEER SINGH</t>
  </si>
  <si>
    <t>XXXX5709</t>
  </si>
  <si>
    <t>HEERATO KA BADIYA,TEH BHIM,POST SAMELIYA ,313341</t>
  </si>
  <si>
    <t>DURGESH KUMAR</t>
  </si>
  <si>
    <t>MOWANI DEVI</t>
  </si>
  <si>
    <t>XXXX3217</t>
  </si>
  <si>
    <t>YMWUDGO</t>
  </si>
  <si>
    <t>Gajendra Singh</t>
  </si>
  <si>
    <t>XXXX1099</t>
  </si>
  <si>
    <t>WZONVRP</t>
  </si>
  <si>
    <t>LAL JI KA KHEDA,DEOGARH,KUNDWA,313331</t>
  </si>
  <si>
    <t>GANPAT NATH DEVRA</t>
  </si>
  <si>
    <t>BABU NATH</t>
  </si>
  <si>
    <t>TEENA DEVI</t>
  </si>
  <si>
    <t>XXXX4199</t>
  </si>
  <si>
    <t>YOUKAKO</t>
  </si>
  <si>
    <t>KAMALA ,DEOGARH,VIJAYPURA,313331</t>
  </si>
  <si>
    <t>GEHNA TANWAR</t>
  </si>
  <si>
    <t>GOPAL SINGH TANWAR</t>
  </si>
  <si>
    <t>REKHA TANWAR</t>
  </si>
  <si>
    <t>XXXX9053</t>
  </si>
  <si>
    <t>VAISHNAV KA MOHALLA,DEOGARH,DEOGARH,313331</t>
  </si>
  <si>
    <t>GHANSHYAM SINGH CHUNDAWAT</t>
  </si>
  <si>
    <t>BHAGWAN SINGH CHUNDAWAT</t>
  </si>
  <si>
    <t>TRILOK KANWAR</t>
  </si>
  <si>
    <t>XXXX1847</t>
  </si>
  <si>
    <t>YBSWGBS</t>
  </si>
  <si>
    <t>CHAWLA REL KA KHERA,DEOGARH,KALESHRIYA,313331</t>
  </si>
  <si>
    <t>GURU RAJVEER SINGH</t>
  </si>
  <si>
    <t>BHAGWAT SINGH PANWAR</t>
  </si>
  <si>
    <t>GULAB KANWAR</t>
  </si>
  <si>
    <t>XXXX7799</t>
  </si>
  <si>
    <t>WZVOVPH</t>
  </si>
  <si>
    <t>KESHRINGH GHATI,DEOGARH,DEOGARH,313331</t>
  </si>
  <si>
    <t>Himanshu Khokhawat</t>
  </si>
  <si>
    <t>Devendra Kumar Khokhawat</t>
  </si>
  <si>
    <t>SHASTRI NAGAR DAK BANGLE KE PICHE,DEOGARH,DEOGARH,313331</t>
  </si>
  <si>
    <t>HIMMAT MALI</t>
  </si>
  <si>
    <t>PRATAP MALI</t>
  </si>
  <si>
    <t>RAJI BAI</t>
  </si>
  <si>
    <t>XXXX5909</t>
  </si>
  <si>
    <t>HIGH SECONADRY IKE PICHE,DEOGARH,DEOGARH,313331</t>
  </si>
  <si>
    <t>JAGDISH SEN</t>
  </si>
  <si>
    <t>RAMESH CHANDRA SEN</t>
  </si>
  <si>
    <t>XXXX5921</t>
  </si>
  <si>
    <t>YWIDWDO</t>
  </si>
  <si>
    <t>NEAR CHARBHUJA MANDIR,DEOGARH,BUJHARA,313331</t>
  </si>
  <si>
    <t>JAVED AKHATAR</t>
  </si>
  <si>
    <t>MUSTAK MOHAMMAD</t>
  </si>
  <si>
    <t>XXXX8933</t>
  </si>
  <si>
    <t>VBRXSHH</t>
  </si>
  <si>
    <t>RAJEEV NAGAR,DEOGARH,DEOGARH ,313331</t>
  </si>
  <si>
    <t>JEEVAN SINGH</t>
  </si>
  <si>
    <t>DHANNU DEVI</t>
  </si>
  <si>
    <t>YIUBUCK</t>
  </si>
  <si>
    <t>PAATA KI AANTI,DEOGARH,DEOGARH,313331</t>
  </si>
  <si>
    <t>KAILASH CHANDRA KAHAR</t>
  </si>
  <si>
    <t>GANESH LAL KAHAR</t>
  </si>
  <si>
    <t>SAVITRI DEVI</t>
  </si>
  <si>
    <t>XXXX5282</t>
  </si>
  <si>
    <t>VVPWJOJ</t>
  </si>
  <si>
    <t>VILLAGR- MANDAWARA,DEOGARH,MANDAWARA,313331</t>
  </si>
  <si>
    <t>KAJAL DHABHAI</t>
  </si>
  <si>
    <t>RAJENDRA DHABHAI</t>
  </si>
  <si>
    <t>GUDDI DEVI</t>
  </si>
  <si>
    <t>XXXX2032</t>
  </si>
  <si>
    <t>VZKKJBX</t>
  </si>
  <si>
    <t>GURJARI DARWAJA ,DEOGARH,DEOGARH,313331</t>
  </si>
  <si>
    <t>DEVENDRA BHAI</t>
  </si>
  <si>
    <t>XXXX3225</t>
  </si>
  <si>
    <t>VRJGWTX</t>
  </si>
  <si>
    <t>KASHISH DHABHAI</t>
  </si>
  <si>
    <t>RAMESH DHABHAI</t>
  </si>
  <si>
    <t>KOUSHALYA DEVI</t>
  </si>
  <si>
    <t>XXXX8956</t>
  </si>
  <si>
    <t>SHASHTRI NAGAR,DEOGARH,DEOGARH,313331</t>
  </si>
  <si>
    <t>KAVITA SHARMA</t>
  </si>
  <si>
    <t>KANHEIYA LAL SHARMA</t>
  </si>
  <si>
    <t>SHYAMU DEVI</t>
  </si>
  <si>
    <t>XXXX7784</t>
  </si>
  <si>
    <t>bcSTVXX</t>
  </si>
  <si>
    <t>MADARIYA,DEOGARH,MADARIYA,313331</t>
  </si>
  <si>
    <t>LALITA SAHU</t>
  </si>
  <si>
    <t>BADRI LAL SAHU</t>
  </si>
  <si>
    <t>XXXX2872</t>
  </si>
  <si>
    <t>VVCZORJ</t>
  </si>
  <si>
    <t>Latika Tailor</t>
  </si>
  <si>
    <t>Kanhaiya Lal Tailor</t>
  </si>
  <si>
    <t>XXXX0023</t>
  </si>
  <si>
    <t>207 KRISHNA KUNJ SHASTRI NAGAR,DEOGARH,DEOGARH,313331</t>
  </si>
  <si>
    <t>MAHENDRA DHOLI</t>
  </si>
  <si>
    <t>SHIV LAL DHOLI</t>
  </si>
  <si>
    <t>XXXX1401</t>
  </si>
  <si>
    <t>YMWBOYC</t>
  </si>
  <si>
    <t>PARDI,DEOGARH,PARDI,313331</t>
  </si>
  <si>
    <t>MAHENDRA KUMAR NAT</t>
  </si>
  <si>
    <t>BHAGWANTI DEVI</t>
  </si>
  <si>
    <t>XXXX4082</t>
  </si>
  <si>
    <t>VVKHGKT</t>
  </si>
  <si>
    <t>TODGARH,TODGARH,TODGARH,305924</t>
  </si>
  <si>
    <t>Manisha Kumari</t>
  </si>
  <si>
    <t>Kailash Kumar</t>
  </si>
  <si>
    <t>Champa Devi</t>
  </si>
  <si>
    <t>XXXX0177</t>
  </si>
  <si>
    <t>YIQCOUB</t>
  </si>
  <si>
    <t>PIPRELU,TEH BHIM,POST DIWER ,313331</t>
  </si>
  <si>
    <t>Mohammad Kaif</t>
  </si>
  <si>
    <t>Rashid Mohammad Sheikh</t>
  </si>
  <si>
    <t>Guljar Banu</t>
  </si>
  <si>
    <t>XXXX3851</t>
  </si>
  <si>
    <t>YFUIDSB</t>
  </si>
  <si>
    <t>MOHAMMAD MUJAHID KHAN</t>
  </si>
  <si>
    <t>IRFAN MOHAMMAD</t>
  </si>
  <si>
    <t>FARJANA BANU</t>
  </si>
  <si>
    <t>XXXX0548</t>
  </si>
  <si>
    <t>WZBRBBH</t>
  </si>
  <si>
    <t>Mohammed Rehan Raza</t>
  </si>
  <si>
    <t>Fayaz Mohammed</t>
  </si>
  <si>
    <t>Jareena Begam</t>
  </si>
  <si>
    <t>XXXX4180</t>
  </si>
  <si>
    <t>Mohit Sargra</t>
  </si>
  <si>
    <t>Prakash Chandra Sargara</t>
  </si>
  <si>
    <t>Anita Sargara</t>
  </si>
  <si>
    <t>XXXX8816</t>
  </si>
  <si>
    <t>VHJXWBX</t>
  </si>
  <si>
    <t>POLICE STATION KE PICHE SHASTRI NAGAR,DEOGARH,DEOGARH,313331</t>
  </si>
  <si>
    <t>MOHIT SEN</t>
  </si>
  <si>
    <t>CHANDRA PRAKASH SEN</t>
  </si>
  <si>
    <t>KRISHNA SEN</t>
  </si>
  <si>
    <t>XXXX9750</t>
  </si>
  <si>
    <t>VEDO KA MOHALLA KOTWALI CHBUTRA KE PAAS,DEOGARH,DEOGARH,313331</t>
  </si>
  <si>
    <t>AMAR SINGH</t>
  </si>
  <si>
    <t>XXXX1206</t>
  </si>
  <si>
    <t>VOSBBCH</t>
  </si>
  <si>
    <t>Muzahid Raza Sheikh</t>
  </si>
  <si>
    <t>Samshuddin Sheikh</t>
  </si>
  <si>
    <t>XXXX1980</t>
  </si>
  <si>
    <t>HOSPITAL ROAD BAPU NAGAR WARD NO 24,DEOGARH,DEOGARH,313331</t>
  </si>
  <si>
    <t>NAHID RAJA</t>
  </si>
  <si>
    <t>AZAD MOHMMAD</t>
  </si>
  <si>
    <t>NASEEM BANU</t>
  </si>
  <si>
    <t>XXXX6837</t>
  </si>
  <si>
    <t>WEYQOEB</t>
  </si>
  <si>
    <t>Narayan Salvi</t>
  </si>
  <si>
    <t>Puna Ram Salvi</t>
  </si>
  <si>
    <t>Sundari Devi</t>
  </si>
  <si>
    <t>XXXX6218</t>
  </si>
  <si>
    <t>HATHAI KE PASS SALVI MOHALLA,DEOGARH,KUNDELI ,313341</t>
  </si>
  <si>
    <t>KALU RAM SALVI</t>
  </si>
  <si>
    <t>KELI DEVI</t>
  </si>
  <si>
    <t>XXXX5400</t>
  </si>
  <si>
    <t>sangrampura,deogarh,sangrmpura,313331</t>
  </si>
  <si>
    <t>Nitu Kumari</t>
  </si>
  <si>
    <t>Bhanwar Nath</t>
  </si>
  <si>
    <t>Mithu Devi</t>
  </si>
  <si>
    <t>XXXX7402</t>
  </si>
  <si>
    <t>KAMLA MAHADEV MANDIR KE PASS,DEOGARH,KAMLA,313331</t>
  </si>
  <si>
    <t>PARAS NATRAJ</t>
  </si>
  <si>
    <t>HEMRAJ NATRAJ</t>
  </si>
  <si>
    <t>BILANKHI,DEOGARH,AANJANA,313331</t>
  </si>
  <si>
    <t>PRABHU LAL</t>
  </si>
  <si>
    <t>VPWWRZR</t>
  </si>
  <si>
    <t>PRANJAL SINGH</t>
  </si>
  <si>
    <t>LAL SINGH TANK</t>
  </si>
  <si>
    <t>HEMLATA</t>
  </si>
  <si>
    <t>XXXX2102</t>
  </si>
  <si>
    <t>BHILO KI TANKADI,DEOGARH,DEOGARH,313331</t>
  </si>
  <si>
    <t>Priyanshi Joshi</t>
  </si>
  <si>
    <t>Madhusudan Joshi</t>
  </si>
  <si>
    <t>Nagina Joshi</t>
  </si>
  <si>
    <t>XXXX4965</t>
  </si>
  <si>
    <t>VZORGBJ</t>
  </si>
  <si>
    <t>GOURI SADAN BADI HOLI KA THAN,DEOGARH,DEOGARH,313331</t>
  </si>
  <si>
    <t>RAHUL GUVARIYA</t>
  </si>
  <si>
    <t>XXXX4941</t>
  </si>
  <si>
    <t>YBSWEEK</t>
  </si>
  <si>
    <t>RAJ MERUTHA</t>
  </si>
  <si>
    <t>VIDHYA DEVI</t>
  </si>
  <si>
    <t>XXXX5288</t>
  </si>
  <si>
    <t>WDFDOFC</t>
  </si>
  <si>
    <t>XXXX3672</t>
  </si>
  <si>
    <t>YOCCWMG</t>
  </si>
  <si>
    <t>Rajveer Singh Panwar</t>
  </si>
  <si>
    <t>Gurunam Singh Panwar</t>
  </si>
  <si>
    <t>Mamta Kanwar</t>
  </si>
  <si>
    <t>XXXX2941</t>
  </si>
  <si>
    <t>ybfwdog</t>
  </si>
  <si>
    <t>55 MALIYON KA MOHALLA, SURAJ DARWAJA,DEOGARH,DEOGARH,313331</t>
  </si>
  <si>
    <t>RIDHIMA CHAUHAN</t>
  </si>
  <si>
    <t>HARI SINGH CHAUHAN</t>
  </si>
  <si>
    <t>SEEMA KANWAR</t>
  </si>
  <si>
    <t>RAJPUTO KA MOHALLA,DEOGRH,DEOGRH,313331</t>
  </si>
  <si>
    <t>Rishabh Chandel</t>
  </si>
  <si>
    <t>Parkash Chand Chandel</t>
  </si>
  <si>
    <t>Tara Devi Chandel</t>
  </si>
  <si>
    <t>XXXX1983</t>
  </si>
  <si>
    <t>VBZVZPX</t>
  </si>
  <si>
    <t>NAI AABADI BADWAS ,BHIM,BAGGAR,313341</t>
  </si>
  <si>
    <t>ROHIT SUTHAR</t>
  </si>
  <si>
    <t>LADU LAL</t>
  </si>
  <si>
    <t>NARAYAN JI KA MOHALLA ,DEOGARH,DEOGARH,313331</t>
  </si>
  <si>
    <t>Sarfaraj Khan</t>
  </si>
  <si>
    <t>Rustam Khan</t>
  </si>
  <si>
    <t>Rajiya Banu</t>
  </si>
  <si>
    <t>XXXX3092</t>
  </si>
  <si>
    <t>YFGAUBW</t>
  </si>
  <si>
    <t>Shoyab Mohammad</t>
  </si>
  <si>
    <t>Iqbal Mohammad</t>
  </si>
  <si>
    <t>Hasina Banu</t>
  </si>
  <si>
    <t>XXXX2754</t>
  </si>
  <si>
    <t>WARD NO 21 VEDWARI DARWAJA,DEOGARH,DEOGARH,313331</t>
  </si>
  <si>
    <t>SUMIT KUMAR HARIJAN</t>
  </si>
  <si>
    <t>GYANI DEVI</t>
  </si>
  <si>
    <t>XXXX5896</t>
  </si>
  <si>
    <t>ybyusyw</t>
  </si>
  <si>
    <t>HARIJAN BASTI WARD NO 5,DEOGARH,DEOGARH,313331</t>
  </si>
  <si>
    <t>SURENDRA SINGH SISODIYA</t>
  </si>
  <si>
    <t>DURGA KANWAR</t>
  </si>
  <si>
    <t>XXXX3276</t>
  </si>
  <si>
    <t>YMWYQSS</t>
  </si>
  <si>
    <t>Pardi,Deogarh,Pardi,313331</t>
  </si>
  <si>
    <t>SURESH SINGH</t>
  </si>
  <si>
    <t>XXXX7719</t>
  </si>
  <si>
    <t>VPBPTPN</t>
  </si>
  <si>
    <t>VIDHYA REGAR</t>
  </si>
  <si>
    <t>WZJRZCP</t>
  </si>
  <si>
    <t>SOLANKI DARWAJA KE ANDER REGAR MOHALLA,DEOGARH,DEOGARH,313331</t>
  </si>
  <si>
    <t>Vijay Naraniya</t>
  </si>
  <si>
    <t>Gopal Naraniya</t>
  </si>
  <si>
    <t>Laxmi Naraniya</t>
  </si>
  <si>
    <t>XXXX6640</t>
  </si>
  <si>
    <t>BADI HOLI KA THAN,DEOGARH,DEOGARH,313331</t>
  </si>
  <si>
    <t>Virendra Harijan</t>
  </si>
  <si>
    <t>Ashok Kumar</t>
  </si>
  <si>
    <t>Lali Devi</t>
  </si>
  <si>
    <t>XXXX7229</t>
  </si>
  <si>
    <t>VVPHWKN</t>
  </si>
  <si>
    <t>WARD NO 5 HARIJAN MOHALLA ,DEOGARH,DEOGARH,313331</t>
  </si>
  <si>
    <t>VIRENDRA RAJVEER SINGH</t>
  </si>
  <si>
    <t>XXXX5883</t>
  </si>
  <si>
    <t>WZYOVPH</t>
  </si>
  <si>
    <t>KESHARING GHATI,DEOGARH,DEOGARH,313331</t>
  </si>
  <si>
    <t>Vishal Kumar</t>
  </si>
  <si>
    <t>XXXX9028</t>
  </si>
  <si>
    <t>WFKESQW</t>
  </si>
  <si>
    <t>CHAREDO KA BADIYA,DEOGARH,VIJAYPURA,313331</t>
  </si>
  <si>
    <t>VISHNU LOHAR</t>
  </si>
  <si>
    <t>SURESH CHANDRA LOHAR</t>
  </si>
  <si>
    <t>XXXX0100</t>
  </si>
  <si>
    <t>KUNDELI,KUNDELI,KUNDELI,313341</t>
  </si>
  <si>
    <t>Aditya Sharma</t>
  </si>
  <si>
    <t>Kamal Sharma</t>
  </si>
  <si>
    <t>Sunita Sharma</t>
  </si>
  <si>
    <t>XXXX4064</t>
  </si>
  <si>
    <t>104 A SUBHASH NAGAR,DEOGARH,DEOGARH,313331</t>
  </si>
  <si>
    <t>ARPIT MEWARA</t>
  </si>
  <si>
    <t>VIJAY KUMAR MEWARA</t>
  </si>
  <si>
    <t>DEEPIKA DEVI</t>
  </si>
  <si>
    <t>XXXX2173</t>
  </si>
  <si>
    <t>KHADI BHANDAR,DEOGARH,DEOGARH,313331</t>
  </si>
  <si>
    <t>ASHOK KUMAR GANWARIYA</t>
  </si>
  <si>
    <t>MISHRI LAL</t>
  </si>
  <si>
    <t>SAVITA DEVI</t>
  </si>
  <si>
    <t>XXXX6420</t>
  </si>
  <si>
    <t>YYQSUYC</t>
  </si>
  <si>
    <t>GUJARI DARWAJA KE ANDAR,DEOGARH,DEOGARH,313331</t>
  </si>
  <si>
    <t>MAHENDRA SINGH CHUNDAWAT</t>
  </si>
  <si>
    <t>KAILASH KANWAR</t>
  </si>
  <si>
    <t>XXXX4112</t>
  </si>
  <si>
    <t>YWDKAUB</t>
  </si>
  <si>
    <t>KUNWARIYA KALESARIYA,DEOGARH,MADARIA,313331</t>
  </si>
  <si>
    <t>BHARATENDU HARISHCHANDRA VAISHNAV</t>
  </si>
  <si>
    <t>SHANKAR DAS VAISHNAV</t>
  </si>
  <si>
    <t>PUSHPA DEVI VAISHNAV</t>
  </si>
  <si>
    <t>CHANDAN SINGH CHUNDAWAT</t>
  </si>
  <si>
    <t>SURENDRA SINGH</t>
  </si>
  <si>
    <t>RATAN KANWAR</t>
  </si>
  <si>
    <t>XXXX1010</t>
  </si>
  <si>
    <t>YOIGFCK</t>
  </si>
  <si>
    <t>MOYANA,DEOGARH,MOYANA,313331</t>
  </si>
  <si>
    <t>Dasharath Singh</t>
  </si>
  <si>
    <t>XXXX8724</t>
  </si>
  <si>
    <t>VRSNTNJ</t>
  </si>
  <si>
    <t>TELRA,BHIM,POST BAGGAR TEH BHIM,313331</t>
  </si>
  <si>
    <t>DHARMA RAM GURJAR</t>
  </si>
  <si>
    <t>SUKH LAL GURJAR</t>
  </si>
  <si>
    <t>RAMI DEVI</t>
  </si>
  <si>
    <t>XXXX5552</t>
  </si>
  <si>
    <t>VWXNCVH</t>
  </si>
  <si>
    <t>MATUNIYA,DEOGARH,KALESARIYA,313331</t>
  </si>
  <si>
    <t>Gopal</t>
  </si>
  <si>
    <t>Amar Singh</t>
  </si>
  <si>
    <t>Sunita</t>
  </si>
  <si>
    <t>XXXX6868</t>
  </si>
  <si>
    <t>BHARATPUR,BHARATHPUR,BHARATPUR,321204</t>
  </si>
  <si>
    <t>Hansraj Singh</t>
  </si>
  <si>
    <t>Prakash Singh</t>
  </si>
  <si>
    <t>Kavita Devi</t>
  </si>
  <si>
    <t>XXXX4383</t>
  </si>
  <si>
    <t>JOONTRA ,BHIM,POST BAGGAR,313341</t>
  </si>
  <si>
    <t>Heena Mewara</t>
  </si>
  <si>
    <t>Shankar Lal</t>
  </si>
  <si>
    <t>XXXX1839</t>
  </si>
  <si>
    <t>VSPOCGJ</t>
  </si>
  <si>
    <t>GHATI,DEOGARH,POST ANJANAA,313331</t>
  </si>
  <si>
    <t>Hemant Singh</t>
  </si>
  <si>
    <t>Vinod Singh</t>
  </si>
  <si>
    <t>Lalita Devi</t>
  </si>
  <si>
    <t>XXXX1858</t>
  </si>
  <si>
    <t>VZKKPTX</t>
  </si>
  <si>
    <t>KANIYANA ,BHIM,POST BAGHANA ,313341</t>
  </si>
  <si>
    <t>HEMENDRA SINGH</t>
  </si>
  <si>
    <t>XXXX1077</t>
  </si>
  <si>
    <t>VWWNCNR</t>
  </si>
  <si>
    <t>TELRA BAGGAR,BHIM,BAGGAR,313341</t>
  </si>
  <si>
    <t>Hemendra Singh</t>
  </si>
  <si>
    <t>Girdhari Singh</t>
  </si>
  <si>
    <t>XXXX9344</t>
  </si>
  <si>
    <t>KITO KA BADIYA ,DEOGARH,VIJAYPURA,313331</t>
  </si>
  <si>
    <t>JITENDRA KUMAR</t>
  </si>
  <si>
    <t>RAMESH CHANDRA</t>
  </si>
  <si>
    <t>UMA DEVI</t>
  </si>
  <si>
    <t>XXXX1625</t>
  </si>
  <si>
    <t>WFQSMOC</t>
  </si>
  <si>
    <t>UMRAJ TAPALO KA KHEDA,DEOGARH,NARDAS KA GUDA,313331</t>
  </si>
  <si>
    <t>JYOTI REGAR</t>
  </si>
  <si>
    <t>KAMLESH REGAR</t>
  </si>
  <si>
    <t>LEELA REGAR</t>
  </si>
  <si>
    <t>XXXX5823</t>
  </si>
  <si>
    <t>YKGSEFB</t>
  </si>
  <si>
    <t>XXXX7575</t>
  </si>
  <si>
    <t>YICNSKC</t>
  </si>
  <si>
    <t>PIPARELU,BHIM,PIPARELU,313331</t>
  </si>
  <si>
    <t>LABHDATT SINGH</t>
  </si>
  <si>
    <t>XXXX3221</t>
  </si>
  <si>
    <t>YYDAWBF</t>
  </si>
  <si>
    <t>NAYATALAB,BHIM,KACHHABALI,313341</t>
  </si>
  <si>
    <t>LAVINA SEVANI</t>
  </si>
  <si>
    <t>DAULAT RAM SEVANI</t>
  </si>
  <si>
    <t>HEENA SEVANI</t>
  </si>
  <si>
    <t>XXXX5785</t>
  </si>
  <si>
    <t>BHPBGPX</t>
  </si>
  <si>
    <t>BAPU NAGAR NEW DARWAJA,DEOGARH,DEOGARH,313331</t>
  </si>
  <si>
    <t>JAMNA LAL</t>
  </si>
  <si>
    <t>XXXX1794</t>
  </si>
  <si>
    <t>YBWUWUW</t>
  </si>
  <si>
    <t>KAMLIGHAT CHETA ASAN,DEOGARH,KAMLIGHAT CHETA ASAN,313331</t>
  </si>
  <si>
    <t>MAMTA RAV</t>
  </si>
  <si>
    <t>SATYANARAYAN RAV</t>
  </si>
  <si>
    <t>XXXX3206</t>
  </si>
  <si>
    <t>WZKPXVN</t>
  </si>
  <si>
    <t>MANA RAM MALI</t>
  </si>
  <si>
    <t>TILOK MALI</t>
  </si>
  <si>
    <t>XXXX9258</t>
  </si>
  <si>
    <t>YKIOEKG</t>
  </si>
  <si>
    <t>Mansi Chauhan</t>
  </si>
  <si>
    <t>Kulwant Singh Chauhan</t>
  </si>
  <si>
    <t>Asha Chauhan</t>
  </si>
  <si>
    <t>XXXX6626</t>
  </si>
  <si>
    <t>FUKIYA THAD ,DEOGARH,POST VIJAYPURA,313331</t>
  </si>
  <si>
    <t>Maya Regar</t>
  </si>
  <si>
    <t>Sawai Ram</t>
  </si>
  <si>
    <t>Chanda Devi</t>
  </si>
  <si>
    <t>XXXX7248</t>
  </si>
  <si>
    <t>VVRRTJH</t>
  </si>
  <si>
    <t>INSIDE SOLANKI GATE REGAR MOHALLA,DEOGARH,DEOGARH,313331</t>
  </si>
  <si>
    <t>NARESH VAISHNAV</t>
  </si>
  <si>
    <t>JAGDISH VAISHNAV</t>
  </si>
  <si>
    <t>MEENA VAISHNAV</t>
  </si>
  <si>
    <t>XXXX8828</t>
  </si>
  <si>
    <t>149,KUMBHALGARH,KOYALA PO.SEVANTRI,313333</t>
  </si>
  <si>
    <t>NAVEEN PRAKASH SINGH</t>
  </si>
  <si>
    <t>PANNA SINGH</t>
  </si>
  <si>
    <t>MOHINI DEVI</t>
  </si>
  <si>
    <t>XXXX5320</t>
  </si>
  <si>
    <t>VKTTHNH</t>
  </si>
  <si>
    <t>NANGATO KI GUAR,BHIM,CHHAPLI,313331</t>
  </si>
  <si>
    <t>NEELU KANWAR</t>
  </si>
  <si>
    <t>LAHAR SINGH</t>
  </si>
  <si>
    <t>PARAS KANWAR</t>
  </si>
  <si>
    <t>XXXX2556</t>
  </si>
  <si>
    <t>WZRNVTP</t>
  </si>
  <si>
    <t>LASANI,DEOGARH RAJSAMAND,LASANI,313331</t>
  </si>
  <si>
    <t>SURESH RAM REGAR</t>
  </si>
  <si>
    <t>KAILASH DEVI</t>
  </si>
  <si>
    <t>XXXX1411</t>
  </si>
  <si>
    <t>VTCHNPH</t>
  </si>
  <si>
    <t>SAMADARA,DEOGARH,LASANI,313331</t>
  </si>
  <si>
    <t>Prakash Chand Gurjar</t>
  </si>
  <si>
    <t>Kana Lal Gurjar</t>
  </si>
  <si>
    <t>Lacchi Devi Gurjar</t>
  </si>
  <si>
    <t>XXXX0206</t>
  </si>
  <si>
    <t>YUBGBGF</t>
  </si>
  <si>
    <t>MIYAFALAS KA KHEDA,KAREDA,DHUWALA,311804</t>
  </si>
  <si>
    <t>DALCHAND KALAL</t>
  </si>
  <si>
    <t>DEVI</t>
  </si>
  <si>
    <t>XXXX8351</t>
  </si>
  <si>
    <t>VBXTCCR</t>
  </si>
  <si>
    <t>PRAKASH NATH</t>
  </si>
  <si>
    <t>MOOL NATH</t>
  </si>
  <si>
    <t>KAUSHALYA</t>
  </si>
  <si>
    <t>XXXX6542</t>
  </si>
  <si>
    <t>VD NAGAR,MARWAR JN ,MARWAR JN,306001</t>
  </si>
  <si>
    <t>Prathviraj Singh</t>
  </si>
  <si>
    <t>Surendra Singh</t>
  </si>
  <si>
    <t>Rajkanvari Devi</t>
  </si>
  <si>
    <t>XXXX2414</t>
  </si>
  <si>
    <t>JOOTARA,BHIM,BAGGAR,313331</t>
  </si>
  <si>
    <t>RADHESHYAM SUTHAR</t>
  </si>
  <si>
    <t>XXXX5136</t>
  </si>
  <si>
    <t>NYA KHERA POST- DHUNWALA(K),MANDAL,NYA KHERA,311804</t>
  </si>
  <si>
    <t>Rahnuma Parvin</t>
  </si>
  <si>
    <t>Ahsan Mohmmad Chhipa</t>
  </si>
  <si>
    <t>Ruksana Banu</t>
  </si>
  <si>
    <t>XXXX2462</t>
  </si>
  <si>
    <t>WARD NO 21 BALLO KI HATHAI,DEOGARH,VEDWARI DARWAJ,313331</t>
  </si>
  <si>
    <t>Rahul Kumar</t>
  </si>
  <si>
    <t>Bheru Lal</t>
  </si>
  <si>
    <t>XXXX2772</t>
  </si>
  <si>
    <t>VKCASEG</t>
  </si>
  <si>
    <t>DEVNARAYAN MANDIR KE PASS WARD NO 2,DEOGARH,CHARNIYA ,313331</t>
  </si>
  <si>
    <t>RAHUL LOHAR</t>
  </si>
  <si>
    <t>BANSI LAL LOHAR</t>
  </si>
  <si>
    <t>XXXX6106</t>
  </si>
  <si>
    <t>VKTSHNB</t>
  </si>
  <si>
    <t>CHETA ASAN,DEOGARH,VIJAYPURA,313331</t>
  </si>
  <si>
    <t>Rahul Singh</t>
  </si>
  <si>
    <t>XXXX3535</t>
  </si>
  <si>
    <t>TELRA,BHIM,POST BAGGAR TEH BHIM,313341</t>
  </si>
  <si>
    <t>KESHAR SINGH</t>
  </si>
  <si>
    <t>XXXX4187</t>
  </si>
  <si>
    <t>YSIIQDS</t>
  </si>
  <si>
    <t>TANKADIBARJAL,BHIM,VPO-BARJAL,313331</t>
  </si>
  <si>
    <t>Ravindra Singh</t>
  </si>
  <si>
    <t>Sultan Singh Chauhan</t>
  </si>
  <si>
    <t>Chandra Kanwar</t>
  </si>
  <si>
    <t>XXXX5794</t>
  </si>
  <si>
    <t>VRSNOXR</t>
  </si>
  <si>
    <t>Baggad,Bhim, Village Telda,313341</t>
  </si>
  <si>
    <t>SATISH LOHAR</t>
  </si>
  <si>
    <t>GOVIND LAL</t>
  </si>
  <si>
    <t>XXXX9215</t>
  </si>
  <si>
    <t>VVXCXJX</t>
  </si>
  <si>
    <t>KHEEMA KHERA,BHIM,KHEEMA KHERA,313331</t>
  </si>
  <si>
    <t>Shrvan Lal Regar</t>
  </si>
  <si>
    <t>Ratan Lal regar</t>
  </si>
  <si>
    <t>YOKWUIK</t>
  </si>
  <si>
    <t>OUTSIDE SOLANKI GATE,DEOGARH,DEOGARH,313331</t>
  </si>
  <si>
    <t>Swati Chouhan</t>
  </si>
  <si>
    <t>Ajab Singh</t>
  </si>
  <si>
    <t>Chanmpeli</t>
  </si>
  <si>
    <t>XXXX6551</t>
  </si>
  <si>
    <t>VILLAGE &amp; POST MANDAWAR,BHIM,VIA BARAR TEH BHIM,313341</t>
  </si>
  <si>
    <t>Yash Soni</t>
  </si>
  <si>
    <t>Narendra Kumar</t>
  </si>
  <si>
    <t>Seema Soni</t>
  </si>
  <si>
    <t>SADAR BAZAR ,DEOGARH,DEOGARH,313331</t>
  </si>
  <si>
    <t>YUDDHVEER SINGH</t>
  </si>
  <si>
    <t>KOYAL DEVI</t>
  </si>
  <si>
    <t>XXXX2436</t>
  </si>
  <si>
    <t>YDGYUAF</t>
  </si>
  <si>
    <t>GUDA BHOPA,M.J.,BHAGORA,306022</t>
  </si>
  <si>
    <t>MEWADA RAHUL UDAY LAL</t>
  </si>
  <si>
    <t>MEWADA UDAY LAL</t>
  </si>
  <si>
    <t>XXXX8838</t>
  </si>
  <si>
    <t>KALALO KI AANTI,DEOGARH,KALALO KI AANTI,313331</t>
  </si>
  <si>
    <t>ANIL REGAR</t>
  </si>
  <si>
    <t>LAADI REGAR</t>
  </si>
  <si>
    <t>XXXX3881</t>
  </si>
  <si>
    <t>wzbwsjv</t>
  </si>
  <si>
    <t>dev dungari kalka mata mandir ke pass ,DEOGARH,DEOGARH,313331</t>
  </si>
  <si>
    <t>Ankit Rodiwal</t>
  </si>
  <si>
    <t>Jagdish Prasad</t>
  </si>
  <si>
    <t>Bhagwani Devi</t>
  </si>
  <si>
    <t>XXXX0835</t>
  </si>
  <si>
    <t>chitava,NAGAUR,KUCHAMAN,341519</t>
  </si>
  <si>
    <t>MITHU SINGH</t>
  </si>
  <si>
    <t>XXXX0328</t>
  </si>
  <si>
    <t>VVBXZPT</t>
  </si>
  <si>
    <t>KACHHABALI PAYARI,BHIM,KACHHABALI,313341</t>
  </si>
  <si>
    <t>Arun Babel</t>
  </si>
  <si>
    <t>Ladu Lal Babel</t>
  </si>
  <si>
    <t>Bharti Devi</t>
  </si>
  <si>
    <t>XXXX7702</t>
  </si>
  <si>
    <t>MARU DARWAJA DEOGARH,DEOGARH,DEOGARH,313331</t>
  </si>
  <si>
    <t>XXXX6710</t>
  </si>
  <si>
    <t>Bharat Kumar</t>
  </si>
  <si>
    <t>XXXX4728</t>
  </si>
  <si>
    <t>BHAVESH GEHLOT</t>
  </si>
  <si>
    <t>XXXX1018</t>
  </si>
  <si>
    <t>VXNBPPJ</t>
  </si>
  <si>
    <t>NEAR SHREEJI SCHOOL, INSIDE MARUGATE,DEOGARH,DEOGARH,313331</t>
  </si>
  <si>
    <t>BHUPENDRA BHAT</t>
  </si>
  <si>
    <t>SHANKAR LAL BHAT</t>
  </si>
  <si>
    <t>XXXX1197</t>
  </si>
  <si>
    <t>VOCCSKP</t>
  </si>
  <si>
    <t>KHOKHATO KA BADIYA,DEOGARH,VIJAYPURA,313331</t>
  </si>
  <si>
    <t>Chandresh Mewara</t>
  </si>
  <si>
    <t>Navratan Mewara</t>
  </si>
  <si>
    <t>Laxmi Mewara</t>
  </si>
  <si>
    <t>GHATI POST AANJANA,DEOGARH,GHATI,313331</t>
  </si>
  <si>
    <t>DEEPAK KUMAR KHATIK</t>
  </si>
  <si>
    <t>XXXX6393</t>
  </si>
  <si>
    <t>WDFDODB</t>
  </si>
  <si>
    <t>DEVENDRA REGAR</t>
  </si>
  <si>
    <t>CHHAGAN LAL</t>
  </si>
  <si>
    <t>KHAMANI BAI</t>
  </si>
  <si>
    <t>XXXX4159</t>
  </si>
  <si>
    <t>VXZJJOH</t>
  </si>
  <si>
    <t>REGAR BASTI PITAM PURA,DEOGARH,PITAM PURA,313331</t>
  </si>
  <si>
    <t>DHARMA NATH</t>
  </si>
  <si>
    <t>SOHAN NATH</t>
  </si>
  <si>
    <t>XXXX6878</t>
  </si>
  <si>
    <t>YOCCWUC</t>
  </si>
  <si>
    <t>JOGELA,SWADARI,JOGELA,313331</t>
  </si>
  <si>
    <t>DINESH KUMAR GURJAR</t>
  </si>
  <si>
    <t>BHAIRU LAL GURJAR</t>
  </si>
  <si>
    <t>BANNI DEVI GURJAR</t>
  </si>
  <si>
    <t>XXXX2088</t>
  </si>
  <si>
    <t>vzztwcp</t>
  </si>
  <si>
    <t>V MIYAFLAS KA KHEDA PO DHUNWALA,MANDAL,TEH KAREDA,311804</t>
  </si>
  <si>
    <t>GOVIND SALVI</t>
  </si>
  <si>
    <t>ASHA RAM</t>
  </si>
  <si>
    <t>JAMNI DEVI</t>
  </si>
  <si>
    <t>XXXX0744</t>
  </si>
  <si>
    <t>DHANA CHAPLI,DEOGARH,DEOGARH ,313331</t>
  </si>
  <si>
    <t>HEM NATH</t>
  </si>
  <si>
    <t>RUPI DEVI</t>
  </si>
  <si>
    <t>XXXX6989</t>
  </si>
  <si>
    <t>JOGELA ,SWADARI,JOGELA ,313331</t>
  </si>
  <si>
    <t>GEHARI LAL</t>
  </si>
  <si>
    <t>MADHU DEVI</t>
  </si>
  <si>
    <t>XXXX4627</t>
  </si>
  <si>
    <t>WFQSMFF</t>
  </si>
  <si>
    <t>MADA KI BASSI,DEOGARH,BASSI,313331</t>
  </si>
  <si>
    <t>INDRA MAL</t>
  </si>
  <si>
    <t>XXXX1974</t>
  </si>
  <si>
    <t>ISHWAR LAL YATI</t>
  </si>
  <si>
    <t>CHANDRA PRAKASH</t>
  </si>
  <si>
    <t>XXXX2806</t>
  </si>
  <si>
    <t>XXXX4990</t>
  </si>
  <si>
    <t>VZZNPWP</t>
  </si>
  <si>
    <t>JALPA,DEOGARH,JALPA TOGI,313331</t>
  </si>
  <si>
    <t>Kamlesh Regar</t>
  </si>
  <si>
    <t>Prakash Regar</t>
  </si>
  <si>
    <t>Narbada Devi</t>
  </si>
  <si>
    <t>XXXX6560</t>
  </si>
  <si>
    <t>VBCBXKJ</t>
  </si>
  <si>
    <t>NEAR RAMDEV MANDIR, NARAYAN JI KA MOHALLA,DEOGARH,DEOGARH,313331</t>
  </si>
  <si>
    <t>KARAN SANSI</t>
  </si>
  <si>
    <t>SHIV LAL SANSI</t>
  </si>
  <si>
    <t>RAMKALI</t>
  </si>
  <si>
    <t>XXXX9507</t>
  </si>
  <si>
    <t>VVPZCNN</t>
  </si>
  <si>
    <t>KARAN SINGH RAWAT</t>
  </si>
  <si>
    <t>CHOON SINGH</t>
  </si>
  <si>
    <t>XXXX8076</t>
  </si>
  <si>
    <t>VVVTOVV</t>
  </si>
  <si>
    <t>HAREDA,BHIM,DAWER,313331</t>
  </si>
  <si>
    <t>Kavesh Joshi</t>
  </si>
  <si>
    <t>Rajesh Joshi</t>
  </si>
  <si>
    <t>Sunita Joshi</t>
  </si>
  <si>
    <t>XXXX7071</t>
  </si>
  <si>
    <t>VBJHZCX</t>
  </si>
  <si>
    <t>BHATTO KA MOHALLA,DEOGARH,DEOGARH,313331</t>
  </si>
  <si>
    <t>Khushwant Vyas</t>
  </si>
  <si>
    <t>Satya Narayan</t>
  </si>
  <si>
    <t>Girija</t>
  </si>
  <si>
    <t>XXXX8342</t>
  </si>
  <si>
    <t>VBXSBJN</t>
  </si>
  <si>
    <t>Kushal Singh Chundawat</t>
  </si>
  <si>
    <t>Shal Singh</t>
  </si>
  <si>
    <t>Kailash Kanwar</t>
  </si>
  <si>
    <t>XXXX2826</t>
  </si>
  <si>
    <t>KANVERA,DEOGARH,TEH DEOGARH,313331</t>
  </si>
  <si>
    <t>SHANKAR LAL SALVI</t>
  </si>
  <si>
    <t>DHAPU DEVI SALVI</t>
  </si>
  <si>
    <t>XXXX1012</t>
  </si>
  <si>
    <t>VBKJBXJ</t>
  </si>
  <si>
    <t>SALVIYON KA MOHALLA PITAMPURA,DEOGARH,DAULPURA,313331</t>
  </si>
  <si>
    <t>LOKENDRA SINGH</t>
  </si>
  <si>
    <t>FATEH SINGH</t>
  </si>
  <si>
    <t>XXXX6900</t>
  </si>
  <si>
    <t>VPVPOJR</t>
  </si>
  <si>
    <t>RASHMI,DEOGARH,RASHMI,313341</t>
  </si>
  <si>
    <t>LOKESH KUMAR KHOKHAWAT</t>
  </si>
  <si>
    <t>XXXX3893</t>
  </si>
  <si>
    <t>VBRNHOH</t>
  </si>
  <si>
    <t>GUJARI DARWAJA HARIJANO KA MOHALLA DEOGARH,DEOGARH,DEOGARH,313331</t>
  </si>
  <si>
    <t>PRAKASH CHANDR SALVI</t>
  </si>
  <si>
    <t>BHAVARI DEVI</t>
  </si>
  <si>
    <t>XXXX8680</t>
  </si>
  <si>
    <t>YOCGACG</t>
  </si>
  <si>
    <t>LOKESH SINGH</t>
  </si>
  <si>
    <t>NAINU DEVI</t>
  </si>
  <si>
    <t>XXXX6666</t>
  </si>
  <si>
    <t>YOCSUUB</t>
  </si>
  <si>
    <t>PAATA KI AANTI,DEOGARH,KHEDA POST MIYALA,313331</t>
  </si>
  <si>
    <t>MAHIPAL SINGH</t>
  </si>
  <si>
    <t>PARTAP SINGH</t>
  </si>
  <si>
    <t>XXXX3413</t>
  </si>
  <si>
    <t>YOCDQSO</t>
  </si>
  <si>
    <t>UPLI RASHMI,DEOGARH,,313341</t>
  </si>
  <si>
    <t>PHULLI DEVI</t>
  </si>
  <si>
    <t>XXXX5743</t>
  </si>
  <si>
    <t>PATA KI AANTI,DEOGARH,POST MIYALA,313341</t>
  </si>
  <si>
    <t>MANOJ KUMAR KHATIK</t>
  </si>
  <si>
    <t>DOLA RAM</t>
  </si>
  <si>
    <t>XXXX4563</t>
  </si>
  <si>
    <t>VOCRKVP</t>
  </si>
  <si>
    <t>GHATI,DEOGARH,LASANI,313331</t>
  </si>
  <si>
    <t>Mayank Sharma</t>
  </si>
  <si>
    <t>Sanjay Kumar Sharma</t>
  </si>
  <si>
    <t>Rekha Sharma</t>
  </si>
  <si>
    <t>XXXX5661</t>
  </si>
  <si>
    <t>VZZNOTX</t>
  </si>
  <si>
    <t>OUTSIDE GUJARI DARWAJA ,DEOGARH,DEOGARH,313331</t>
  </si>
  <si>
    <t>Mehul Anand</t>
  </si>
  <si>
    <t>Prakash Chandra</t>
  </si>
  <si>
    <t>Puran Devi</t>
  </si>
  <si>
    <t>XXXX2448</t>
  </si>
  <si>
    <t>WFEIEQG</t>
  </si>
  <si>
    <t>DOLA JI KA KHEDA,DEOGARH,DOLA JI KA KHEDA,313331</t>
  </si>
  <si>
    <t>Mohammad Arif</t>
  </si>
  <si>
    <t>Nabi Baksh</t>
  </si>
  <si>
    <t>Samim Banu</t>
  </si>
  <si>
    <t>XXXX2143</t>
  </si>
  <si>
    <t>VOJSRPR</t>
  </si>
  <si>
    <t>SORGARO KA MOHALLA,DEOGARH,DEOGARH,313331</t>
  </si>
  <si>
    <t>MOHMMAD BILAL</t>
  </si>
  <si>
    <t>PARVEJ MOHAMMAD</t>
  </si>
  <si>
    <t>JAAYDA BAANU</t>
  </si>
  <si>
    <t>XXXX3528</t>
  </si>
  <si>
    <t>VWVWCSH</t>
  </si>
  <si>
    <t>SHASTRI NAGAR WARD NO 5 DEOGARH,DEOGARH,DEOGARH,313331</t>
  </si>
  <si>
    <t>NARESH SUTHAR</t>
  </si>
  <si>
    <t>DEVILAL</t>
  </si>
  <si>
    <t>NAUSAR DEVI</t>
  </si>
  <si>
    <t>WFEEQBW</t>
  </si>
  <si>
    <t>Pradeep Kumar</t>
  </si>
  <si>
    <t>Dilip Kumar</t>
  </si>
  <si>
    <t>Nirmala Kumari</t>
  </si>
  <si>
    <t>XXXX1105</t>
  </si>
  <si>
    <t>309 VIDHYUT NIGAM KE SAMNE ,DEOGARH,DEOGARH,313331</t>
  </si>
  <si>
    <t>Kishan Lal Regar</t>
  </si>
  <si>
    <t>Sheela Devi</t>
  </si>
  <si>
    <t>XXXX7451</t>
  </si>
  <si>
    <t>VXZVPPJ</t>
  </si>
  <si>
    <t>YARLA PANTA KI AANTI,DEOGARH,PANTA KI AANTI PANCHAYAT SANGAWAS,313341</t>
  </si>
  <si>
    <t>XXXX7020</t>
  </si>
  <si>
    <t>yyiwaeo</t>
  </si>
  <si>
    <t>AADAWALA,DEOGARH,POST - BAGGAD,313331</t>
  </si>
  <si>
    <t>Prem Sahu</t>
  </si>
  <si>
    <t>Roshan Sahu</t>
  </si>
  <si>
    <t>Jashoda Sahu</t>
  </si>
  <si>
    <t>XXXX0428</t>
  </si>
  <si>
    <t>YBQIKOW</t>
  </si>
  <si>
    <t>NARAYAN JI KA MOHALLA,DEOGARJH,DEOGARH,313331</t>
  </si>
  <si>
    <t>RADHASHAYAM SALVI</t>
  </si>
  <si>
    <t>BHURA RAM</t>
  </si>
  <si>
    <t>XXXX4831</t>
  </si>
  <si>
    <t>RAKESH NATH</t>
  </si>
  <si>
    <t>BHERU NATH</t>
  </si>
  <si>
    <t>XXXX8418</t>
  </si>
  <si>
    <t>VPXHNWR</t>
  </si>
  <si>
    <t>SALIYANKHEDA,DEOGARH,ANJANA,313331</t>
  </si>
  <si>
    <t>RUDRA PRATAP SINGH</t>
  </si>
  <si>
    <t>SHIV SINGH</t>
  </si>
  <si>
    <t>XXXX9772</t>
  </si>
  <si>
    <t>Saiyyad Kasim</t>
  </si>
  <si>
    <t>Shakeel Mohammad</t>
  </si>
  <si>
    <t>Shahnaj Banu</t>
  </si>
  <si>
    <t>XXXX8083</t>
  </si>
  <si>
    <t>VVPWVSX</t>
  </si>
  <si>
    <t>SHIVRAJ SINGH CHOUHAN</t>
  </si>
  <si>
    <t>DEVENDRA SINGH CHOUHAN</t>
  </si>
  <si>
    <t>REENA KANWAR</t>
  </si>
  <si>
    <t>XXXX9339</t>
  </si>
  <si>
    <t>VDEOGGK</t>
  </si>
  <si>
    <t>SURAJ DARWAJA MALIYON KA MOHALLAVARIYO KI GHATI WARD NO. 13,DEOGARH,DEOGARH,313331</t>
  </si>
  <si>
    <t>Sudarshan Kumar Bareth</t>
  </si>
  <si>
    <t>Suresh Chandra Bareth</t>
  </si>
  <si>
    <t>Ramkanya Bareth</t>
  </si>
  <si>
    <t>XXXX3804</t>
  </si>
  <si>
    <t>YQIQGIG</t>
  </si>
  <si>
    <t>BHITA,BHILWARA,BHILWARA,311803</t>
  </si>
  <si>
    <t>SUNIL KUMAR</t>
  </si>
  <si>
    <t>NOLARAM</t>
  </si>
  <si>
    <t>GHISHI DEVI</t>
  </si>
  <si>
    <t>XXXX5496</t>
  </si>
  <si>
    <t>VOJVPPX</t>
  </si>
  <si>
    <t>HAMATO KI GAWAR,BHIM,LAKHAGUDA,313341</t>
  </si>
  <si>
    <t>JETHU SINGH</t>
  </si>
  <si>
    <t>XXXX7353</t>
  </si>
  <si>
    <t>YQDDMSO</t>
  </si>
  <si>
    <t>KHODIYA POST - GARJNARD,PALI,SOJAT,313331</t>
  </si>
  <si>
    <t>TIKAM SINGH TANK</t>
  </si>
  <si>
    <t>XXXX4200</t>
  </si>
  <si>
    <t>GUJARI DARWAJA TAJIYO KA CHOWAK DEOGARH,DEOGARH,DEOGARH,313331</t>
  </si>
  <si>
    <t>VIKAS NATH</t>
  </si>
  <si>
    <t>SUKHA NATH</t>
  </si>
  <si>
    <t>XXXX9345</t>
  </si>
  <si>
    <t>VXSBCBV</t>
  </si>
  <si>
    <t>JOGELA,DEOGARH,DEOGARH,313331</t>
  </si>
  <si>
    <t>RATAN SINGH</t>
  </si>
  <si>
    <t>XXXX0684</t>
  </si>
  <si>
    <t>YFKKGUG</t>
  </si>
  <si>
    <t>MANGAL SINGH</t>
  </si>
  <si>
    <t>XXXX7835</t>
  </si>
  <si>
    <t>BHATTO KA MOHALLA ,DEOGARH,DEOGARH,313331</t>
  </si>
  <si>
    <t>Vinod Nath</t>
  </si>
  <si>
    <t>Mohan Nath</t>
  </si>
  <si>
    <t>XXXX4400</t>
  </si>
  <si>
    <t>YBCQUBB</t>
  </si>
  <si>
    <t>WARD NO 4,DEOGARH,GOSWAMI MAOHALLA DEOGARH,313331</t>
  </si>
  <si>
    <t>Vishal Joshi</t>
  </si>
  <si>
    <t>Ram Chandra Joshi</t>
  </si>
  <si>
    <t>XXXX7500</t>
  </si>
  <si>
    <t>VISHAN REGAR</t>
  </si>
  <si>
    <t>PEMA RAM REGAR</t>
  </si>
  <si>
    <t>XXXX9145</t>
  </si>
  <si>
    <t>WZWXJPH</t>
  </si>
  <si>
    <t>RATADIYA KA CHODA DEOGARH,DEOGARH,DEOGARH,313331</t>
  </si>
  <si>
    <t>Vishanu Regar</t>
  </si>
  <si>
    <t>XXXX9095</t>
  </si>
  <si>
    <t>NEAR RAMDEV MANDIR , NARAYAN JI KA MOHALLA,DEOGARH,DEOGARH,313331</t>
  </si>
  <si>
    <t>BHERU LAL REGAR</t>
  </si>
  <si>
    <t>VOVZPZP</t>
  </si>
  <si>
    <t>anop pura,deogarh ,anop pura,313331</t>
  </si>
  <si>
    <t>Vishwajeet Singh Panwar</t>
  </si>
  <si>
    <t>Dharam Singh Panwar</t>
  </si>
  <si>
    <t>Premlata Panwar</t>
  </si>
  <si>
    <t>XXXX4850</t>
  </si>
  <si>
    <t>WTBQBBW</t>
  </si>
  <si>
    <t>TAJIYO KA CHOWK LUHARO KI GALI,DEOGARH,DEOGARH,313331</t>
  </si>
  <si>
    <t>Vivek Ved</t>
  </si>
  <si>
    <t>XXXX6582</t>
  </si>
  <si>
    <t>YYQQDYK</t>
  </si>
  <si>
    <t>VEDO KA MOHALLA WARD NO 16,DEOGARH,DEOGARH,313331</t>
  </si>
  <si>
    <t>YASH DILIP KUMAR SEN</t>
  </si>
  <si>
    <t>DILIP KUMAR</t>
  </si>
  <si>
    <t>SUMAN SEN</t>
  </si>
  <si>
    <t>XXXX0517</t>
  </si>
  <si>
    <t>GANESH GHATI NAIYO KI GALI SADAR BAZAR DEOGARH,DEOGARH,DEOGARH,313331</t>
  </si>
  <si>
    <t>Yasin Mohmmad</t>
  </si>
  <si>
    <t>Salim Mohmmad</t>
  </si>
  <si>
    <t>Farzana Banu</t>
  </si>
  <si>
    <t>XXXX9418</t>
  </si>
  <si>
    <t>Aakash Gayari</t>
  </si>
  <si>
    <t>Mangi Lal Gayari</t>
  </si>
  <si>
    <t>Bheri Devi</t>
  </si>
  <si>
    <t>XXXX3028</t>
  </si>
  <si>
    <t>AJAY SEN</t>
  </si>
  <si>
    <t>SURESH SEN</t>
  </si>
  <si>
    <t>BASANTA DEVI</t>
  </si>
  <si>
    <t>XXXX7042</t>
  </si>
  <si>
    <t>YBFSUEF</t>
  </si>
  <si>
    <t>ARBAZ KHAN</t>
  </si>
  <si>
    <t>ASLAM MOHAMMAD</t>
  </si>
  <si>
    <t>SANNU MEER</t>
  </si>
  <si>
    <t>XXXX4574</t>
  </si>
  <si>
    <t>NEW AABADI BIGOD,BHILWARA,,313331</t>
  </si>
  <si>
    <t>Devendra Singh</t>
  </si>
  <si>
    <t>Nahar Singh Rathore</t>
  </si>
  <si>
    <t>Durga Kanwar</t>
  </si>
  <si>
    <t>XXXX0750</t>
  </si>
  <si>
    <t>MADA KI BASSI,DEOGARH,MADA KI BASSI,313331</t>
  </si>
  <si>
    <t>GAHARI LAL GURJAR</t>
  </si>
  <si>
    <t>KALU JI GURJAR</t>
  </si>
  <si>
    <t>NATHI DEVI</t>
  </si>
  <si>
    <t>XXXX5635</t>
  </si>
  <si>
    <t>vojpvtp</t>
  </si>
  <si>
    <t>Harshvardhan Panwar</t>
  </si>
  <si>
    <t>Rajendra Singh Panwar</t>
  </si>
  <si>
    <t>Navratan Devi</t>
  </si>
  <si>
    <t>XXXX7133</t>
  </si>
  <si>
    <t>CHOPDARO KA CHOWK,DEOGARH,DEOGARH,313331</t>
  </si>
  <si>
    <t>Himanshu Vaishnav</t>
  </si>
  <si>
    <t>XXXX7537</t>
  </si>
  <si>
    <t>YKAMGMF</t>
  </si>
  <si>
    <t>WARD NO 15,DEOGARH,DEOGARH,313331</t>
  </si>
  <si>
    <t>ISHANT PURI</t>
  </si>
  <si>
    <t>SURESH PURI</t>
  </si>
  <si>
    <t>XXXX8078</t>
  </si>
  <si>
    <t>YBSKBOS</t>
  </si>
  <si>
    <t>MALIYO KA MOHALLA SURAJ DARWAJA DEOGARH,DEOGARH,DEOGARH,313331</t>
  </si>
  <si>
    <t>JEEVRAJ GURJAR</t>
  </si>
  <si>
    <t>UDAI LAL GURJAR</t>
  </si>
  <si>
    <t>GHISI DEVI</t>
  </si>
  <si>
    <t>XXXX5508</t>
  </si>
  <si>
    <t>YSYWIEG</t>
  </si>
  <si>
    <t>GURJARI DARWAJA ANDAR BHUNA JI HATHAI,DEOGARH,DEOGARH,313331</t>
  </si>
  <si>
    <t>KHUSHAL CHANDEL</t>
  </si>
  <si>
    <t>TULSI RAM KHATIK</t>
  </si>
  <si>
    <t>XXXX9473</t>
  </si>
  <si>
    <t>YDUWQKW</t>
  </si>
  <si>
    <t>KHATIKO KA MOHALLA ,DEOGARH,SURAJ DARWAJA DEOGARH,313331</t>
  </si>
  <si>
    <t>LALIT DIDWANIYA</t>
  </si>
  <si>
    <t>SHANKAR LAL DIDWANIYA</t>
  </si>
  <si>
    <t>XXXX1391</t>
  </si>
  <si>
    <t>YOCCOAS</t>
  </si>
  <si>
    <t>MOHAMMAD JUNAID</t>
  </si>
  <si>
    <t>NASIB ALI HASAMI</t>
  </si>
  <si>
    <t>XXXX0944</t>
  </si>
  <si>
    <t>NEW DARWAJA,DEOGARH,DEOGARH,313331</t>
  </si>
  <si>
    <t>Monu Joshi</t>
  </si>
  <si>
    <t>Rajesh Kumar</t>
  </si>
  <si>
    <t>Jasoda Devi</t>
  </si>
  <si>
    <t>XXXX9955</t>
  </si>
  <si>
    <t>VVRJTRN</t>
  </si>
  <si>
    <t>WARD NO 16,DEOGARH,DEOGARH,313331</t>
  </si>
  <si>
    <t>SUKHDEV GURJAR</t>
  </si>
  <si>
    <t>XXXX7167</t>
  </si>
  <si>
    <t>Leela Mali</t>
  </si>
  <si>
    <t>XXXX9046</t>
  </si>
  <si>
    <t>MALIYON KA MOHALLA SURAJ DARWAJA,DEOGARH,DEOGARH,313331</t>
  </si>
  <si>
    <t>SANWARIYA LOHAR</t>
  </si>
  <si>
    <t>SOHAN LAL LOHAR</t>
  </si>
  <si>
    <t>XXXX9519</t>
  </si>
  <si>
    <t>NAYA DARWAJA BHILWARA ROAD,DEOGARH,DEOGARH,313331</t>
  </si>
  <si>
    <t>Shelendra Singh</t>
  </si>
  <si>
    <t>XXXX2822</t>
  </si>
  <si>
    <t>RAJPUT MOHALLA RAJMAHAL KE PASS WARD NO 9,DEOGARH,DEOGARH,313331</t>
  </si>
  <si>
    <t>SIDHARTH JOSHI</t>
  </si>
  <si>
    <t>RANJEET JOSHI</t>
  </si>
  <si>
    <t>MONIKA JOSHI</t>
  </si>
  <si>
    <t>XXXX4451</t>
  </si>
  <si>
    <t>VXGSCNN</t>
  </si>
  <si>
    <t>SURAJ DARWAJA KUMHARO KA MOHALLA DEOGARH,DEOGARH,DEOGARH,313331</t>
  </si>
  <si>
    <t>TARUN KUMAR JEENGAR</t>
  </si>
  <si>
    <t>SHOBHA LAL JEENGAR</t>
  </si>
  <si>
    <t>XXXX2501</t>
  </si>
  <si>
    <t>VVXZHHX</t>
  </si>
  <si>
    <t>SUBHAS NAGAR ,DEOGARH,DEOGARH,313331</t>
  </si>
  <si>
    <t>XXXX7639</t>
  </si>
  <si>
    <t>VBRHHWV</t>
  </si>
  <si>
    <t>AADAWALA,DEOGARH,BAGGAD,313331</t>
  </si>
  <si>
    <t>VISHAL PANWAR</t>
  </si>
  <si>
    <t>AJAY SINGH</t>
  </si>
  <si>
    <t>XXXX8210</t>
  </si>
  <si>
    <t>VGTRCBR</t>
  </si>
  <si>
    <t>KUNJ BIHARI CHOWK BOHARO KI GHATI,DEOGARH,DEOGARH,313331</t>
  </si>
  <si>
    <t>Sr.No.</t>
  </si>
  <si>
    <t>Father's Name</t>
  </si>
  <si>
    <t>Mother's Name</t>
  </si>
  <si>
    <t>Name of Student</t>
  </si>
  <si>
    <t>Exam Roll Number</t>
  </si>
  <si>
    <t>BOY</t>
  </si>
  <si>
    <t>Private Schools fill this data manually, Government Schools click on refresh button to get data</t>
  </si>
  <si>
    <t>Exam Roll No.</t>
  </si>
  <si>
    <t>Half Yearly</t>
  </si>
  <si>
    <t>Written</t>
  </si>
  <si>
    <t>Internal Evaluation</t>
  </si>
  <si>
    <t>Yearly Exam</t>
  </si>
  <si>
    <t>1st Assessment</t>
  </si>
  <si>
    <t>2nd Assessment</t>
  </si>
  <si>
    <t>Max Marks ::</t>
  </si>
  <si>
    <t>Mr. AK 123</t>
  </si>
  <si>
    <t>Mr. AK 124</t>
  </si>
  <si>
    <t>Mr. AK 125</t>
  </si>
  <si>
    <t>Mr. AK 127</t>
  </si>
  <si>
    <t>Mr. AK 129</t>
  </si>
  <si>
    <t>Mr. AK 130</t>
  </si>
  <si>
    <t>Total Attendance</t>
  </si>
  <si>
    <t>Student's Attendance</t>
  </si>
  <si>
    <t>Attendance</t>
  </si>
  <si>
    <t>Result</t>
  </si>
  <si>
    <t>Grand Total</t>
  </si>
  <si>
    <t>Percentage</t>
  </si>
  <si>
    <t>Division</t>
  </si>
  <si>
    <t>Rank in Class</t>
  </si>
  <si>
    <t>Science</t>
  </si>
  <si>
    <t>Result Count</t>
  </si>
  <si>
    <t>SubjeBA-Wise Result</t>
  </si>
  <si>
    <t>Fail SubjeBA</t>
  </si>
  <si>
    <t>Supp SubjeBA</t>
  </si>
  <si>
    <t>1 Grace SubjeBA</t>
  </si>
  <si>
    <t>2 Grace SubjeBA</t>
  </si>
  <si>
    <t>Appeared</t>
  </si>
  <si>
    <t>Passed</t>
  </si>
  <si>
    <t>Supp.</t>
  </si>
  <si>
    <t>Fail</t>
  </si>
  <si>
    <t>Total</t>
  </si>
  <si>
    <t>DIV</t>
  </si>
  <si>
    <t>Grase</t>
  </si>
  <si>
    <t>Mathematics</t>
  </si>
  <si>
    <t>NSO</t>
  </si>
  <si>
    <t>I</t>
  </si>
  <si>
    <t>II</t>
  </si>
  <si>
    <t>III</t>
  </si>
  <si>
    <t>Passed By Grace</t>
  </si>
  <si>
    <t>Total Appeared</t>
  </si>
  <si>
    <t>First Division</t>
  </si>
  <si>
    <t>Second Division</t>
  </si>
  <si>
    <t>Third Division</t>
  </si>
  <si>
    <t>Total Passed</t>
  </si>
  <si>
    <t>Supplementory</t>
  </si>
  <si>
    <t>Failed</t>
  </si>
  <si>
    <t>Passed Percentage</t>
  </si>
  <si>
    <t>Subject-Wise Result</t>
  </si>
  <si>
    <t>Subject-Wise Division</t>
  </si>
  <si>
    <t>Failed Subjects</t>
  </si>
  <si>
    <t>Supplementory Subjects</t>
  </si>
  <si>
    <t>Dictation Subjects</t>
  </si>
  <si>
    <t>Grace Marks Subjects</t>
  </si>
  <si>
    <t>Dictation</t>
  </si>
  <si>
    <t>Total Failed</t>
  </si>
  <si>
    <t>RE-Exam</t>
  </si>
  <si>
    <t>Absent</t>
  </si>
  <si>
    <t>Subject Total</t>
  </si>
  <si>
    <t>Subject Result</t>
  </si>
  <si>
    <t>Subject Division</t>
  </si>
  <si>
    <t>Subject Grade</t>
  </si>
  <si>
    <t>Grade</t>
  </si>
  <si>
    <t>Subjects for Supplementary &amp; Re-Exam</t>
  </si>
  <si>
    <t>Marks Entry for Supplementary &amp; Re-Exam</t>
  </si>
  <si>
    <t>Result Supplementary &amp; Re-Exam</t>
  </si>
  <si>
    <t>Supplementary/Re-Exam Number of Subjects Marks Entered</t>
  </si>
  <si>
    <t>Supplementary/Re-Exam Number of Subjects Passed</t>
  </si>
  <si>
    <t>Re-Exam Subjects</t>
  </si>
  <si>
    <t>MAX Marks ::</t>
  </si>
  <si>
    <t>Number of Subjects forSupplementary &amp; Re-Exam</t>
  </si>
  <si>
    <t>Supplementary Exam Result</t>
  </si>
  <si>
    <t>Last Result</t>
  </si>
  <si>
    <t>Total Students</t>
  </si>
  <si>
    <t>Main Exam</t>
  </si>
  <si>
    <t>Supplementary Exam</t>
  </si>
  <si>
    <t>Appeared in Exam</t>
  </si>
  <si>
    <t>Not Appeared in Exam</t>
  </si>
  <si>
    <t>TOTAL</t>
  </si>
  <si>
    <t>First Div.</t>
  </si>
  <si>
    <t>Second Div.</t>
  </si>
  <si>
    <t>Third Div.</t>
  </si>
  <si>
    <t>Supplementary</t>
  </si>
  <si>
    <t>Re-Exam</t>
  </si>
  <si>
    <t>SC
BOYS</t>
  </si>
  <si>
    <t>SC
GIRLS</t>
  </si>
  <si>
    <t>ST
BOYS</t>
  </si>
  <si>
    <t>ST
GIRLS</t>
  </si>
  <si>
    <t>OBC
BOYS</t>
  </si>
  <si>
    <t>OBC
GIRLS</t>
  </si>
  <si>
    <t>GEN
BOYS</t>
  </si>
  <si>
    <t>GEN
GIRLS</t>
  </si>
  <si>
    <t>MIN
BOYS</t>
  </si>
  <si>
    <t>MIN
GIRLS</t>
  </si>
  <si>
    <t>SBC
BOYS</t>
  </si>
  <si>
    <t>SBC
GIRLS</t>
  </si>
  <si>
    <t>Education Department Rajasthan</t>
  </si>
  <si>
    <t>Progress Report</t>
  </si>
  <si>
    <t>Roll No.</t>
  </si>
  <si>
    <t>Student's Name</t>
  </si>
  <si>
    <t>SR.No.</t>
  </si>
  <si>
    <t>Subject</t>
  </si>
  <si>
    <t>Exam Type</t>
  </si>
  <si>
    <t>Scholar No.</t>
  </si>
  <si>
    <t>Max Marks</t>
  </si>
  <si>
    <t>Supp. Exam Marks</t>
  </si>
  <si>
    <t>Supp. Exam Result</t>
  </si>
  <si>
    <t>Total Marks</t>
  </si>
  <si>
    <t>Total Obtain Marks</t>
  </si>
  <si>
    <t>Total Max Marks</t>
  </si>
  <si>
    <t>Obtain Marks</t>
  </si>
  <si>
    <t>Total Meeting</t>
  </si>
  <si>
    <t>Total Attend.</t>
  </si>
  <si>
    <t>Signature Of Exam Incharge</t>
  </si>
  <si>
    <t>Signature Of Class Teacher</t>
  </si>
  <si>
    <t>Signature Of Head of School</t>
  </si>
  <si>
    <t>Signature Of Guardian</t>
  </si>
  <si>
    <t>Seal Of Institute</t>
  </si>
  <si>
    <t>Other Subjects</t>
  </si>
  <si>
    <t>Grade / Other Remark</t>
  </si>
  <si>
    <t>Date of Birth</t>
  </si>
  <si>
    <t>Result Program For Class 11th</t>
  </si>
  <si>
    <t>11 'A'</t>
  </si>
  <si>
    <t>HINDI Comp.</t>
  </si>
  <si>
    <t>ENGLISH Comp.</t>
  </si>
  <si>
    <t>Choose Your Subjects if less then add in list</t>
  </si>
  <si>
    <t>Arts</t>
  </si>
  <si>
    <t>Agriculture</t>
  </si>
  <si>
    <t>Commerce</t>
  </si>
  <si>
    <t>History</t>
  </si>
  <si>
    <t>Biology</t>
  </si>
  <si>
    <t>Business Studies</t>
  </si>
  <si>
    <t>Political Science</t>
  </si>
  <si>
    <t>Physics</t>
  </si>
  <si>
    <t>Computer Science</t>
  </si>
  <si>
    <t>Economics</t>
  </si>
  <si>
    <t>Geography</t>
  </si>
  <si>
    <t>Informatics Practice</t>
  </si>
  <si>
    <t>Accountancy</t>
  </si>
  <si>
    <t>Home Science</t>
  </si>
  <si>
    <t>Chemistry</t>
  </si>
  <si>
    <t>Hindi Literature</t>
  </si>
  <si>
    <t>Hindi Shorthand And Hindi Typing</t>
  </si>
  <si>
    <t>English Literature</t>
  </si>
  <si>
    <t>Multimedia And Web Technology</t>
  </si>
  <si>
    <t>Sanskrit Literature</t>
  </si>
  <si>
    <t>Urdu Literature</t>
  </si>
  <si>
    <t>English Shorthand And English Typing</t>
  </si>
  <si>
    <t>Panjabi Literature</t>
  </si>
  <si>
    <t>Typing (Hindi And English)</t>
  </si>
  <si>
    <t>Sindhi Literature</t>
  </si>
  <si>
    <t>Gujarati Literature</t>
  </si>
  <si>
    <t>Rajasthani Literature</t>
  </si>
  <si>
    <t>Philosophy</t>
  </si>
  <si>
    <t>Drawing</t>
  </si>
  <si>
    <t>Music</t>
  </si>
  <si>
    <t>Psychology</t>
  </si>
  <si>
    <t>Sociology</t>
  </si>
  <si>
    <t>Public Administration</t>
  </si>
  <si>
    <t>Stream</t>
  </si>
  <si>
    <t>Compulsory Subjects</t>
  </si>
  <si>
    <t>Optional Subjects</t>
  </si>
  <si>
    <t>other2</t>
  </si>
  <si>
    <t>अर्धवार्षिक परीक्षा</t>
  </si>
  <si>
    <t>वार्षिक परीक्षा</t>
  </si>
  <si>
    <t>लिखित परीक्षा</t>
  </si>
  <si>
    <t>आंतरिक मूल्यांकन</t>
  </si>
  <si>
    <t>मौखिक / प्रायोगिक</t>
  </si>
  <si>
    <t>विषय का नाम</t>
  </si>
  <si>
    <t>Agriculture Biology</t>
  </si>
  <si>
    <t>Agriculture Chemistry</t>
  </si>
  <si>
    <t>Practical</t>
  </si>
  <si>
    <t>Jeewan Kaushal</t>
  </si>
  <si>
    <t>Other Subkect than above</t>
  </si>
  <si>
    <t xml:space="preserve">Other Subkect than above </t>
  </si>
  <si>
    <t>Half Yearly (Written+Internal)</t>
  </si>
  <si>
    <t>Half Yearly (Practical)</t>
  </si>
  <si>
    <t>60/46/26</t>
  </si>
  <si>
    <t>14/34</t>
  </si>
  <si>
    <t>Yearly (Written+Internal)</t>
  </si>
  <si>
    <t>Total Half Yearly Exam</t>
  </si>
  <si>
    <t>Yearly (Practical)</t>
  </si>
  <si>
    <t>Total Yearly Exam</t>
  </si>
  <si>
    <t>Total Upto Half Yearly</t>
  </si>
  <si>
    <t>Half Yearly (W+I)</t>
  </si>
  <si>
    <t>HY Practical</t>
  </si>
  <si>
    <t>Yearly Practical</t>
  </si>
  <si>
    <t>Yearly Exam (W+I)</t>
  </si>
  <si>
    <t>Haly Yearly Total</t>
  </si>
  <si>
    <t>Yearly Total</t>
  </si>
  <si>
    <t>100/70/30</t>
  </si>
  <si>
    <t>30/70</t>
  </si>
  <si>
    <t>Swarnim Bharat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</si>
</sst>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\ mmmm\ yyyy;@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8"/>
      <color rgb="FFC00000"/>
      <name val="Baskerville Old Face"/>
      <family val="1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DevLys 010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6"/>
      <color rgb="FFC00000"/>
      <name val="Cambria"/>
      <family val="1"/>
      <scheme val="major"/>
    </font>
    <font>
      <b/>
      <sz val="16"/>
      <color theme="9" tint="-0.499984740745262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i/>
      <sz val="12"/>
      <color theme="5" tint="-0.499984740745262"/>
      <name val="Cambria"/>
      <family val="1"/>
      <scheme val="major"/>
    </font>
    <font>
      <b/>
      <sz val="12"/>
      <color theme="5" tint="-0.49998474074526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sz val="14"/>
      <color theme="5" tint="-0.499984740745262"/>
      <name val="Cambria"/>
      <family val="1"/>
      <scheme val="major"/>
    </font>
    <font>
      <b/>
      <sz val="11"/>
      <color theme="5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6"/>
      <color theme="5" tint="-0.499984740745262"/>
      <name val="Cambria"/>
      <family val="1"/>
      <scheme val="major"/>
    </font>
    <font>
      <b/>
      <sz val="22"/>
      <color theme="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1"/>
      <color theme="0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8"/>
      <color theme="9" tint="-0.499984740745262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9"/>
      <color rgb="FFC00000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1"/>
      <color theme="5" tint="-0.499984740745262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14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14" fontId="6" fillId="0" borderId="1" xfId="0" applyNumberFormat="1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0" fillId="10" borderId="1" xfId="0" applyFill="1" applyBorder="1" applyAlignment="1" applyProtection="1">
      <alignment horizontal="center" vertical="center" wrapText="1"/>
      <protection hidden="1"/>
    </xf>
    <xf numFmtId="0" fontId="35" fillId="11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0" fontId="6" fillId="0" borderId="1" xfId="0" applyNumberFormat="1" applyFont="1" applyBorder="1" applyAlignment="1" applyProtection="1">
      <alignment horizontal="center" vertical="center" textRotation="90"/>
      <protection hidden="1"/>
    </xf>
    <xf numFmtId="0" fontId="6" fillId="10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 textRotation="90" wrapText="1"/>
      <protection hidden="1"/>
    </xf>
    <xf numFmtId="0" fontId="0" fillId="3" borderId="10" xfId="0" applyFont="1" applyFill="1" applyBorder="1" applyAlignment="1" applyProtection="1">
      <alignment horizontal="right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0" fontId="13" fillId="0" borderId="1" xfId="0" applyNumberFormat="1" applyFont="1" applyBorder="1" applyAlignment="1" applyProtection="1">
      <alignment horizontal="center" vertical="center"/>
      <protection hidden="1"/>
    </xf>
    <xf numFmtId="0" fontId="13" fillId="1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left" vertical="center" textRotation="90" wrapText="1"/>
      <protection hidden="1"/>
    </xf>
    <xf numFmtId="0" fontId="6" fillId="0" borderId="0" xfId="0" applyFont="1" applyAlignment="1" applyProtection="1">
      <alignment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hidden="1"/>
    </xf>
    <xf numFmtId="2" fontId="26" fillId="0" borderId="1" xfId="0" applyNumberFormat="1" applyFont="1" applyBorder="1" applyAlignment="1" applyProtection="1">
      <alignment horizontal="center" vertical="center"/>
      <protection hidden="1"/>
    </xf>
    <xf numFmtId="2" fontId="30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26" fillId="0" borderId="1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14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 textRotation="90" wrapText="1"/>
      <protection hidden="1"/>
    </xf>
    <xf numFmtId="0" fontId="6" fillId="10" borderId="1" xfId="0" applyFont="1" applyFill="1" applyBorder="1" applyAlignment="1" applyProtection="1">
      <alignment horizontal="center" vertical="center" textRotation="90" wrapText="1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10" fontId="30" fillId="0" borderId="1" xfId="0" applyNumberFormat="1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13" borderId="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39" fillId="8" borderId="1" xfId="0" applyFont="1" applyFill="1" applyBorder="1" applyAlignment="1" applyProtection="1">
      <alignment horizontal="center" vertical="center"/>
      <protection locked="0"/>
    </xf>
    <xf numFmtId="0" fontId="39" fillId="8" borderId="8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9" fillId="8" borderId="1" xfId="0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33" fillId="9" borderId="0" xfId="0" applyFont="1" applyFill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14" fontId="6" fillId="0" borderId="0" xfId="0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6" fillId="1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8" fillId="5" borderId="8" xfId="0" applyFont="1" applyFill="1" applyBorder="1" applyAlignment="1" applyProtection="1">
      <alignment horizontal="right" vertical="center"/>
      <protection hidden="1"/>
    </xf>
    <xf numFmtId="0" fontId="8" fillId="5" borderId="9" xfId="0" applyFont="1" applyFill="1" applyBorder="1" applyAlignment="1" applyProtection="1">
      <alignment horizontal="right" vertical="center"/>
      <protection hidden="1"/>
    </xf>
    <xf numFmtId="0" fontId="8" fillId="5" borderId="10" xfId="0" applyFont="1" applyFill="1" applyBorder="1" applyAlignment="1" applyProtection="1">
      <alignment horizontal="right" vertical="center"/>
      <protection hidden="1"/>
    </xf>
    <xf numFmtId="0" fontId="0" fillId="3" borderId="4" xfId="0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 textRotation="90" wrapText="1"/>
      <protection hidden="1"/>
    </xf>
    <xf numFmtId="0" fontId="0" fillId="3" borderId="5" xfId="0" applyFill="1" applyBorder="1" applyAlignment="1" applyProtection="1">
      <alignment horizontal="center" vertical="center" textRotation="90" wrapText="1"/>
      <protection hidden="1"/>
    </xf>
    <xf numFmtId="0" fontId="0" fillId="3" borderId="6" xfId="0" applyFill="1" applyBorder="1" applyAlignment="1" applyProtection="1">
      <alignment horizontal="center" vertical="center" textRotation="90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33" fillId="9" borderId="0" xfId="0" applyFont="1" applyFill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textRotation="90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 wrapText="1"/>
      <protection hidden="1"/>
    </xf>
    <xf numFmtId="0" fontId="36" fillId="2" borderId="0" xfId="0" applyFont="1" applyFill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 wrapText="1"/>
      <protection hidden="1"/>
    </xf>
    <xf numFmtId="0" fontId="6" fillId="10" borderId="1" xfId="0" applyFont="1" applyFill="1" applyBorder="1" applyAlignment="1" applyProtection="1">
      <alignment horizontal="center" vertical="center" textRotation="90" wrapText="1"/>
      <protection locked="0"/>
    </xf>
    <xf numFmtId="0" fontId="6" fillId="10" borderId="4" xfId="0" applyFont="1" applyFill="1" applyBorder="1" applyAlignment="1" applyProtection="1">
      <alignment horizontal="center" vertical="center" textRotation="90" wrapText="1"/>
      <protection locked="0"/>
    </xf>
    <xf numFmtId="0" fontId="6" fillId="10" borderId="6" xfId="0" applyFont="1" applyFill="1" applyBorder="1" applyAlignment="1" applyProtection="1">
      <alignment horizontal="center" vertical="center" textRotation="90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 applyProtection="1">
      <alignment horizontal="center" vertical="center" wrapText="1"/>
      <protection locked="0"/>
    </xf>
    <xf numFmtId="0" fontId="6" fillId="10" borderId="6" xfId="0" applyFont="1" applyFill="1" applyBorder="1" applyAlignment="1" applyProtection="1">
      <alignment horizontal="center" vertical="center" wrapText="1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26" fillId="1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right" vertical="center"/>
      <protection locked="0"/>
    </xf>
    <xf numFmtId="10" fontId="16" fillId="0" borderId="8" xfId="0" applyNumberFormat="1" applyFont="1" applyBorder="1" applyAlignment="1" applyProtection="1">
      <alignment horizontal="center" vertical="center"/>
      <protection hidden="1"/>
    </xf>
    <xf numFmtId="10" fontId="16" fillId="0" borderId="9" xfId="0" applyNumberFormat="1" applyFont="1" applyBorder="1" applyAlignment="1" applyProtection="1">
      <alignment horizontal="center" vertical="center"/>
      <protection hidden="1"/>
    </xf>
    <xf numFmtId="10" fontId="16" fillId="0" borderId="10" xfId="0" applyNumberFormat="1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26" fillId="12" borderId="1" xfId="0" applyFont="1" applyFill="1" applyBorder="1" applyAlignment="1" applyProtection="1">
      <alignment horizontal="right" vertical="center" wrapText="1"/>
      <protection locked="0"/>
    </xf>
    <xf numFmtId="10" fontId="6" fillId="0" borderId="8" xfId="0" applyNumberFormat="1" applyFont="1" applyBorder="1" applyAlignment="1" applyProtection="1">
      <alignment horizontal="center" vertical="center"/>
      <protection hidden="1"/>
    </xf>
    <xf numFmtId="10" fontId="6" fillId="0" borderId="9" xfId="0" applyNumberFormat="1" applyFont="1" applyBorder="1" applyAlignment="1" applyProtection="1">
      <alignment horizontal="center" vertical="center"/>
      <protection hidden="1"/>
    </xf>
    <xf numFmtId="10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6" fillId="12" borderId="8" xfId="0" applyFont="1" applyFill="1" applyBorder="1" applyAlignment="1" applyProtection="1">
      <alignment horizontal="right" vertical="center" wrapText="1"/>
      <protection locked="0"/>
    </xf>
    <xf numFmtId="0" fontId="26" fillId="12" borderId="10" xfId="0" applyFont="1" applyFill="1" applyBorder="1" applyAlignment="1" applyProtection="1">
      <alignment horizontal="right" vertical="center" wrapText="1"/>
      <protection locked="0"/>
    </xf>
    <xf numFmtId="0" fontId="26" fillId="12" borderId="1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10" borderId="8" xfId="0" applyFont="1" applyFill="1" applyBorder="1" applyAlignment="1" applyProtection="1">
      <alignment horizontal="center" vertical="center" wrapText="1"/>
      <protection hidden="1"/>
    </xf>
    <xf numFmtId="0" fontId="6" fillId="10" borderId="9" xfId="0" applyFont="1" applyFill="1" applyBorder="1" applyAlignment="1" applyProtection="1">
      <alignment horizontal="center" vertical="center" wrapText="1"/>
      <protection hidden="1"/>
    </xf>
    <xf numFmtId="0" fontId="6" fillId="10" borderId="10" xfId="0" applyFont="1" applyFill="1" applyBorder="1" applyAlignment="1" applyProtection="1">
      <alignment horizontal="center" vertical="center" wrapText="1"/>
      <protection hidden="1"/>
    </xf>
    <xf numFmtId="0" fontId="6" fillId="10" borderId="1" xfId="0" applyFont="1" applyFill="1" applyBorder="1" applyAlignment="1" applyProtection="1">
      <alignment horizontal="center" vertical="center" textRotation="90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 wrapText="1"/>
      <protection hidden="1"/>
    </xf>
    <xf numFmtId="0" fontId="26" fillId="10" borderId="1" xfId="0" applyFont="1" applyFill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6" fillId="10" borderId="1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right" vertical="center" wrapText="1"/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right" vertical="center" wrapText="1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7" fillId="10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38" fillId="2" borderId="0" xfId="0" applyFont="1" applyFill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0" fillId="3" borderId="8" xfId="0" applyFont="1" applyFill="1" applyBorder="1" applyAlignment="1" applyProtection="1">
      <alignment horizontal="center" vertical="center"/>
      <protection hidden="1"/>
    </xf>
    <xf numFmtId="0" fontId="0" fillId="3" borderId="9" xfId="0" applyFont="1" applyFill="1" applyBorder="1" applyAlignment="1" applyProtection="1">
      <alignment horizontal="center" vertical="center"/>
      <protection hidden="1"/>
    </xf>
    <xf numFmtId="0" fontId="17" fillId="10" borderId="4" xfId="0" applyFont="1" applyFill="1" applyBorder="1" applyAlignment="1" applyProtection="1">
      <alignment horizontal="center" vertical="center" textRotation="90" wrapText="1"/>
      <protection hidden="1"/>
    </xf>
    <xf numFmtId="0" fontId="17" fillId="10" borderId="6" xfId="0" applyFont="1" applyFill="1" applyBorder="1" applyAlignment="1" applyProtection="1">
      <alignment horizontal="center" vertical="center" textRotation="90" wrapText="1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 wrapText="1"/>
      <protection hidden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164" fontId="25" fillId="0" borderId="0" xfId="0" applyNumberFormat="1" applyFont="1" applyAlignment="1" applyProtection="1">
      <alignment horizontal="center" vertical="center"/>
      <protection hidden="1"/>
    </xf>
    <xf numFmtId="0" fontId="28" fillId="0" borderId="8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Protection="1">
      <protection locked="0"/>
    </xf>
    <xf numFmtId="14" fontId="32" fillId="0" borderId="1" xfId="0" applyNumberFormat="1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hidden="1"/>
    </xf>
    <xf numFmtId="0" fontId="27" fillId="8" borderId="8" xfId="0" applyFont="1" applyFill="1" applyBorder="1" applyAlignment="1" applyProtection="1">
      <alignment vertical="center"/>
      <protection locked="0"/>
    </xf>
    <xf numFmtId="0" fontId="27" fillId="8" borderId="10" xfId="0" applyFont="1" applyFill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b/>
        <i val="0"/>
        <color rgb="FFC00000"/>
      </font>
      <fill>
        <patternFill>
          <fgColor theme="8" tint="0.59996337778862885"/>
        </patternFill>
      </fill>
    </dxf>
    <dxf>
      <font>
        <b/>
        <i val="0"/>
        <color rgb="FF009242"/>
      </font>
      <fill>
        <patternFill>
          <fgColor auto="1"/>
          <bgColor theme="9" tint="0.79995117038483843"/>
        </patternFill>
      </fill>
    </dxf>
    <dxf>
      <font>
        <b/>
        <i val="0"/>
        <color rgb="FF002060"/>
      </font>
    </dxf>
    <dxf>
      <font>
        <color theme="0"/>
      </font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9" formatCode="dd/mm/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1"/>
    </dxf>
  </dxfs>
  <tableStyles count="0" defaultTableStyle="TableStyleMedium2" defaultPivotStyle="PivotStyleLight16"/>
  <colors>
    <mruColors>
      <color rgb="FF99FF99"/>
      <color rgb="FFFFFF99"/>
      <color rgb="FF009242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19050</xdr:rowOff>
    </xdr:from>
    <xdr:to>
      <xdr:col>14</xdr:col>
      <xdr:colOff>9525</xdr:colOff>
      <xdr:row>3</xdr:row>
      <xdr:rowOff>381000</xdr:rowOff>
    </xdr:to>
    <xdr:sp macro="[0]!ref" textlink="">
      <xdr:nvSpPr>
        <xdr:cNvPr id="2" name="Rounded Rectangle 1"/>
        <xdr:cNvSpPr/>
      </xdr:nvSpPr>
      <xdr:spPr>
        <a:xfrm>
          <a:off x="9877425" y="647700"/>
          <a:ext cx="1266825" cy="55245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+mj-lt"/>
            </a:rPr>
            <a:t>REFRESH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368156</xdr:colOff>
      <xdr:row>0</xdr:row>
      <xdr:rowOff>0</xdr:rowOff>
    </xdr:from>
    <xdr:to>
      <xdr:col>16</xdr:col>
      <xdr:colOff>431790</xdr:colOff>
      <xdr:row>2</xdr:row>
      <xdr:rowOff>168089</xdr:rowOff>
    </xdr:to>
    <xdr:sp macro="[0]!RoundedRectangle1_Click" textlink="">
      <xdr:nvSpPr>
        <xdr:cNvPr id="3" name="Rounded Rectangle 2"/>
        <xdr:cNvSpPr/>
      </xdr:nvSpPr>
      <xdr:spPr>
        <a:xfrm>
          <a:off x="9580192" y="0"/>
          <a:ext cx="2308812" cy="6307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Hide Blank Rows Click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21</xdr:col>
      <xdr:colOff>480012</xdr:colOff>
      <xdr:row>2</xdr:row>
      <xdr:rowOff>165368</xdr:rowOff>
    </xdr:to>
    <xdr:sp macro="[0]!RoundedRectangle2_Click" textlink="">
      <xdr:nvSpPr>
        <xdr:cNvPr id="2" name="Rounded Rectangle 2"/>
        <xdr:cNvSpPr/>
      </xdr:nvSpPr>
      <xdr:spPr>
        <a:xfrm>
          <a:off x="9420225" y="0"/>
          <a:ext cx="2308812" cy="7940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Hide Blank Rows Click Here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28</xdr:col>
      <xdr:colOff>470072</xdr:colOff>
      <xdr:row>3</xdr:row>
      <xdr:rowOff>32018</xdr:rowOff>
    </xdr:to>
    <xdr:sp macro="[0]!RoundedRectangle3_Click" textlink="">
      <xdr:nvSpPr>
        <xdr:cNvPr id="2" name="Rounded Rectangle 3"/>
        <xdr:cNvSpPr/>
      </xdr:nvSpPr>
      <xdr:spPr>
        <a:xfrm>
          <a:off x="11272630" y="0"/>
          <a:ext cx="2308812" cy="7940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Hide Blank Rows Click Here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3</xdr:row>
      <xdr:rowOff>209550</xdr:rowOff>
    </xdr:from>
    <xdr:to>
      <xdr:col>0</xdr:col>
      <xdr:colOff>1095375</xdr:colOff>
      <xdr:row>3</xdr:row>
      <xdr:rowOff>209550</xdr:rowOff>
    </xdr:to>
    <xdr:cxnSp macro="">
      <xdr:nvCxnSpPr>
        <xdr:cNvPr id="3" name="Straight Arrow Connector 2"/>
        <xdr:cNvCxnSpPr/>
      </xdr:nvCxnSpPr>
      <xdr:spPr>
        <a:xfrm>
          <a:off x="933450" y="1000125"/>
          <a:ext cx="1619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</xdr:row>
      <xdr:rowOff>435952</xdr:rowOff>
    </xdr:from>
    <xdr:to>
      <xdr:col>0</xdr:col>
      <xdr:colOff>295275</xdr:colOff>
      <xdr:row>10</xdr:row>
      <xdr:rowOff>597877</xdr:rowOff>
    </xdr:to>
    <xdr:cxnSp macro="">
      <xdr:nvCxnSpPr>
        <xdr:cNvPr id="3" name="Straight Arrow Connector 2"/>
        <xdr:cNvCxnSpPr/>
      </xdr:nvCxnSpPr>
      <xdr:spPr>
        <a:xfrm flipH="1">
          <a:off x="285750" y="2927106"/>
          <a:ext cx="9525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10</xdr:row>
      <xdr:rowOff>323850</xdr:rowOff>
    </xdr:from>
    <xdr:to>
      <xdr:col>1</xdr:col>
      <xdr:colOff>581025</xdr:colOff>
      <xdr:row>10</xdr:row>
      <xdr:rowOff>323850</xdr:rowOff>
    </xdr:to>
    <xdr:cxnSp macro="">
      <xdr:nvCxnSpPr>
        <xdr:cNvPr id="5" name="Straight Arrow Connector 4"/>
        <xdr:cNvCxnSpPr/>
      </xdr:nvCxnSpPr>
      <xdr:spPr>
        <a:xfrm>
          <a:off x="1028700" y="2800350"/>
          <a:ext cx="1619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295274</xdr:colOff>
      <xdr:row>0</xdr:row>
      <xdr:rowOff>66676</xdr:rowOff>
    </xdr:from>
    <xdr:to>
      <xdr:col>16</xdr:col>
      <xdr:colOff>312243</xdr:colOff>
      <xdr:row>2</xdr:row>
      <xdr:rowOff>180975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49" y="66676"/>
          <a:ext cx="683719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0</xdr:row>
      <xdr:rowOff>38100</xdr:rowOff>
    </xdr:from>
    <xdr:to>
      <xdr:col>1</xdr:col>
      <xdr:colOff>180974</xdr:colOff>
      <xdr:row>2</xdr:row>
      <xdr:rowOff>204647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38100"/>
          <a:ext cx="657225" cy="6618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G2:J37" totalsRowShown="0" headerRowDxfId="36" dataDxfId="34" headerRowBorderDxfId="35" tableBorderDxfId="33" totalsRowBorderDxfId="32">
  <tableColumns count="4">
    <tableColumn id="1" name="Arts" dataDxfId="31"/>
    <tableColumn id="2" name="Science" dataDxfId="30"/>
    <tableColumn id="3" name="Agriculture" dataDxfId="29"/>
    <tableColumn id="4" name="Commerce" dataDxfId="2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:K2251" totalsRowShown="0" headerRowDxfId="27" dataDxfId="25" headerRowBorderDxfId="26" tableBorderDxfId="24" totalsRowBorderDxfId="23">
  <tableColumns count="11">
    <tableColumn id="1" name="Sr.No." dataDxfId="22">
      <calculatedColumnFormula>IF(Table1[[#This Row],[Name of Student]]="","",ROWS($A$1:A1))</calculatedColumnFormula>
    </tableColumn>
    <tableColumn id="2" name="Class" dataDxfId="21">
      <calculatedColumnFormula>IF('Paste SD Data'!A2="","",'Paste SD Data'!A2)</calculatedColumnFormula>
    </tableColumn>
    <tableColumn id="3" name="Section" dataDxfId="20">
      <calculatedColumnFormula>IF('Paste SD Data'!B2="","",'Paste SD Data'!B2)</calculatedColumnFormula>
    </tableColumn>
    <tableColumn id="4" name="SRNO" dataDxfId="19">
      <calculatedColumnFormula>IF('Paste SD Data'!C2="","",'Paste SD Data'!C2)</calculatedColumnFormula>
    </tableColumn>
    <tableColumn id="5" name="Name of Student" dataDxfId="18">
      <calculatedColumnFormula>IF('Paste SD Data'!E2="","",UPPER('Paste SD Data'!E2))</calculatedColumnFormula>
    </tableColumn>
    <tableColumn id="6" name="Father's Name" dataDxfId="17">
      <calculatedColumnFormula>IF('Paste SD Data'!G2="","",UPPER('Paste SD Data'!G2))</calculatedColumnFormula>
    </tableColumn>
    <tableColumn id="7" name="Mother's Name" dataDxfId="16">
      <calculatedColumnFormula>IF('Paste SD Data'!H2="","",UPPER('Paste SD Data'!H2))</calculatedColumnFormula>
    </tableColumn>
    <tableColumn id="8" name="Gender" dataDxfId="15">
      <calculatedColumnFormula>IF('Paste SD Data'!I2="","",IF('Paste SD Data'!I2="M","BOY","GIRL"))</calculatedColumnFormula>
    </tableColumn>
    <tableColumn id="9" name="Dob" dataDxfId="14">
      <calculatedColumnFormula>IF('Paste SD Data'!J2="","",'Paste SD Data'!J2)</calculatedColumnFormula>
    </tableColumn>
    <tableColumn id="10" name="Exam Roll Number" dataDxfId="13"/>
    <tableColumn id="11" name="Category" dataDxfId="12">
      <calculatedColumnFormula>IF('Paste SD Data'!O2="","",'Paste SD Data'!O2)</calculatedColumnFormula>
    </tableColumn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"/>
  <sheetViews>
    <sheetView tabSelected="1" zoomScaleNormal="100" workbookViewId="0">
      <selection sqref="A1:E1"/>
    </sheetView>
  </sheetViews>
  <sheetFormatPr defaultColWidth="9.140625" defaultRowHeight="20.100000000000001" customHeight="1" x14ac:dyDescent="0.25"/>
  <cols>
    <col min="1" max="1" width="10.7109375" style="17" customWidth="1"/>
    <col min="2" max="2" width="22" style="18" customWidth="1"/>
    <col min="3" max="3" width="23" style="17" customWidth="1"/>
    <col min="4" max="4" width="20.7109375" style="17" customWidth="1"/>
    <col min="5" max="5" width="10.7109375" style="35" customWidth="1"/>
    <col min="6" max="6" width="9.140625" style="17" customWidth="1"/>
    <col min="7" max="7" width="32.42578125" style="17" bestFit="1" customWidth="1"/>
    <col min="8" max="9" width="33" style="17" bestFit="1" customWidth="1"/>
    <col min="10" max="10" width="36.5703125" style="17" bestFit="1" customWidth="1"/>
    <col min="11" max="16384" width="9.140625" style="17"/>
  </cols>
  <sheetData>
    <row r="1" spans="1:10" ht="22.5" customHeight="1" x14ac:dyDescent="0.25">
      <c r="A1" s="152" t="s">
        <v>0</v>
      </c>
      <c r="B1" s="152"/>
      <c r="C1" s="152"/>
      <c r="D1" s="152"/>
      <c r="E1" s="152"/>
      <c r="G1" s="149" t="s">
        <v>3632</v>
      </c>
      <c r="H1" s="149"/>
      <c r="I1" s="149"/>
      <c r="J1" s="149"/>
    </row>
    <row r="2" spans="1:10" ht="30" customHeight="1" x14ac:dyDescent="0.25">
      <c r="A2" s="153" t="s">
        <v>3628</v>
      </c>
      <c r="B2" s="153"/>
      <c r="C2" s="153"/>
      <c r="D2" s="153"/>
      <c r="E2" s="153"/>
      <c r="G2" s="128" t="s">
        <v>3633</v>
      </c>
      <c r="H2" s="129" t="s">
        <v>3527</v>
      </c>
      <c r="I2" s="129" t="s">
        <v>3634</v>
      </c>
      <c r="J2" s="130" t="s">
        <v>3635</v>
      </c>
    </row>
    <row r="3" spans="1:10" ht="30" customHeight="1" x14ac:dyDescent="0.25">
      <c r="G3" s="87" t="s">
        <v>3636</v>
      </c>
      <c r="H3" s="88" t="s">
        <v>3637</v>
      </c>
      <c r="I3" s="88" t="s">
        <v>3634</v>
      </c>
      <c r="J3" s="89" t="s">
        <v>3638</v>
      </c>
    </row>
    <row r="4" spans="1:10" ht="30" customHeight="1" x14ac:dyDescent="0.25">
      <c r="B4" s="22" t="s">
        <v>1</v>
      </c>
      <c r="C4" s="19" t="s">
        <v>2</v>
      </c>
      <c r="D4" s="99" t="s">
        <v>3666</v>
      </c>
      <c r="G4" s="87" t="s">
        <v>3639</v>
      </c>
      <c r="H4" s="88" t="s">
        <v>3640</v>
      </c>
      <c r="I4" s="88" t="s">
        <v>3676</v>
      </c>
      <c r="J4" s="89" t="s">
        <v>3642</v>
      </c>
    </row>
    <row r="5" spans="1:10" ht="30" customHeight="1" x14ac:dyDescent="0.25">
      <c r="B5" s="22" t="s">
        <v>3</v>
      </c>
      <c r="C5" s="20" t="s">
        <v>3629</v>
      </c>
      <c r="D5" s="20" t="s">
        <v>3633</v>
      </c>
      <c r="G5" s="87" t="s">
        <v>3643</v>
      </c>
      <c r="H5" s="88" t="s">
        <v>3541</v>
      </c>
      <c r="I5" s="88" t="s">
        <v>3677</v>
      </c>
      <c r="J5" s="89" t="s">
        <v>3645</v>
      </c>
    </row>
    <row r="6" spans="1:10" ht="30" customHeight="1" x14ac:dyDescent="0.25">
      <c r="B6" s="22" t="s">
        <v>4</v>
      </c>
      <c r="C6" s="154" t="s">
        <v>7</v>
      </c>
      <c r="D6" s="154"/>
      <c r="G6" s="87" t="s">
        <v>3646</v>
      </c>
      <c r="H6" s="88" t="s">
        <v>3647</v>
      </c>
      <c r="I6" s="88"/>
      <c r="J6" s="89" t="s">
        <v>3641</v>
      </c>
    </row>
    <row r="7" spans="1:10" ht="30" customHeight="1" x14ac:dyDescent="0.25">
      <c r="B7" s="22" t="s">
        <v>5</v>
      </c>
      <c r="C7" s="155">
        <v>44697</v>
      </c>
      <c r="D7" s="155"/>
      <c r="G7" s="87" t="s">
        <v>3648</v>
      </c>
      <c r="H7" s="88"/>
      <c r="I7" s="88"/>
      <c r="J7" s="89" t="s">
        <v>3649</v>
      </c>
    </row>
    <row r="8" spans="1:10" ht="30" customHeight="1" x14ac:dyDescent="0.25">
      <c r="B8" s="150" t="s">
        <v>6</v>
      </c>
      <c r="C8" s="20" t="s">
        <v>3630</v>
      </c>
      <c r="D8" s="148" t="s">
        <v>3667</v>
      </c>
      <c r="G8" s="87" t="s">
        <v>3650</v>
      </c>
      <c r="H8" s="88"/>
      <c r="I8" s="88"/>
      <c r="J8" s="89" t="s">
        <v>3651</v>
      </c>
    </row>
    <row r="9" spans="1:10" ht="30" customHeight="1" x14ac:dyDescent="0.25">
      <c r="B9" s="150"/>
      <c r="C9" s="20" t="s">
        <v>3631</v>
      </c>
      <c r="D9" s="148"/>
      <c r="G9" s="87" t="s">
        <v>3652</v>
      </c>
      <c r="H9" s="88"/>
      <c r="I9" s="88"/>
      <c r="J9" s="89" t="s">
        <v>3541</v>
      </c>
    </row>
    <row r="10" spans="1:10" ht="30" customHeight="1" x14ac:dyDescent="0.25">
      <c r="B10" s="150"/>
      <c r="C10" s="20" t="s">
        <v>3636</v>
      </c>
      <c r="D10" s="156" t="s">
        <v>3668</v>
      </c>
      <c r="G10" s="87" t="s">
        <v>3653</v>
      </c>
      <c r="H10" s="88"/>
      <c r="I10" s="88"/>
      <c r="J10" s="89" t="s">
        <v>3654</v>
      </c>
    </row>
    <row r="11" spans="1:10" ht="30" customHeight="1" x14ac:dyDescent="0.25">
      <c r="B11" s="150"/>
      <c r="C11" s="20" t="s">
        <v>3639</v>
      </c>
      <c r="D11" s="157"/>
      <c r="G11" s="87" t="s">
        <v>3655</v>
      </c>
      <c r="H11" s="88"/>
      <c r="I11" s="88"/>
      <c r="J11" s="89" t="s">
        <v>3656</v>
      </c>
    </row>
    <row r="12" spans="1:10" ht="30" customHeight="1" x14ac:dyDescent="0.25">
      <c r="B12" s="151"/>
      <c r="C12" s="147" t="s">
        <v>3643</v>
      </c>
      <c r="D12" s="157"/>
      <c r="G12" s="87" t="s">
        <v>3657</v>
      </c>
      <c r="H12" s="88"/>
      <c r="I12" s="88"/>
      <c r="J12" s="89" t="s">
        <v>3644</v>
      </c>
    </row>
    <row r="13" spans="1:10" ht="30" customHeight="1" x14ac:dyDescent="0.25">
      <c r="B13" s="158"/>
      <c r="C13" s="158"/>
      <c r="D13" s="158"/>
      <c r="G13" s="87" t="s">
        <v>3658</v>
      </c>
      <c r="H13" s="88"/>
      <c r="I13" s="88"/>
      <c r="J13" s="89"/>
    </row>
    <row r="14" spans="1:10" ht="30" customHeight="1" x14ac:dyDescent="0.25">
      <c r="B14" s="150" t="s">
        <v>3625</v>
      </c>
      <c r="C14" s="21" t="s">
        <v>3679</v>
      </c>
      <c r="D14" s="148" t="s">
        <v>3625</v>
      </c>
      <c r="G14" s="87" t="s">
        <v>3659</v>
      </c>
      <c r="H14" s="88"/>
      <c r="I14" s="88"/>
      <c r="J14" s="89"/>
    </row>
    <row r="15" spans="1:10" ht="30" customHeight="1" x14ac:dyDescent="0.25">
      <c r="B15" s="150"/>
      <c r="C15" s="21" t="s">
        <v>3699</v>
      </c>
      <c r="D15" s="148"/>
      <c r="G15" s="87" t="s">
        <v>3641</v>
      </c>
      <c r="H15" s="88"/>
      <c r="I15" s="88"/>
      <c r="J15" s="89"/>
    </row>
    <row r="16" spans="1:10" ht="30" customHeight="1" x14ac:dyDescent="0.25">
      <c r="B16" s="150"/>
      <c r="C16" s="21" t="s">
        <v>3669</v>
      </c>
      <c r="D16" s="148"/>
      <c r="G16" s="87" t="s">
        <v>3651</v>
      </c>
      <c r="H16" s="88"/>
      <c r="I16" s="88"/>
      <c r="J16" s="89"/>
    </row>
    <row r="17" spans="2:10" ht="30" customHeight="1" x14ac:dyDescent="0.25">
      <c r="B17" s="35"/>
      <c r="C17" s="35"/>
      <c r="D17" s="35"/>
      <c r="G17" s="87" t="s">
        <v>3644</v>
      </c>
      <c r="H17" s="88"/>
      <c r="I17" s="88"/>
      <c r="J17" s="89"/>
    </row>
    <row r="18" spans="2:10" ht="30" customHeight="1" x14ac:dyDescent="0.25">
      <c r="G18" s="87" t="s">
        <v>3660</v>
      </c>
      <c r="H18" s="88"/>
      <c r="I18" s="88"/>
      <c r="J18" s="89"/>
    </row>
    <row r="19" spans="2:10" ht="30" customHeight="1" x14ac:dyDescent="0.25">
      <c r="G19" s="87" t="s">
        <v>3661</v>
      </c>
      <c r="H19" s="88"/>
      <c r="I19" s="88"/>
      <c r="J19" s="89"/>
    </row>
    <row r="20" spans="2:10" ht="30" customHeight="1" x14ac:dyDescent="0.25">
      <c r="G20" s="87" t="s">
        <v>3662</v>
      </c>
      <c r="H20" s="88"/>
      <c r="I20" s="88"/>
      <c r="J20" s="89"/>
    </row>
    <row r="21" spans="2:10" ht="30" customHeight="1" x14ac:dyDescent="0.25">
      <c r="G21" s="87" t="s">
        <v>3663</v>
      </c>
      <c r="H21" s="88"/>
      <c r="I21" s="88"/>
      <c r="J21" s="89"/>
    </row>
    <row r="22" spans="2:10" ht="30" customHeight="1" x14ac:dyDescent="0.25">
      <c r="G22" s="87" t="s">
        <v>3664</v>
      </c>
      <c r="H22" s="88"/>
      <c r="I22" s="88"/>
      <c r="J22" s="89"/>
    </row>
    <row r="23" spans="2:10" ht="30" customHeight="1" x14ac:dyDescent="0.25">
      <c r="G23" s="87" t="s">
        <v>3665</v>
      </c>
      <c r="H23" s="88"/>
      <c r="I23" s="88"/>
      <c r="J23" s="89"/>
    </row>
    <row r="24" spans="2:10" ht="30" customHeight="1" x14ac:dyDescent="0.25">
      <c r="G24" s="87" t="s">
        <v>3642</v>
      </c>
      <c r="H24" s="88"/>
      <c r="I24" s="88"/>
      <c r="J24" s="89"/>
    </row>
    <row r="25" spans="2:10" ht="30" customHeight="1" x14ac:dyDescent="0.25">
      <c r="G25" s="87"/>
      <c r="H25" s="88"/>
      <c r="I25" s="88"/>
      <c r="J25" s="89"/>
    </row>
    <row r="26" spans="2:10" ht="30" customHeight="1" x14ac:dyDescent="0.25">
      <c r="G26" s="87"/>
      <c r="H26" s="88"/>
      <c r="I26" s="88"/>
      <c r="J26" s="89"/>
    </row>
    <row r="27" spans="2:10" ht="30" customHeight="1" x14ac:dyDescent="0.25">
      <c r="G27" s="87"/>
      <c r="H27" s="88"/>
      <c r="I27" s="88"/>
      <c r="J27" s="89"/>
    </row>
    <row r="28" spans="2:10" ht="30" customHeight="1" x14ac:dyDescent="0.25">
      <c r="G28" s="87"/>
      <c r="H28" s="88"/>
      <c r="I28" s="88"/>
      <c r="J28" s="89"/>
    </row>
    <row r="29" spans="2:10" ht="30" customHeight="1" x14ac:dyDescent="0.25">
      <c r="G29" s="87"/>
      <c r="H29" s="88"/>
      <c r="I29" s="88"/>
      <c r="J29" s="89"/>
    </row>
    <row r="30" spans="2:10" ht="30" customHeight="1" x14ac:dyDescent="0.25">
      <c r="G30" s="87"/>
      <c r="H30" s="88"/>
      <c r="I30" s="88"/>
      <c r="J30" s="89"/>
    </row>
    <row r="31" spans="2:10" ht="30" customHeight="1" x14ac:dyDescent="0.25">
      <c r="G31" s="87"/>
      <c r="H31" s="88"/>
      <c r="I31" s="88"/>
      <c r="J31" s="89"/>
    </row>
    <row r="32" spans="2:10" ht="30" customHeight="1" x14ac:dyDescent="0.25">
      <c r="G32" s="87"/>
      <c r="H32" s="88"/>
      <c r="I32" s="88"/>
      <c r="J32" s="89"/>
    </row>
    <row r="33" spans="7:10" ht="30" customHeight="1" x14ac:dyDescent="0.25">
      <c r="G33" s="87"/>
      <c r="H33" s="88"/>
      <c r="I33" s="88"/>
      <c r="J33" s="89"/>
    </row>
    <row r="34" spans="7:10" ht="30" customHeight="1" x14ac:dyDescent="0.25">
      <c r="G34" s="87"/>
      <c r="H34" s="88"/>
      <c r="I34" s="88"/>
      <c r="J34" s="89"/>
    </row>
    <row r="35" spans="7:10" ht="30" customHeight="1" x14ac:dyDescent="0.25">
      <c r="G35" s="87"/>
      <c r="H35" s="88"/>
      <c r="I35" s="88"/>
      <c r="J35" s="89"/>
    </row>
    <row r="36" spans="7:10" ht="30" customHeight="1" x14ac:dyDescent="0.25">
      <c r="G36" s="87"/>
      <c r="H36" s="88"/>
      <c r="I36" s="88"/>
      <c r="J36" s="89"/>
    </row>
    <row r="37" spans="7:10" ht="30" customHeight="1" x14ac:dyDescent="0.25">
      <c r="G37" s="90"/>
      <c r="H37" s="91"/>
      <c r="I37" s="91"/>
      <c r="J37" s="92"/>
    </row>
  </sheetData>
  <sheetProtection password="DB75" sheet="1" objects="1" scenarios="1" selectLockedCells="1"/>
  <mergeCells count="11">
    <mergeCell ref="D14:D16"/>
    <mergeCell ref="G1:J1"/>
    <mergeCell ref="B8:B12"/>
    <mergeCell ref="D8:D9"/>
    <mergeCell ref="A1:E1"/>
    <mergeCell ref="A2:E2"/>
    <mergeCell ref="B14:B16"/>
    <mergeCell ref="C6:D6"/>
    <mergeCell ref="C7:D7"/>
    <mergeCell ref="D10:D12"/>
    <mergeCell ref="B13:D13"/>
  </mergeCells>
  <dataValidations count="2">
    <dataValidation type="list" allowBlank="1" showInputMessage="1" showErrorMessage="1" sqref="D5">
      <formula1>$G$2:$J$2</formula1>
    </dataValidation>
    <dataValidation type="list" allowBlank="1" showInputMessage="1" showErrorMessage="1" sqref="C10:C12">
      <formula1>INDIRECT($D$5)</formula1>
    </dataValidation>
  </dataValidations>
  <pageMargins left="0.7" right="0.7" top="0.75" bottom="0.75" header="0.3" footer="0.3"/>
  <pageSetup paperSize="9" orientation="portrait" r:id="rId1"/>
  <ignoredErrors>
    <ignoredError sqref="C4" numberStoredAsText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14"/>
  <sheetViews>
    <sheetView workbookViewId="0">
      <selection activeCell="H13" sqref="H12:H13"/>
    </sheetView>
  </sheetViews>
  <sheetFormatPr defaultRowHeight="15" x14ac:dyDescent="0.25"/>
  <cols>
    <col min="1" max="1" width="17.140625" style="35" customWidth="1"/>
    <col min="2" max="14" width="9.28515625" style="35" customWidth="1"/>
    <col min="15" max="16384" width="9.140625" style="35"/>
  </cols>
  <sheetData>
    <row r="1" spans="1:14" s="23" customFormat="1" ht="26.25" customHeight="1" x14ac:dyDescent="0.25">
      <c r="A1" s="294" t="str">
        <f>'Subject-Wise Result'!A1</f>
        <v>Government Senior Secondary School, Deograh (Rajsamand)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s="23" customFormat="1" ht="21" x14ac:dyDescent="0.25">
      <c r="A2" s="153" t="str">
        <f>"Caste-Wise "&amp;'11th Data'!A2</f>
        <v>Caste-Wise Result For Class 11th B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4" spans="1:14" s="24" customFormat="1" ht="30" x14ac:dyDescent="0.25">
      <c r="A4" s="69" t="s">
        <v>21</v>
      </c>
      <c r="B4" s="53" t="s">
        <v>3591</v>
      </c>
      <c r="C4" s="53" t="s">
        <v>3592</v>
      </c>
      <c r="D4" s="53" t="s">
        <v>3593</v>
      </c>
      <c r="E4" s="53" t="s">
        <v>3594</v>
      </c>
      <c r="F4" s="53" t="s">
        <v>3595</v>
      </c>
      <c r="G4" s="53" t="s">
        <v>3596</v>
      </c>
      <c r="H4" s="53" t="s">
        <v>3597</v>
      </c>
      <c r="I4" s="53" t="s">
        <v>3598</v>
      </c>
      <c r="J4" s="53" t="s">
        <v>3599</v>
      </c>
      <c r="K4" s="53" t="s">
        <v>3600</v>
      </c>
      <c r="L4" s="53" t="s">
        <v>3601</v>
      </c>
      <c r="M4" s="53" t="s">
        <v>3602</v>
      </c>
      <c r="N4" s="53" t="s">
        <v>3585</v>
      </c>
    </row>
    <row r="5" spans="1:14" ht="24.95" customHeight="1" x14ac:dyDescent="0.25">
      <c r="A5" s="70" t="s">
        <v>3586</v>
      </c>
      <c r="B5" s="67">
        <f>COUNTIFS('Subject-Wise Result'!$E$6:$E$106,"Boy",'Subject-Wise Result'!$F$6:$F$106,"SC",'Subject-Wise Result'!$P$6:$P$106,"1st")</f>
        <v>1</v>
      </c>
      <c r="C5" s="67">
        <f>COUNTIFS('Subject-Wise Result'!$E$6:$E$106,"Girl",'Subject-Wise Result'!$F$6:$F$106,"SC",'Subject-Wise Result'!$P$6:$P$106,"1st")</f>
        <v>0</v>
      </c>
      <c r="D5" s="67">
        <f>COUNTIFS('Subject-Wise Result'!$E$6:$E$106,"Boy",'Subject-Wise Result'!$F$6:$F$106,"St",'Subject-Wise Result'!$P$6:$P$106,"1st")</f>
        <v>0</v>
      </c>
      <c r="E5" s="67">
        <f>COUNTIFS('Subject-Wise Result'!$E$6:$E$106,"Girl",'Subject-Wise Result'!$F$6:$F$106,"St",'Subject-Wise Result'!$P$6:$P$106,"1st")</f>
        <v>0</v>
      </c>
      <c r="F5" s="67">
        <f>COUNTIFS('Subject-Wise Result'!$E$6:$E$106,"BOY",'Subject-Wise Result'!$F$6:$F$106,"OBC",'Subject-Wise Result'!$P$6:$P$106,"1st")</f>
        <v>1</v>
      </c>
      <c r="G5" s="67">
        <f>COUNTIFS('Subject-Wise Result'!$E$6:$E$106,"GIRL",'Subject-Wise Result'!$F$6:$F$106,"OBC",'Subject-Wise Result'!$P$6:$P$106,"1st")</f>
        <v>0</v>
      </c>
      <c r="H5" s="67">
        <f>COUNTIFS('Subject-Wise Result'!$E$6:$E$106,"BOY",'Subject-Wise Result'!$F$6:$F$106,"GEN",'Subject-Wise Result'!$P$6:$P$106,"1st")</f>
        <v>0</v>
      </c>
      <c r="I5" s="67">
        <f>COUNTIFS('Subject-Wise Result'!$E$6:$E$106,"GIRL",'Subject-Wise Result'!$F$6:$F$106,"GEN",'Subject-Wise Result'!$P$6:$P$106,"1st")</f>
        <v>0</v>
      </c>
      <c r="J5" s="67">
        <f>COUNTIFS('Subject-Wise Result'!$E$6:$E$106,"BOY",'Subject-Wise Result'!$F$6:$F$106,"MIN",'Subject-Wise Result'!$P$6:$P$106,"1st")</f>
        <v>0</v>
      </c>
      <c r="K5" s="67">
        <f>COUNTIFS('Subject-Wise Result'!$E$6:$E$106,"GIRL",'Subject-Wise Result'!$F$6:$F$106,"MIN",'Subject-Wise Result'!$P$6:$P$106,"1st")</f>
        <v>0</v>
      </c>
      <c r="L5" s="67">
        <f>COUNTIFS('Subject-Wise Result'!$E$6:$E$106,"BOY",'Subject-Wise Result'!$F$6:$F$106,"SBC",'Subject-Wise Result'!$P$6:$P$106,"1st")</f>
        <v>0</v>
      </c>
      <c r="M5" s="67">
        <f>COUNTIFS('Subject-Wise Result'!$E$6:$E$106,"GIRL",'Subject-Wise Result'!$F$6:$F$106,"SBC",'Subject-Wise Result'!$P$6:$P$106,"1st")</f>
        <v>0</v>
      </c>
      <c r="N5" s="67">
        <f>SUM(B5:M5)</f>
        <v>2</v>
      </c>
    </row>
    <row r="6" spans="1:14" ht="24.95" customHeight="1" x14ac:dyDescent="0.25">
      <c r="A6" s="70" t="s">
        <v>3587</v>
      </c>
      <c r="B6" s="67">
        <f>COUNTIFS('Subject-Wise Result'!$E$6:$E$106,"Boy",'Subject-Wise Result'!$F$6:$F$106,"SC",'Subject-Wise Result'!$P$6:$P$106,"2nd")</f>
        <v>2</v>
      </c>
      <c r="C6" s="67">
        <f>COUNTIFS('Subject-Wise Result'!$E$6:$E$106,"Girl",'Subject-Wise Result'!$F$6:$F$106,"SC",'Subject-Wise Result'!$P$6:$P$106,"2nd")</f>
        <v>0</v>
      </c>
      <c r="D6" s="67">
        <f>COUNTIFS('Subject-Wise Result'!$E$6:$E$106,"Boy",'Subject-Wise Result'!$F$6:$F$106,"St",'Subject-Wise Result'!$P$6:$P$106,"2nd")</f>
        <v>0</v>
      </c>
      <c r="E6" s="67">
        <f>COUNTIFS('Subject-Wise Result'!$E$6:$E$106,"Girl",'Subject-Wise Result'!$F$6:$F$106,"St",'Subject-Wise Result'!$P$6:$P$106,"2nd")</f>
        <v>0</v>
      </c>
      <c r="F6" s="67">
        <f>COUNTIFS('Subject-Wise Result'!$E$6:$E$106,"BOY",'Subject-Wise Result'!$F$6:$F$106,"OBC",'Subject-Wise Result'!$P$6:$P$106,"2nd")</f>
        <v>6</v>
      </c>
      <c r="G6" s="67">
        <f>COUNTIFS('Subject-Wise Result'!$E$6:$E$106,"GIRL",'Subject-Wise Result'!$F$6:$F$106,"OBC",'Subject-Wise Result'!$P$6:$P$106,"2nd")</f>
        <v>0</v>
      </c>
      <c r="H6" s="67">
        <f>COUNTIFS('Subject-Wise Result'!$E$6:$E$106,"BOY",'Subject-Wise Result'!$F$6:$F$106,"GEN",'Subject-Wise Result'!$P$6:$P$106,"2nd")</f>
        <v>1</v>
      </c>
      <c r="I6" s="67">
        <f>COUNTIFS('Subject-Wise Result'!$E$6:$E$106,"GIRL",'Subject-Wise Result'!$F$6:$F$106,"GEN",'Subject-Wise Result'!$P$6:$P$106,"2nd")</f>
        <v>0</v>
      </c>
      <c r="J6" s="67">
        <f>COUNTIFS('Subject-Wise Result'!$E$6:$E$106,"BOY",'Subject-Wise Result'!$F$6:$F$106,"MIN",'Subject-Wise Result'!$P$6:$P$106,"2nd")</f>
        <v>0</v>
      </c>
      <c r="K6" s="67">
        <f>COUNTIFS('Subject-Wise Result'!$E$6:$E$106,"GIRL",'Subject-Wise Result'!$F$6:$F$106,"MIN",'Subject-Wise Result'!$P$6:$P$106,"2nd")</f>
        <v>0</v>
      </c>
      <c r="L6" s="67">
        <f>COUNTIFS('Subject-Wise Result'!$E$6:$E$106,"BOY",'Subject-Wise Result'!$F$6:$F$106,"SBC",'Subject-Wise Result'!$P$6:$P$106,"2nd")</f>
        <v>2</v>
      </c>
      <c r="M6" s="67">
        <f>COUNTIFS('Subject-Wise Result'!$E$6:$E$106,"GIRL",'Subject-Wise Result'!$F$6:$F$106,"SBC",'Subject-Wise Result'!$P$6:$P$106,"2nd")</f>
        <v>0</v>
      </c>
      <c r="N6" s="67">
        <f t="shared" ref="N6:N12" si="0">SUM(B6:M6)</f>
        <v>11</v>
      </c>
    </row>
    <row r="7" spans="1:14" ht="24.95" customHeight="1" x14ac:dyDescent="0.25">
      <c r="A7" s="70" t="s">
        <v>3588</v>
      </c>
      <c r="B7" s="67">
        <f>COUNTIFS('Subject-Wise Result'!$E$6:$E$106,"Boy",'Subject-Wise Result'!$F$6:$F$106,"SC",'Subject-Wise Result'!$P$6:$P$106,"3rd")</f>
        <v>0</v>
      </c>
      <c r="C7" s="67">
        <f>COUNTIFS('Subject-Wise Result'!$E$6:$E$106,"Girl",'Subject-Wise Result'!$F$6:$F$106,"SC",'Subject-Wise Result'!$P$6:$P$106,"3rd")</f>
        <v>0</v>
      </c>
      <c r="D7" s="67">
        <f>COUNTIFS('Subject-Wise Result'!$E$6:$E$106,"Boy",'Subject-Wise Result'!$F$6:$F$106,"St",'Subject-Wise Result'!$P$6:$P$106,"3rd")</f>
        <v>0</v>
      </c>
      <c r="E7" s="67">
        <f>COUNTIFS('Subject-Wise Result'!$E$6:$E$106,"Girl",'Subject-Wise Result'!$F$6:$F$106,"St",'Subject-Wise Result'!$P$6:$P$106,"3rd")</f>
        <v>0</v>
      </c>
      <c r="F7" s="67">
        <f>COUNTIFS('Subject-Wise Result'!$E$6:$E$106,"BOY",'Subject-Wise Result'!$F$6:$F$106,"OBC",'Subject-Wise Result'!$P$6:$P$106,"3rd")</f>
        <v>1</v>
      </c>
      <c r="G7" s="67">
        <f>COUNTIFS('Subject-Wise Result'!$E$6:$E$106,"GIRL",'Subject-Wise Result'!$F$6:$F$106,"OBC",'Subject-Wise Result'!$P$6:$P$106,"3rd")</f>
        <v>0</v>
      </c>
      <c r="H7" s="67">
        <f>COUNTIFS('Subject-Wise Result'!$E$6:$E$106,"BOY",'Subject-Wise Result'!$F$6:$F$106,"GEN",'Subject-Wise Result'!$P$6:$P$106,"3rd")</f>
        <v>1</v>
      </c>
      <c r="I7" s="67">
        <f>COUNTIFS('Subject-Wise Result'!$E$6:$E$106,"GIRL",'Subject-Wise Result'!$F$6:$F$106,"GEN",'Subject-Wise Result'!$P$6:$P$106,"3rd")</f>
        <v>0</v>
      </c>
      <c r="J7" s="67">
        <f>COUNTIFS('Subject-Wise Result'!$E$6:$E$106,"BOY",'Subject-Wise Result'!$F$6:$F$106,"MIN",'Subject-Wise Result'!$P$6:$P$106,"3rd")</f>
        <v>0</v>
      </c>
      <c r="K7" s="67">
        <f>COUNTIFS('Subject-Wise Result'!$E$6:$E$106,"GIRL",'Subject-Wise Result'!$F$6:$F$106,"MIN",'Subject-Wise Result'!$P$6:$P$106,"3rd")</f>
        <v>0</v>
      </c>
      <c r="L7" s="67">
        <f>COUNTIFS('Subject-Wise Result'!$E$6:$E$106,"BOY",'Subject-Wise Result'!$F$6:$F$106,"SBC",'Subject-Wise Result'!$P$6:$P$106,"3rd")</f>
        <v>0</v>
      </c>
      <c r="M7" s="67">
        <f>COUNTIFS('Subject-Wise Result'!$E$6:$E$106,"GIRL",'Subject-Wise Result'!$F$6:$F$106,"SBC",'Subject-Wise Result'!$P$6:$P$106,"3rd")</f>
        <v>0</v>
      </c>
      <c r="N7" s="67">
        <f t="shared" si="0"/>
        <v>2</v>
      </c>
    </row>
    <row r="8" spans="1:14" ht="24.95" customHeight="1" x14ac:dyDescent="0.25">
      <c r="A8" s="70" t="s">
        <v>3551</v>
      </c>
      <c r="B8" s="67">
        <f t="shared" ref="B8:M8" si="1">SUM(B5:B7)</f>
        <v>3</v>
      </c>
      <c r="C8" s="67">
        <f t="shared" si="1"/>
        <v>0</v>
      </c>
      <c r="D8" s="67">
        <f t="shared" si="1"/>
        <v>0</v>
      </c>
      <c r="E8" s="67">
        <f t="shared" si="1"/>
        <v>0</v>
      </c>
      <c r="F8" s="67">
        <f t="shared" si="1"/>
        <v>8</v>
      </c>
      <c r="G8" s="67">
        <f t="shared" si="1"/>
        <v>0</v>
      </c>
      <c r="H8" s="67">
        <f t="shared" si="1"/>
        <v>2</v>
      </c>
      <c r="I8" s="67">
        <f t="shared" si="1"/>
        <v>0</v>
      </c>
      <c r="J8" s="67">
        <f t="shared" si="1"/>
        <v>0</v>
      </c>
      <c r="K8" s="67">
        <f t="shared" si="1"/>
        <v>0</v>
      </c>
      <c r="L8" s="67">
        <f t="shared" si="1"/>
        <v>2</v>
      </c>
      <c r="M8" s="67">
        <f t="shared" si="1"/>
        <v>0</v>
      </c>
      <c r="N8" s="67">
        <f t="shared" si="0"/>
        <v>15</v>
      </c>
    </row>
    <row r="9" spans="1:14" ht="24.95" customHeight="1" x14ac:dyDescent="0.25">
      <c r="A9" s="70" t="s">
        <v>3589</v>
      </c>
      <c r="B9" s="67">
        <f>COUNTIFS('Subject-Wise Result'!$E$6:$E$106,"Boy",'Subject-Wise Result'!$F$6:$F$106,"SC",'Subject-Wise Result'!$O$6:$O$106,"Supp.")</f>
        <v>0</v>
      </c>
      <c r="C9" s="67">
        <f>COUNTIFS('Subject-Wise Result'!$E$6:$E$106,"Girl",'Subject-Wise Result'!$F$6:$F$106,"SC",'Subject-Wise Result'!$O$6:$O$106,"Supp.")</f>
        <v>0</v>
      </c>
      <c r="D9" s="67">
        <f>COUNTIFS('Subject-Wise Result'!$E$6:$E$106,"Boy",'Subject-Wise Result'!$F$6:$F$106,"St",'Subject-Wise Result'!$O$6:$O$106,"Supp.")</f>
        <v>0</v>
      </c>
      <c r="E9" s="67">
        <f>COUNTIFS('Subject-Wise Result'!$E$6:$E$106,"Girl",'Subject-Wise Result'!$F$6:$F$106,"St",'Subject-Wise Result'!$O$6:$O$106,"Supp.")</f>
        <v>0</v>
      </c>
      <c r="F9" s="67">
        <f>COUNTIFS('Subject-Wise Result'!$E$6:$E$106,"BOY",'Subject-Wise Result'!$F$6:$F$106,"OBC",'Subject-Wise Result'!$O$6:$O$106,"Supp.")</f>
        <v>1</v>
      </c>
      <c r="G9" s="67">
        <f>COUNTIFS('Subject-Wise Result'!$E$6:$E$106,"GIRL",'Subject-Wise Result'!$F$6:$F$106,"OBC",'Subject-Wise Result'!$O$6:$O$106,"Supp.")</f>
        <v>0</v>
      </c>
      <c r="H9" s="67">
        <f>COUNTIFS('Subject-Wise Result'!$E$6:$E$106,"BOY",'Subject-Wise Result'!$F$6:$F$106,"GEN",'Subject-Wise Result'!$O$6:$O$106,"Supp.")</f>
        <v>0</v>
      </c>
      <c r="I9" s="67">
        <f>COUNTIFS('Subject-Wise Result'!$E$6:$E$106,"GIRL",'Subject-Wise Result'!$F$6:$F$106,"GEN",'Subject-Wise Result'!$O$6:$O$106,"Supp.")</f>
        <v>0</v>
      </c>
      <c r="J9" s="67">
        <f>COUNTIFS('Subject-Wise Result'!$E$6:$E$106,"BOY",'Subject-Wise Result'!$F$6:$F$106,"MIN",'Subject-Wise Result'!$O$6:$O$106,"Supp.")</f>
        <v>0</v>
      </c>
      <c r="K9" s="67">
        <f>COUNTIFS('Subject-Wise Result'!$E$6:$E$106,"GIRL",'Subject-Wise Result'!$F$6:$F$106,"MIN",'Subject-Wise Result'!$O$6:$O$106,"Supp.")</f>
        <v>0</v>
      </c>
      <c r="L9" s="67">
        <f>COUNTIFS('Subject-Wise Result'!$E$6:$E$106,"BOY",'Subject-Wise Result'!$F$6:$F$106,"SBC",'Subject-Wise Result'!$O$6:$O$106,"Supp.")</f>
        <v>0</v>
      </c>
      <c r="M9" s="67">
        <f>COUNTIFS('Subject-Wise Result'!$E$6:$E$106,"GIRL",'Subject-Wise Result'!$F$6:$F$106,"SBC",'Subject-Wise Result'!$O$6:$O$106,"Supp.")</f>
        <v>0</v>
      </c>
      <c r="N9" s="67">
        <f t="shared" si="0"/>
        <v>1</v>
      </c>
    </row>
    <row r="10" spans="1:14" ht="24.95" customHeight="1" x14ac:dyDescent="0.25">
      <c r="A10" s="70" t="s">
        <v>3590</v>
      </c>
      <c r="B10" s="67">
        <f>COUNTIFS('Subject-Wise Result'!$E$6:$E$106,"Boy",'Subject-Wise Result'!$F$6:$F$106,"SC",'Subject-Wise Result'!$O$6:$O$106,"RE")</f>
        <v>0</v>
      </c>
      <c r="C10" s="67">
        <f>COUNTIFS('Subject-Wise Result'!$E$6:$E$106,"Girl",'Subject-Wise Result'!$F$6:$F$106,"SC",'Subject-Wise Result'!$O$6:$O$106,"RE")</f>
        <v>0</v>
      </c>
      <c r="D10" s="67">
        <f>COUNTIFS('Subject-Wise Result'!$E$6:$E$106,"Boy",'Subject-Wise Result'!$F$6:$F$106,"St",'Subject-Wise Result'!$O$6:$O$106,"RE")</f>
        <v>0</v>
      </c>
      <c r="E10" s="67">
        <f>COUNTIFS('Subject-Wise Result'!$E$6:$E$106,"Girl",'Subject-Wise Result'!$F$6:$F$106,"St",'Subject-Wise Result'!$O$6:$O$106,"RE")</f>
        <v>0</v>
      </c>
      <c r="F10" s="67">
        <f>COUNTIFS('Subject-Wise Result'!$E$6:$E$106,"BOY",'Subject-Wise Result'!$F$6:$F$106,"OBC",'Subject-Wise Result'!$O$6:$O$106,"RE")</f>
        <v>0</v>
      </c>
      <c r="G10" s="67">
        <f>COUNTIFS('Subject-Wise Result'!$E$6:$E$106,"GIRL",'Subject-Wise Result'!$F$6:$F$106,"OBC",'Subject-Wise Result'!$O$6:$O$106,"RE")</f>
        <v>0</v>
      </c>
      <c r="H10" s="67">
        <f>COUNTIFS('Subject-Wise Result'!$E$6:$E$106,"BOY",'Subject-Wise Result'!$F$6:$F$106,"GEN",'Subject-Wise Result'!$O$6:$O$106,"RE")</f>
        <v>0</v>
      </c>
      <c r="I10" s="67">
        <f>COUNTIFS('Subject-Wise Result'!$E$6:$E$106,"GIRL",'Subject-Wise Result'!$F$6:$F$106,"GEN",'Subject-Wise Result'!$O$6:$O$106,"RE")</f>
        <v>0</v>
      </c>
      <c r="J10" s="67">
        <f>COUNTIFS('Subject-Wise Result'!$E$6:$E$106,"BOY",'Subject-Wise Result'!$F$6:$F$106,"MIN",'Subject-Wise Result'!$O$6:$O$106,"RE")</f>
        <v>0</v>
      </c>
      <c r="K10" s="67">
        <f>COUNTIFS('Subject-Wise Result'!$E$6:$E$106,"GIRL",'Subject-Wise Result'!$F$6:$F$106,"MIN",'Subject-Wise Result'!$O$6:$O$106,"RE")</f>
        <v>0</v>
      </c>
      <c r="L10" s="67">
        <f>COUNTIFS('Subject-Wise Result'!$E$6:$E$106,"BOY",'Subject-Wise Result'!$F$6:$F$106,"SBC",'Subject-Wise Result'!$O$6:$O$106,"RE")</f>
        <v>0</v>
      </c>
      <c r="M10" s="67">
        <f>COUNTIFS('Subject-Wise Result'!$E$6:$E$106,"GIRL",'Subject-Wise Result'!$F$6:$F$106,"SBC",'Subject-Wise Result'!$O$6:$O$106,"RE")</f>
        <v>0</v>
      </c>
      <c r="N10" s="67">
        <f t="shared" si="0"/>
        <v>0</v>
      </c>
    </row>
    <row r="11" spans="1:14" ht="24.95" customHeight="1" x14ac:dyDescent="0.25">
      <c r="A11" s="70" t="s">
        <v>3553</v>
      </c>
      <c r="B11" s="67">
        <f>COUNTIFS('Subject-Wise Result'!$E$6:$E$106,"Boy",'Subject-Wise Result'!$F$6:$F$106,"SC",'Subject-Wise Result'!$O$6:$O$106,"Fail")</f>
        <v>0</v>
      </c>
      <c r="C11" s="67">
        <f>COUNTIFS('Subject-Wise Result'!$E$6:$E$106,"Girl",'Subject-Wise Result'!$F$6:$F$106,"SC",'Subject-Wise Result'!$O$6:$O$106,"Fail")</f>
        <v>0</v>
      </c>
      <c r="D11" s="67">
        <f>COUNTIFS('Subject-Wise Result'!$E$6:$E$106,"Boy",'Subject-Wise Result'!$F$6:$F$106,"St",'Subject-Wise Result'!$O$6:$O$106,"Fail")</f>
        <v>0</v>
      </c>
      <c r="E11" s="67">
        <f>COUNTIFS('Subject-Wise Result'!$E$6:$E$106,"Girl",'Subject-Wise Result'!$F$6:$F$106,"St",'Subject-Wise Result'!$O$6:$O$106,"Fail")</f>
        <v>0</v>
      </c>
      <c r="F11" s="67">
        <f>COUNTIFS('Subject-Wise Result'!$E$6:$E$106,"BOY",'Subject-Wise Result'!$F$6:$F$106,"OBC",'Subject-Wise Result'!$O$6:$O$106,"Fail")</f>
        <v>0</v>
      </c>
      <c r="G11" s="67">
        <f>COUNTIFS('Subject-Wise Result'!$E$6:$E$106,"GIRL",'Subject-Wise Result'!$F$6:$F$106,"OBC",'Subject-Wise Result'!$O$6:$O$106,"Fail")</f>
        <v>0</v>
      </c>
      <c r="H11" s="67">
        <f>COUNTIFS('Subject-Wise Result'!$E$6:$E$106,"BOY",'Subject-Wise Result'!$F$6:$F$106,"GEN",'Subject-Wise Result'!$O$6:$O$106,"Fail")</f>
        <v>1</v>
      </c>
      <c r="I11" s="67">
        <f>COUNTIFS('Subject-Wise Result'!$E$6:$E$106,"GIRL",'Subject-Wise Result'!$F$6:$F$106,"GEN",'Subject-Wise Result'!$O$6:$O$106,"Fail")</f>
        <v>0</v>
      </c>
      <c r="J11" s="67">
        <f>COUNTIFS('Subject-Wise Result'!$E$6:$E$106,"BOY",'Subject-Wise Result'!$F$6:$F$106,"MIN",'Subject-Wise Result'!$O$6:$O$106,"Fail")</f>
        <v>0</v>
      </c>
      <c r="K11" s="67">
        <f>COUNTIFS('Subject-Wise Result'!$E$6:$E$106,"GIRL",'Subject-Wise Result'!$F$6:$F$106,"MIN",'Subject-Wise Result'!$O$6:$O$106,"Fail")</f>
        <v>0</v>
      </c>
      <c r="L11" s="67">
        <f>COUNTIFS('Subject-Wise Result'!$E$6:$E$106,"BOY",'Subject-Wise Result'!$F$6:$F$106,"SBC",'Subject-Wise Result'!$O$6:$O$106,"Fail")</f>
        <v>0</v>
      </c>
      <c r="M11" s="67">
        <f>COUNTIFS('Subject-Wise Result'!$E$6:$E$106,"GIRL",'Subject-Wise Result'!$F$6:$F$106,"SBC",'Subject-Wise Result'!$O$6:$O$106,"Fail")</f>
        <v>0</v>
      </c>
      <c r="N11" s="67">
        <f t="shared" si="0"/>
        <v>1</v>
      </c>
    </row>
    <row r="12" spans="1:14" ht="24.95" customHeight="1" x14ac:dyDescent="0.25">
      <c r="A12" s="70" t="s">
        <v>3534</v>
      </c>
      <c r="B12" s="67">
        <f t="shared" ref="B12:M12" si="2">SUM(B8:B11)</f>
        <v>3</v>
      </c>
      <c r="C12" s="67">
        <f t="shared" si="2"/>
        <v>0</v>
      </c>
      <c r="D12" s="67">
        <f t="shared" si="2"/>
        <v>0</v>
      </c>
      <c r="E12" s="67">
        <f t="shared" si="2"/>
        <v>0</v>
      </c>
      <c r="F12" s="67">
        <f t="shared" si="2"/>
        <v>9</v>
      </c>
      <c r="G12" s="67">
        <f t="shared" si="2"/>
        <v>0</v>
      </c>
      <c r="H12" s="67">
        <f t="shared" si="2"/>
        <v>3</v>
      </c>
      <c r="I12" s="67">
        <f t="shared" si="2"/>
        <v>0</v>
      </c>
      <c r="J12" s="67">
        <f t="shared" si="2"/>
        <v>0</v>
      </c>
      <c r="K12" s="67">
        <f t="shared" si="2"/>
        <v>0</v>
      </c>
      <c r="L12" s="67">
        <f t="shared" si="2"/>
        <v>2</v>
      </c>
      <c r="M12" s="67">
        <f t="shared" si="2"/>
        <v>0</v>
      </c>
      <c r="N12" s="67">
        <f t="shared" si="0"/>
        <v>17</v>
      </c>
    </row>
    <row r="13" spans="1:14" ht="24.95" customHeight="1" x14ac:dyDescent="0.25">
      <c r="A13" s="70" t="s">
        <v>3524</v>
      </c>
      <c r="B13" s="68">
        <f t="shared" ref="B13:N13" si="3">IFERROR(B8/B12,0)</f>
        <v>1</v>
      </c>
      <c r="C13" s="68">
        <f t="shared" si="3"/>
        <v>0</v>
      </c>
      <c r="D13" s="68">
        <f t="shared" si="3"/>
        <v>0</v>
      </c>
      <c r="E13" s="68">
        <f t="shared" si="3"/>
        <v>0</v>
      </c>
      <c r="F13" s="68">
        <f t="shared" si="3"/>
        <v>0.88888888888888884</v>
      </c>
      <c r="G13" s="68">
        <f t="shared" si="3"/>
        <v>0</v>
      </c>
      <c r="H13" s="68">
        <f t="shared" si="3"/>
        <v>0.66666666666666663</v>
      </c>
      <c r="I13" s="68">
        <f t="shared" si="3"/>
        <v>0</v>
      </c>
      <c r="J13" s="68">
        <f t="shared" si="3"/>
        <v>0</v>
      </c>
      <c r="K13" s="68">
        <f t="shared" si="3"/>
        <v>0</v>
      </c>
      <c r="L13" s="68">
        <f t="shared" si="3"/>
        <v>1</v>
      </c>
      <c r="M13" s="68">
        <f t="shared" si="3"/>
        <v>0</v>
      </c>
      <c r="N13" s="68">
        <f t="shared" si="3"/>
        <v>0.88235294117647056</v>
      </c>
    </row>
    <row r="14" spans="1:14" ht="24.95" customHeight="1" x14ac:dyDescent="0.25">
      <c r="A14" s="70" t="s">
        <v>3542</v>
      </c>
      <c r="B14" s="67">
        <f>COUNTIFS('Subject-Wise Result'!$E$6:$E$106,"Boy",'Subject-Wise Result'!$F$6:$F$106,"SC",'Subject-Wise Result'!$O$6:$O$106,"NSO")</f>
        <v>0</v>
      </c>
      <c r="C14" s="67">
        <f>COUNTIFS('Subject-Wise Result'!$E$6:$E$106,"girl",'Subject-Wise Result'!$F$6:$F$106,"SC",'Subject-Wise Result'!$O$6:$O$106,"NSO")</f>
        <v>0</v>
      </c>
      <c r="D14" s="67">
        <f>COUNTIFS('Subject-Wise Result'!$E$6:$E$106,"Boy",'Subject-Wise Result'!$F$6:$F$106,"St",'Subject-Wise Result'!$O$6:$O$106,"NSO")</f>
        <v>0</v>
      </c>
      <c r="E14" s="67">
        <f>COUNTIFS('Subject-Wise Result'!$E$6:$E$106,"Girl",'Subject-Wise Result'!$F$6:$F$106,"St",'Subject-Wise Result'!$O$6:$O$106,"NSO")</f>
        <v>0</v>
      </c>
      <c r="F14" s="67">
        <f>COUNTIFS('Subject-Wise Result'!$E$6:$E$106,"BOY",'Subject-Wise Result'!$F$6:$F$106,"OBC",'Subject-Wise Result'!$O$6:$O$106,"NSO")</f>
        <v>0</v>
      </c>
      <c r="G14" s="67">
        <f>COUNTIFS('Subject-Wise Result'!$E$6:$E$106,"GIRL",'Subject-Wise Result'!$F$6:$F$106,"OBC",'Subject-Wise Result'!$O$6:$O$106,"NSO")</f>
        <v>0</v>
      </c>
      <c r="H14" s="67">
        <f>COUNTIFS('Subject-Wise Result'!$E$6:$E$106,"BOY",'Subject-Wise Result'!$F$6:$F$106,"GEN",'Subject-Wise Result'!$O$6:$O$106,"NSO")</f>
        <v>0</v>
      </c>
      <c r="I14" s="67">
        <f>COUNTIFS('Subject-Wise Result'!$E$6:$E$106,"GIRL",'Subject-Wise Result'!$F$6:$F$106,"GEN",'Subject-Wise Result'!$O$6:$O$106,"NSO")</f>
        <v>0</v>
      </c>
      <c r="J14" s="67">
        <f>COUNTIFS('Subject-Wise Result'!$E$6:$E$106,"BOY",'Subject-Wise Result'!$F$6:$F$106,"MIN",'Subject-Wise Result'!$O$6:$O$106,"NSO")</f>
        <v>0</v>
      </c>
      <c r="K14" s="67">
        <f>COUNTIFS('Subject-Wise Result'!$E$6:$E$106,"GIRL",'Subject-Wise Result'!$F$6:$F$106,"MIN",'Subject-Wise Result'!$O$6:$O$106,"NSO")</f>
        <v>0</v>
      </c>
      <c r="L14" s="67">
        <f>COUNTIFS('Subject-Wise Result'!$E$6:$E$106,"BOY",'Subject-Wise Result'!$F$6:$F$106,"SBC",'Subject-Wise Result'!$O$6:$O$106,"NSO")</f>
        <v>0</v>
      </c>
      <c r="M14" s="67">
        <f>COUNTIFS('Subject-Wise Result'!$E$6:$E$106,"GIRL",'Subject-Wise Result'!$F$6:$F$106,"SBC",'Subject-Wise Result'!$O$6:$O$106,"NSO")</f>
        <v>0</v>
      </c>
      <c r="N14" s="67">
        <f>COUNTIFS('Subject-Wise Result'!$O$6:$O$106,"NSO")</f>
        <v>0</v>
      </c>
    </row>
  </sheetData>
  <sheetProtection password="DB75" sheet="1" objects="1" scenarios="1" formatCells="0" formatColumns="0" formatRows="0"/>
  <mergeCells count="2">
    <mergeCell ref="A1:N1"/>
    <mergeCell ref="A2:N2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&amp;LPrepared By : Ashwini Kr. Sharma&amp;C&amp;P&amp;Rwww.ashwinisharma.com</oddFooter>
  </headerFooter>
  <ignoredErrors>
    <ignoredError sqref="D5 D6:D11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32"/>
  <sheetViews>
    <sheetView view="pageBreakPreview" zoomScaleNormal="100" zoomScaleSheetLayoutView="100" workbookViewId="0">
      <selection activeCell="A19" sqref="A19:B19"/>
    </sheetView>
  </sheetViews>
  <sheetFormatPr defaultRowHeight="20.100000000000001" customHeight="1" x14ac:dyDescent="0.2"/>
  <cols>
    <col min="1" max="1" width="9.140625" style="55"/>
    <col min="2" max="2" width="9.140625" style="55" customWidth="1"/>
    <col min="3" max="13" width="10" style="55" customWidth="1"/>
    <col min="14" max="14" width="1.28515625" style="55" customWidth="1"/>
    <col min="15" max="17" width="10" style="55" customWidth="1"/>
    <col min="18" max="16384" width="9.140625" style="55"/>
  </cols>
  <sheetData>
    <row r="1" spans="1:17" ht="20.100000000000001" customHeight="1" x14ac:dyDescent="0.2">
      <c r="A1" s="309" t="s">
        <v>3603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ht="20.100000000000001" customHeight="1" x14ac:dyDescent="0.2">
      <c r="A2" s="314" t="s">
        <v>3604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ht="20.100000000000001" customHeight="1" x14ac:dyDescent="0.2">
      <c r="A3" s="315" t="str">
        <f>IF('Sch Name'!$A$1="","",'Sch Name'!$A$1)</f>
        <v>Government Senior Secondary School, Deograh (Rajsamand)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6.75" customHeight="1" x14ac:dyDescent="0.2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s="72" customFormat="1" ht="18" customHeight="1" x14ac:dyDescent="0.25">
      <c r="A5" s="114" t="s">
        <v>4</v>
      </c>
      <c r="B5" s="318" t="str">
        <f>IF('Sch Name'!$C$6="","",'Sch Name'!$C$6)</f>
        <v>2021-22</v>
      </c>
      <c r="C5" s="318"/>
      <c r="F5" s="296" t="s">
        <v>3</v>
      </c>
      <c r="G5" s="296"/>
      <c r="H5" s="113">
        <f>IF('11th Data'!$M$2="","",'11th Data'!$M$2)</f>
        <v>11</v>
      </c>
      <c r="J5" s="296" t="s">
        <v>8</v>
      </c>
      <c r="K5" s="296"/>
      <c r="L5" s="113" t="str">
        <f>IF('11th Data'!$N$2="","",'11th Data'!$N$2)</f>
        <v>B</v>
      </c>
      <c r="M5" s="296" t="s">
        <v>3605</v>
      </c>
      <c r="N5" s="296"/>
      <c r="O5" s="296"/>
      <c r="P5" s="317">
        <v>906</v>
      </c>
      <c r="Q5" s="317"/>
    </row>
    <row r="6" spans="1:17" ht="18" customHeight="1" x14ac:dyDescent="0.2">
      <c r="A6" s="319" t="s">
        <v>3606</v>
      </c>
      <c r="B6" s="319"/>
      <c r="C6" s="316" t="str">
        <f>IFERROR(VLOOKUP($P$5,Statement_of_Marks,3,0),"No Data")</f>
        <v>ASHOK SINGH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</row>
    <row r="7" spans="1:17" ht="18" customHeight="1" x14ac:dyDescent="0.2">
      <c r="A7" s="319" t="s">
        <v>3499</v>
      </c>
      <c r="B7" s="319"/>
      <c r="C7" s="316" t="str">
        <f>IFERROR(VLOOKUP($P$5,Statement_of_Marks,4,0),"No Data")</f>
        <v>PRAKASH SINGH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</row>
    <row r="8" spans="1:17" ht="18" customHeight="1" x14ac:dyDescent="0.2">
      <c r="A8" s="319" t="s">
        <v>3500</v>
      </c>
      <c r="B8" s="319"/>
      <c r="C8" s="316" t="str">
        <f>IFERROR(VLOOKUP($P$5,Statement_of_Marks,5,0),"No Data")</f>
        <v>SEETA DEVI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</row>
    <row r="9" spans="1:17" ht="18" customHeight="1" x14ac:dyDescent="0.2">
      <c r="A9" s="325" t="s">
        <v>3607</v>
      </c>
      <c r="B9" s="325"/>
      <c r="C9" s="326">
        <f>IFERROR(VLOOKUP($P$5,Statement_of_Marks,2,0),"No Data")</f>
        <v>13204</v>
      </c>
      <c r="D9" s="326"/>
      <c r="E9" s="326"/>
      <c r="F9" s="146"/>
      <c r="G9" s="146"/>
      <c r="H9" s="72"/>
      <c r="I9" s="310" t="s">
        <v>3627</v>
      </c>
      <c r="J9" s="310"/>
      <c r="K9" s="310"/>
      <c r="L9" s="310"/>
      <c r="M9" s="310"/>
      <c r="N9" s="311">
        <f>IFERROR(VLOOKUP($P$5,Statement_of_Marks,7,0),"No Data")</f>
        <v>38696</v>
      </c>
      <c r="O9" s="311"/>
      <c r="P9" s="311"/>
      <c r="Q9" s="311"/>
    </row>
    <row r="10" spans="1:17" ht="6.75" customHeight="1" x14ac:dyDescent="0.2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</row>
    <row r="11" spans="1:17" s="58" customFormat="1" ht="39.75" customHeight="1" x14ac:dyDescent="0.2">
      <c r="A11" s="73" t="s">
        <v>3608</v>
      </c>
      <c r="B11" s="74" t="s">
        <v>3609</v>
      </c>
      <c r="C11" s="110" t="s">
        <v>3510</v>
      </c>
      <c r="D11" s="110" t="s">
        <v>3511</v>
      </c>
      <c r="E11" s="110" t="s">
        <v>3682</v>
      </c>
      <c r="F11" s="110" t="s">
        <v>3683</v>
      </c>
      <c r="G11" s="110" t="s">
        <v>3687</v>
      </c>
      <c r="H11" s="76" t="s">
        <v>3690</v>
      </c>
      <c r="I11" s="110" t="s">
        <v>3686</v>
      </c>
      <c r="J11" s="110" t="s">
        <v>3688</v>
      </c>
      <c r="K11" s="76" t="s">
        <v>3689</v>
      </c>
      <c r="L11" s="121" t="s">
        <v>3523</v>
      </c>
      <c r="M11" s="110" t="s">
        <v>3626</v>
      </c>
      <c r="N11" s="75"/>
      <c r="O11" s="76" t="s">
        <v>3612</v>
      </c>
      <c r="P11" s="76" t="s">
        <v>3613</v>
      </c>
      <c r="Q11" s="76" t="s">
        <v>3614</v>
      </c>
    </row>
    <row r="12" spans="1:17" ht="14.25" x14ac:dyDescent="0.2">
      <c r="A12" s="327" t="s">
        <v>3611</v>
      </c>
      <c r="B12" s="328"/>
      <c r="C12" s="123">
        <v>20</v>
      </c>
      <c r="D12" s="123">
        <v>20</v>
      </c>
      <c r="E12" s="123" t="s">
        <v>3684</v>
      </c>
      <c r="F12" s="123" t="s">
        <v>3685</v>
      </c>
      <c r="G12" s="123">
        <v>60</v>
      </c>
      <c r="H12" s="123">
        <v>100</v>
      </c>
      <c r="I12" s="123" t="s">
        <v>3697</v>
      </c>
      <c r="J12" s="123" t="s">
        <v>3698</v>
      </c>
      <c r="K12" s="123">
        <v>100</v>
      </c>
      <c r="L12" s="124">
        <v>200</v>
      </c>
      <c r="M12" s="123"/>
      <c r="N12" s="125"/>
      <c r="O12" s="126" t="str">
        <f>IF($P$19=0,"",100)</f>
        <v/>
      </c>
      <c r="P12" s="123"/>
      <c r="Q12" s="126" t="str">
        <f>IF(P19="","","200/100")</f>
        <v>200/100</v>
      </c>
    </row>
    <row r="13" spans="1:17" ht="21.95" customHeight="1" x14ac:dyDescent="0.2">
      <c r="A13" s="329" t="str">
        <f>'Marks Entry'!K4</f>
        <v>HINDI Comp.</v>
      </c>
      <c r="B13" s="330"/>
      <c r="C13" s="82">
        <f>IFERROR(VLOOKUP($P$5,Statement_of_Marks,9,0),"")</f>
        <v>10</v>
      </c>
      <c r="D13" s="82">
        <f>IFERROR(VLOOKUP($P$5,Statement_of_Marks,10,0),"")</f>
        <v>10</v>
      </c>
      <c r="E13" s="82">
        <f>IFERROR(VLOOKUP($P$5,Statement_of_Marks,11,0),"")</f>
        <v>40</v>
      </c>
      <c r="F13" s="78">
        <v>0</v>
      </c>
      <c r="G13" s="82">
        <f>SUM(E13:F13)</f>
        <v>40</v>
      </c>
      <c r="H13" s="82">
        <f>SUM(C13:D13,G13)</f>
        <v>60</v>
      </c>
      <c r="I13" s="82">
        <f>IFERROR(VLOOKUP($P$5,Statement_of_Marks,12,0),"")</f>
        <v>47</v>
      </c>
      <c r="J13" s="78">
        <v>0</v>
      </c>
      <c r="K13" s="82">
        <f>SUM(I13:J13)</f>
        <v>47</v>
      </c>
      <c r="L13" s="112">
        <f>SUM(H13,K13)</f>
        <v>107</v>
      </c>
      <c r="M13" s="82" t="str">
        <f>IFERROR(CONCATENATE(VLOOKUP($P$5,Statement_of_Marks,107,0),VLOOKUP($P$5,Statement_of_Marks,108,0)),"")</f>
        <v>II</v>
      </c>
      <c r="N13" s="79"/>
      <c r="O13" s="82">
        <f>IFERROR(VLOOKUP($P$5,supp_result,6,0),"")</f>
        <v>0</v>
      </c>
      <c r="P13" s="82" t="str">
        <f>IFERROR(VLOOKUP($P$5,supp_result,14,0),"")</f>
        <v/>
      </c>
      <c r="Q13" s="82" t="str">
        <f>IF($P$19=0,"",IF(M13="S",O13,IF(O13="",L13,L13+O13)))</f>
        <v/>
      </c>
    </row>
    <row r="14" spans="1:17" ht="21.95" customHeight="1" x14ac:dyDescent="0.2">
      <c r="A14" s="329" t="str">
        <f>'Marks Entry'!R4</f>
        <v>ENGLISH Comp.</v>
      </c>
      <c r="B14" s="330"/>
      <c r="C14" s="82">
        <f>IFERROR(VLOOKUP($P$5,Statement_of_Marks,16,0),"")</f>
        <v>15</v>
      </c>
      <c r="D14" s="82">
        <f>IFERROR(VLOOKUP($P$5,Statement_of_Marks,17,0),"")</f>
        <v>15</v>
      </c>
      <c r="E14" s="82">
        <f>IFERROR(VLOOKUP($P$5,Statement_of_Marks,18,0),"")</f>
        <v>40</v>
      </c>
      <c r="F14" s="78">
        <v>0</v>
      </c>
      <c r="G14" s="82">
        <f t="shared" ref="G14:G17" si="0">SUM(E14:F14)</f>
        <v>40</v>
      </c>
      <c r="H14" s="82">
        <f t="shared" ref="H14:H17" si="1">SUM(C14:D14,G14)</f>
        <v>70</v>
      </c>
      <c r="I14" s="82">
        <f>IFERROR(VLOOKUP($P$5,Statement_of_Marks,19,0),"")</f>
        <v>38</v>
      </c>
      <c r="J14" s="78">
        <v>0</v>
      </c>
      <c r="K14" s="82">
        <f t="shared" ref="K14:K17" si="2">SUM(I14:J14)</f>
        <v>38</v>
      </c>
      <c r="L14" s="112">
        <f t="shared" ref="L14:L17" si="3">SUM(H14,K14)</f>
        <v>108</v>
      </c>
      <c r="M14" s="82" t="str">
        <f>IFERROR(CONCATENATE(VLOOKUP($P$5,Statement_of_Marks,109,0),VLOOKUP($P$5,Statement_of_Marks,110,0)),"")</f>
        <v>II</v>
      </c>
      <c r="N14" s="79"/>
      <c r="O14" s="82">
        <f>IFERROR(VLOOKUP($P$5,supp_result,7,0),"")</f>
        <v>0</v>
      </c>
      <c r="P14" s="82" t="str">
        <f>IFERROR(VLOOKUP($P$5,supp_result,15,0),"")</f>
        <v/>
      </c>
      <c r="Q14" s="82" t="str">
        <f>IF($P$19=0,"",IF(M14="S",O14,IF(O14="",L14,L14+O14)))</f>
        <v/>
      </c>
    </row>
    <row r="15" spans="1:17" ht="21.95" customHeight="1" x14ac:dyDescent="0.2">
      <c r="A15" s="329" t="str">
        <f>VLOOKUP($P$5,Statement_of_Marks,23,0)</f>
        <v>History</v>
      </c>
      <c r="B15" s="330"/>
      <c r="C15" s="82">
        <f>IFERROR(VLOOKUP($P$5,Statement_of_Marks,24,0),"")</f>
        <v>15</v>
      </c>
      <c r="D15" s="82">
        <f>IFERROR(VLOOKUP($P$5,Statement_of_Marks,25,0),"")</f>
        <v>15</v>
      </c>
      <c r="E15" s="82">
        <f>IFERROR(VLOOKUP($P$5,Statement_of_Marks,26,0),"")</f>
        <v>40</v>
      </c>
      <c r="F15" s="82" t="str">
        <f>IFERROR(VLOOKUP($P$5,Statement_of_Marks,27,0),"")</f>
        <v/>
      </c>
      <c r="G15" s="82">
        <f t="shared" si="0"/>
        <v>40</v>
      </c>
      <c r="H15" s="82">
        <f t="shared" si="1"/>
        <v>70</v>
      </c>
      <c r="I15" s="82">
        <f>IFERROR(VLOOKUP($P$5,Statement_of_Marks,29,0),"")</f>
        <v>71</v>
      </c>
      <c r="J15" s="82" t="str">
        <f>IFERROR(VLOOKUP($P$5,Statement_of_Marks,30,0),"")</f>
        <v/>
      </c>
      <c r="K15" s="82">
        <f t="shared" si="2"/>
        <v>71</v>
      </c>
      <c r="L15" s="112">
        <f t="shared" si="3"/>
        <v>141</v>
      </c>
      <c r="M15" s="82" t="str">
        <f>IFERROR(CONCATENATE(VLOOKUP($P$5,Statement_of_Marks,111,0),VLOOKUP($P$5,Statement_of_Marks,112,0)),"")</f>
        <v>I</v>
      </c>
      <c r="N15" s="79"/>
      <c r="O15" s="82">
        <f>IFERROR(VLOOKUP($P$5,supp_result,8,0),"")</f>
        <v>0</v>
      </c>
      <c r="P15" s="82" t="str">
        <f>IFERROR(VLOOKUP($P$5,supp_result,16,0),"")</f>
        <v/>
      </c>
      <c r="Q15" s="82" t="str">
        <f>IF($P$19=0,"",IF(M15="S",O15,IF(O15="",L15,L15+O15)))</f>
        <v/>
      </c>
    </row>
    <row r="16" spans="1:17" ht="21.95" customHeight="1" x14ac:dyDescent="0.2">
      <c r="A16" s="329" t="str">
        <f>VLOOKUP($P$5,Statement_of_Marks,35,0)</f>
        <v>Political Science</v>
      </c>
      <c r="B16" s="330"/>
      <c r="C16" s="82">
        <f>IFERROR(VLOOKUP($P$5,Statement_of_Marks,36,0),"")</f>
        <v>15</v>
      </c>
      <c r="D16" s="82">
        <f>IFERROR(VLOOKUP($P$5,Statement_of_Marks,37,0),"")</f>
        <v>15</v>
      </c>
      <c r="E16" s="82">
        <f>IFERROR(VLOOKUP($P$5,Statement_of_Marks,38,0),"")</f>
        <v>40</v>
      </c>
      <c r="F16" s="82" t="str">
        <f>IFERROR(VLOOKUP($P$5,Statement_of_Marks,39,0),"")</f>
        <v/>
      </c>
      <c r="G16" s="82">
        <f t="shared" si="0"/>
        <v>40</v>
      </c>
      <c r="H16" s="82">
        <f t="shared" si="1"/>
        <v>70</v>
      </c>
      <c r="I16" s="82">
        <f>IFERROR(VLOOKUP($P$5,Statement_of_Marks,41,0),"")</f>
        <v>75</v>
      </c>
      <c r="J16" s="82" t="str">
        <f>IFERROR(VLOOKUP($P$5,Statement_of_Marks,42,0),"")</f>
        <v/>
      </c>
      <c r="K16" s="82">
        <f t="shared" si="2"/>
        <v>75</v>
      </c>
      <c r="L16" s="112">
        <f t="shared" si="3"/>
        <v>145</v>
      </c>
      <c r="M16" s="82" t="str">
        <f>IFERROR(CONCATENATE(VLOOKUP($P$5,Statement_of_Marks,113,0),VLOOKUP($P$5,Statement_of_Marks,114,0)),"")</f>
        <v>I</v>
      </c>
      <c r="N16" s="79"/>
      <c r="O16" s="82">
        <f>IFERROR(VLOOKUP($P$5,supp_result,9,0),"")</f>
        <v>0</v>
      </c>
      <c r="P16" s="82" t="str">
        <f>IFERROR(VLOOKUP($P$5,supp_result,17,0),"")</f>
        <v/>
      </c>
      <c r="Q16" s="82" t="str">
        <f>IF($P$19=0,"",IF(M16="S",O16,IF(O16="",L16,L16+O16)))</f>
        <v/>
      </c>
    </row>
    <row r="17" spans="1:17" ht="21.95" customHeight="1" x14ac:dyDescent="0.2">
      <c r="A17" s="329" t="str">
        <f>VLOOKUP($P$5,Statement_of_Marks,47,0)</f>
        <v>Geography</v>
      </c>
      <c r="B17" s="330"/>
      <c r="C17" s="82">
        <f>IFERROR(VLOOKUP($P$5,Statement_of_Marks,48,0),"")</f>
        <v>15</v>
      </c>
      <c r="D17" s="82">
        <f>IFERROR(VLOOKUP($P$5,Statement_of_Marks,49,0),"")</f>
        <v>15</v>
      </c>
      <c r="E17" s="82">
        <f>IFERROR(VLOOKUP($P$5,Statement_of_Marks,50,0),"")</f>
        <v>23</v>
      </c>
      <c r="F17" s="82">
        <f>IFERROR(VLOOKUP($P$5,Statement_of_Marks,51,0),"")</f>
        <v>10</v>
      </c>
      <c r="G17" s="82">
        <f t="shared" si="0"/>
        <v>33</v>
      </c>
      <c r="H17" s="82">
        <f t="shared" si="1"/>
        <v>63</v>
      </c>
      <c r="I17" s="82">
        <f>IFERROR(VLOOKUP($P$5,Statement_of_Marks,53,0),"")</f>
        <v>41</v>
      </c>
      <c r="J17" s="82">
        <f>IFERROR(VLOOKUP($P$5,Statement_of_Marks,54,0),"")</f>
        <v>12</v>
      </c>
      <c r="K17" s="82">
        <f t="shared" si="2"/>
        <v>53</v>
      </c>
      <c r="L17" s="112">
        <f t="shared" si="3"/>
        <v>116</v>
      </c>
      <c r="M17" s="82" t="str">
        <f>IFERROR(CONCATENATE(VLOOKUP($P$5,Statement_of_Marks,115,0),VLOOKUP($P$5,Statement_of_Marks,116,0)),"")</f>
        <v>II</v>
      </c>
      <c r="N17" s="79"/>
      <c r="O17" s="82">
        <f>IFERROR(VLOOKUP($P$5,supp_result,10,0),"")</f>
        <v>0</v>
      </c>
      <c r="P17" s="82" t="str">
        <f>IFERROR(VLOOKUP($P$5,supp_result,18,0),"")</f>
        <v/>
      </c>
      <c r="Q17" s="82" t="str">
        <f>IF($P$19=0,"",IF(M17="S",O17,IF(O17="",L17,L17+O17)))</f>
        <v/>
      </c>
    </row>
    <row r="18" spans="1:17" ht="21.95" customHeight="1" x14ac:dyDescent="0.2">
      <c r="A18" s="312" t="s">
        <v>3615</v>
      </c>
      <c r="B18" s="313"/>
      <c r="C18" s="127">
        <f>SUM(C13:C17)</f>
        <v>70</v>
      </c>
      <c r="D18" s="127">
        <f t="shared" ref="D18:L18" si="4">SUM(D13:D17)</f>
        <v>70</v>
      </c>
      <c r="E18" s="127">
        <f t="shared" si="4"/>
        <v>183</v>
      </c>
      <c r="F18" s="127">
        <f t="shared" si="4"/>
        <v>10</v>
      </c>
      <c r="G18" s="127">
        <f t="shared" si="4"/>
        <v>193</v>
      </c>
      <c r="H18" s="127">
        <f t="shared" si="4"/>
        <v>333</v>
      </c>
      <c r="I18" s="127">
        <f t="shared" si="4"/>
        <v>272</v>
      </c>
      <c r="J18" s="127">
        <f t="shared" si="4"/>
        <v>12</v>
      </c>
      <c r="K18" s="127">
        <f t="shared" si="4"/>
        <v>284</v>
      </c>
      <c r="L18" s="127">
        <f t="shared" si="4"/>
        <v>617</v>
      </c>
      <c r="M18" s="117" t="str">
        <f>IF(AND($Q$22="Pass",Q20&gt;=60),"1st",IF(AND($Q$22="Pass",Q20&gt;=48),"2nd",IF(AND($Q$22="Pass",Q20&gt;=36),"3rd","")))</f>
        <v/>
      </c>
      <c r="N18" s="79"/>
      <c r="O18" s="80"/>
      <c r="P18" s="80"/>
      <c r="Q18" s="82">
        <f>IF(O19&gt;0,"",IF(P19="","",SUM(Q13:Q17)))</f>
        <v>0</v>
      </c>
    </row>
    <row r="19" spans="1:17" ht="21.95" customHeight="1" x14ac:dyDescent="0.2">
      <c r="A19" s="312" t="s">
        <v>3616</v>
      </c>
      <c r="B19" s="313"/>
      <c r="C19" s="78">
        <v>100</v>
      </c>
      <c r="D19" s="78">
        <v>100</v>
      </c>
      <c r="E19" s="82">
        <f>SUM('Marks Entry'!M8:N8,'Marks Entry'!T8:U8,'Marks Entry'!AB8:AC8,'Marks Entry'!AL8:AM8,'Marks Entry'!AV8:AW8)</f>
        <v>286</v>
      </c>
      <c r="F19" s="82">
        <f>SUM('Marks Entry'!AD8,'Marks Entry'!AN8,'Marks Entry'!AX8)</f>
        <v>14</v>
      </c>
      <c r="G19" s="82">
        <f>SUM(E19:F19)</f>
        <v>300</v>
      </c>
      <c r="H19" s="82">
        <f>SUM(C19:D19,G19)</f>
        <v>500</v>
      </c>
      <c r="I19" s="82">
        <f>SUM('Marks Entry'!O8:P8,'Marks Entry'!V8:W8,'Marks Entry'!AE8:AF8,'Marks Entry'!AO8:AP8,'Marks Entry'!AY8:AZ8)</f>
        <v>470</v>
      </c>
      <c r="J19" s="82">
        <f>SUM('Marks Entry'!AG8,'Marks Entry'!AQ8,'Marks Entry'!BA8)</f>
        <v>30</v>
      </c>
      <c r="K19" s="82">
        <f>SUM(I19:J19)</f>
        <v>500</v>
      </c>
      <c r="L19" s="112">
        <f>SUM(H19,K19)</f>
        <v>1000</v>
      </c>
      <c r="M19" s="117" t="str">
        <f>IF(AND($Q$22="Pass",L20&gt;=60),"1st",IF(AND($Q$22="Pass",L20&gt;=48),"2nd",IF(AND($Q$22="Pass",L20&gt;=36),"3rd","")))</f>
        <v/>
      </c>
      <c r="N19" s="79"/>
      <c r="O19" s="117">
        <f>COUNTIF(O13:O17,"AB")</f>
        <v>0</v>
      </c>
      <c r="P19" s="117">
        <f>COUNTIF($P$13:$P$18,"P")+COUNTIF($P$13:$P$18,"F")</f>
        <v>0</v>
      </c>
      <c r="Q19" s="82" t="str">
        <f>IF(O19&gt;0,"",IF(P19=0,"",1000-P20*100))</f>
        <v/>
      </c>
    </row>
    <row r="20" spans="1:17" ht="21.95" customHeight="1" x14ac:dyDescent="0.2">
      <c r="A20" s="312" t="s">
        <v>3524</v>
      </c>
      <c r="B20" s="313"/>
      <c r="C20" s="84">
        <f>C18/C19*100</f>
        <v>70</v>
      </c>
      <c r="D20" s="84">
        <f t="shared" ref="D20:L20" si="5">D18/D19*100</f>
        <v>70</v>
      </c>
      <c r="E20" s="84">
        <f t="shared" si="5"/>
        <v>63.986013986013987</v>
      </c>
      <c r="F20" s="84">
        <f t="shared" si="5"/>
        <v>71.428571428571431</v>
      </c>
      <c r="G20" s="84">
        <f t="shared" si="5"/>
        <v>64.333333333333329</v>
      </c>
      <c r="H20" s="84">
        <f t="shared" si="5"/>
        <v>66.600000000000009</v>
      </c>
      <c r="I20" s="84">
        <f t="shared" si="5"/>
        <v>57.87234042553191</v>
      </c>
      <c r="J20" s="84">
        <f t="shared" si="5"/>
        <v>40</v>
      </c>
      <c r="K20" s="84">
        <f t="shared" si="5"/>
        <v>56.8</v>
      </c>
      <c r="L20" s="84">
        <f t="shared" si="5"/>
        <v>61.7</v>
      </c>
      <c r="M20" s="117" t="str">
        <f>IF(Q19="",M19,M18)</f>
        <v/>
      </c>
      <c r="N20" s="79"/>
      <c r="O20" s="80"/>
      <c r="P20" s="117">
        <f>COUNTIF($M$13:$M$17,"S")</f>
        <v>0</v>
      </c>
      <c r="Q20" s="83" t="str">
        <f>IFERROR(Q18/Q19*100,"")</f>
        <v/>
      </c>
    </row>
    <row r="21" spans="1:17" ht="6.75" customHeight="1" x14ac:dyDescent="0.2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</row>
    <row r="22" spans="1:17" ht="20.100000000000001" customHeight="1" x14ac:dyDescent="0.2">
      <c r="A22" s="298" t="s">
        <v>3625</v>
      </c>
      <c r="B22" s="298"/>
      <c r="C22" s="303" t="str">
        <f>'Marks Entry'!BC4</f>
        <v>Jeewan Kaushal</v>
      </c>
      <c r="D22" s="303"/>
      <c r="E22" s="303"/>
      <c r="F22" s="305" t="str">
        <f>'Marks Entry'!BJ4</f>
        <v>Swarnim Bharat</v>
      </c>
      <c r="G22" s="306"/>
      <c r="H22" s="303" t="str">
        <f>'Marks Entry'!BQ4</f>
        <v>other2</v>
      </c>
      <c r="I22" s="303"/>
      <c r="K22" s="301" t="s">
        <v>3521</v>
      </c>
      <c r="L22" s="301"/>
      <c r="M22" s="301"/>
      <c r="N22" s="122"/>
      <c r="O22" s="300" t="s">
        <v>3613</v>
      </c>
      <c r="P22" s="300"/>
      <c r="Q22" s="295" t="str">
        <f>IFERROR(VLOOKUP($P$5,supp_result,24,0),"")</f>
        <v/>
      </c>
    </row>
    <row r="23" spans="1:17" ht="20.100000000000001" customHeight="1" x14ac:dyDescent="0.25">
      <c r="A23" s="301" t="s">
        <v>3617</v>
      </c>
      <c r="B23" s="301"/>
      <c r="C23" s="304">
        <f>IFERROR(VLOOKUP($P$5,Statement_of_Marks,70,0),"")</f>
        <v>137</v>
      </c>
      <c r="D23" s="304"/>
      <c r="E23" s="304"/>
      <c r="F23" s="307">
        <f>IFERROR(VLOOKUP($P$5,Statement_of_Marks,77,0),"")</f>
        <v>137</v>
      </c>
      <c r="G23" s="308"/>
      <c r="H23" s="304" t="str">
        <f>IFERROR(VLOOKUP($P$5,Statement_of_Marks,84,0),"")</f>
        <v/>
      </c>
      <c r="I23" s="304"/>
      <c r="J23" s="35"/>
      <c r="K23" s="302" t="s">
        <v>3618</v>
      </c>
      <c r="L23" s="302"/>
      <c r="M23" s="116">
        <f>IFERROR(VLOOKUP($P$5,Statement_of_Marks,64,0),"")</f>
        <v>400</v>
      </c>
      <c r="O23" s="300"/>
      <c r="P23" s="300"/>
      <c r="Q23" s="295"/>
    </row>
    <row r="24" spans="1:17" s="57" customFormat="1" ht="20.100000000000001" customHeight="1" x14ac:dyDescent="0.25">
      <c r="A24" s="301" t="s">
        <v>3569</v>
      </c>
      <c r="B24" s="301"/>
      <c r="C24" s="304" t="str">
        <f>IFERROR(VLOOKUP($P$5,Statement_of_Marks,72,0),"")</f>
        <v>B</v>
      </c>
      <c r="D24" s="304"/>
      <c r="E24" s="304"/>
      <c r="F24" s="307" t="str">
        <f>IFERROR(VLOOKUP($P$5,Statement_of_Marks,79,0),"")</f>
        <v>B</v>
      </c>
      <c r="G24" s="308"/>
      <c r="H24" s="304" t="str">
        <f>IFERROR(VLOOKUP($P$5,Statement_of_Marks,86,0),"")</f>
        <v/>
      </c>
      <c r="I24" s="304"/>
      <c r="J24" s="35"/>
      <c r="K24" s="302" t="s">
        <v>3619</v>
      </c>
      <c r="L24" s="302"/>
      <c r="M24" s="116">
        <f>IFERROR(VLOOKUP($P$5,Statement_of_Marks,65,0),"")</f>
        <v>300</v>
      </c>
      <c r="O24" s="300" t="s">
        <v>3525</v>
      </c>
      <c r="P24" s="300"/>
      <c r="Q24" s="85" t="str">
        <f>M20</f>
        <v/>
      </c>
    </row>
    <row r="25" spans="1:17" ht="9.9499999999999993" customHeight="1" x14ac:dyDescent="0.2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</row>
    <row r="26" spans="1:17" ht="25.5" customHeight="1" x14ac:dyDescent="0.2">
      <c r="A26" s="111" t="s">
        <v>3522</v>
      </c>
      <c r="B26" s="299" t="str">
        <f>IFERROR(VLOOKUP($P$5,Statement_of_Marks,61,0),"")</f>
        <v>PASS</v>
      </c>
      <c r="C26" s="299"/>
      <c r="D26" s="299"/>
      <c r="E26" s="298" t="s">
        <v>3524</v>
      </c>
      <c r="F26" s="298"/>
      <c r="G26" s="115">
        <f>IFERROR(VLOOKUP($P$5,Statement_of_Marks,60,0),"")</f>
        <v>0.61699999999999999</v>
      </c>
      <c r="H26" s="298" t="s">
        <v>3525</v>
      </c>
      <c r="I26" s="298"/>
      <c r="J26" s="116" t="str">
        <f>IFERROR(VLOOKUP($P$5,Statement_of_Marks,62,0),"")</f>
        <v>1st</v>
      </c>
      <c r="K26" s="298" t="s">
        <v>3526</v>
      </c>
      <c r="L26" s="298"/>
      <c r="M26" s="116">
        <f>IFERROR(VLOOKUP($P$5,Statement_of_Marks,63,0),"")</f>
        <v>2.0000000000000018</v>
      </c>
      <c r="O26" s="331" t="s">
        <v>3524</v>
      </c>
      <c r="P26" s="331"/>
      <c r="Q26" s="86" t="str">
        <f>IFERROR(IF(Q20="","",Q20)/100,"")</f>
        <v/>
      </c>
    </row>
    <row r="27" spans="1:17" ht="9.9499999999999993" customHeight="1" x14ac:dyDescent="0.2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</row>
    <row r="28" spans="1:17" ht="30" customHeight="1" x14ac:dyDescent="0.2">
      <c r="A28" s="321" t="s">
        <v>3621</v>
      </c>
      <c r="B28" s="321"/>
      <c r="C28" s="321"/>
      <c r="D28" s="321"/>
      <c r="E28" s="322"/>
      <c r="F28" s="322"/>
      <c r="G28" s="322"/>
      <c r="H28" s="322"/>
      <c r="I28" s="322"/>
      <c r="J28" s="322"/>
      <c r="K28" s="322"/>
      <c r="L28" s="322"/>
      <c r="M28" s="322"/>
      <c r="O28" s="320" t="s">
        <v>3624</v>
      </c>
      <c r="P28" s="320"/>
      <c r="Q28" s="320"/>
    </row>
    <row r="29" spans="1:17" ht="30" customHeight="1" x14ac:dyDescent="0.2">
      <c r="A29" s="321" t="s">
        <v>3620</v>
      </c>
      <c r="B29" s="321"/>
      <c r="C29" s="321"/>
      <c r="D29" s="321"/>
      <c r="E29" s="322"/>
      <c r="F29" s="322"/>
      <c r="G29" s="322"/>
      <c r="H29" s="322"/>
      <c r="I29" s="322"/>
      <c r="J29" s="322"/>
      <c r="K29" s="322"/>
      <c r="L29" s="322"/>
      <c r="M29" s="322"/>
      <c r="O29" s="239"/>
      <c r="P29" s="239"/>
      <c r="Q29" s="239"/>
    </row>
    <row r="30" spans="1:17" ht="30" customHeight="1" x14ac:dyDescent="0.2">
      <c r="A30" s="321" t="s">
        <v>3622</v>
      </c>
      <c r="B30" s="321"/>
      <c r="C30" s="321"/>
      <c r="D30" s="321"/>
      <c r="E30" s="322"/>
      <c r="F30" s="322"/>
      <c r="G30" s="322"/>
      <c r="H30" s="322"/>
      <c r="I30" s="322"/>
      <c r="J30" s="322"/>
      <c r="K30" s="322"/>
      <c r="L30" s="322"/>
      <c r="M30" s="322"/>
      <c r="O30" s="239"/>
      <c r="P30" s="239"/>
      <c r="Q30" s="239"/>
    </row>
    <row r="31" spans="1:17" ht="30" customHeight="1" x14ac:dyDescent="0.2">
      <c r="A31" s="321" t="s">
        <v>3623</v>
      </c>
      <c r="B31" s="321"/>
      <c r="C31" s="321"/>
      <c r="D31" s="321"/>
      <c r="E31" s="322"/>
      <c r="F31" s="322"/>
      <c r="G31" s="322"/>
      <c r="H31" s="322"/>
      <c r="I31" s="322"/>
      <c r="J31" s="322"/>
      <c r="K31" s="322"/>
      <c r="L31" s="322"/>
      <c r="M31" s="322"/>
      <c r="O31" s="239"/>
      <c r="P31" s="239"/>
      <c r="Q31" s="239"/>
    </row>
    <row r="32" spans="1:17" ht="30" customHeight="1" x14ac:dyDescent="0.2">
      <c r="A32" s="321" t="s">
        <v>5</v>
      </c>
      <c r="B32" s="321"/>
      <c r="C32" s="321"/>
      <c r="D32" s="321"/>
      <c r="E32" s="323">
        <f>'Sch Name'!C7</f>
        <v>44697</v>
      </c>
      <c r="F32" s="323"/>
      <c r="G32" s="323"/>
      <c r="H32" s="324"/>
      <c r="I32" s="324"/>
      <c r="J32" s="324"/>
      <c r="K32" s="324"/>
      <c r="L32" s="324"/>
      <c r="M32" s="324"/>
      <c r="O32" s="239"/>
      <c r="P32" s="239"/>
      <c r="Q32" s="239"/>
    </row>
  </sheetData>
  <sheetProtection password="DB75" sheet="1" objects="1" scenarios="1" formatCells="0" formatColumns="0" formatRows="0"/>
  <mergeCells count="67">
    <mergeCell ref="A4:Q4"/>
    <mergeCell ref="O28:Q28"/>
    <mergeCell ref="O29:Q32"/>
    <mergeCell ref="A32:D32"/>
    <mergeCell ref="E28:M28"/>
    <mergeCell ref="E29:M29"/>
    <mergeCell ref="E30:M30"/>
    <mergeCell ref="E31:M31"/>
    <mergeCell ref="E32:M32"/>
    <mergeCell ref="A31:D31"/>
    <mergeCell ref="A28:D28"/>
    <mergeCell ref="A29:D29"/>
    <mergeCell ref="A30:D30"/>
    <mergeCell ref="A9:B9"/>
    <mergeCell ref="C9:E9"/>
    <mergeCell ref="A12:B12"/>
    <mergeCell ref="A1:Q1"/>
    <mergeCell ref="A24:B24"/>
    <mergeCell ref="A23:B23"/>
    <mergeCell ref="I9:M9"/>
    <mergeCell ref="N9:Q9"/>
    <mergeCell ref="A22:B22"/>
    <mergeCell ref="A19:B19"/>
    <mergeCell ref="A20:B20"/>
    <mergeCell ref="A2:Q2"/>
    <mergeCell ref="A3:Q3"/>
    <mergeCell ref="C6:Q6"/>
    <mergeCell ref="C7:Q7"/>
    <mergeCell ref="C8:Q8"/>
    <mergeCell ref="P5:Q5"/>
    <mergeCell ref="B5:C5"/>
    <mergeCell ref="F5:G5"/>
    <mergeCell ref="A27:Q27"/>
    <mergeCell ref="C22:E22"/>
    <mergeCell ref="C23:E23"/>
    <mergeCell ref="C24:E24"/>
    <mergeCell ref="F22:G22"/>
    <mergeCell ref="F23:G23"/>
    <mergeCell ref="F24:G24"/>
    <mergeCell ref="H22:I22"/>
    <mergeCell ref="H23:I23"/>
    <mergeCell ref="H24:I24"/>
    <mergeCell ref="O26:P26"/>
    <mergeCell ref="O24:P24"/>
    <mergeCell ref="E26:F26"/>
    <mergeCell ref="K26:L26"/>
    <mergeCell ref="B26:D26"/>
    <mergeCell ref="H26:I26"/>
    <mergeCell ref="O22:P23"/>
    <mergeCell ref="A25:Q25"/>
    <mergeCell ref="K22:M22"/>
    <mergeCell ref="K23:L23"/>
    <mergeCell ref="K24:L24"/>
    <mergeCell ref="Q22:Q23"/>
    <mergeCell ref="J5:K5"/>
    <mergeCell ref="M5:O5"/>
    <mergeCell ref="A10:Q10"/>
    <mergeCell ref="A21:Q21"/>
    <mergeCell ref="A6:B6"/>
    <mergeCell ref="A7:B7"/>
    <mergeCell ref="A8:B8"/>
    <mergeCell ref="A13:B13"/>
    <mergeCell ref="A14:B14"/>
    <mergeCell ref="A15:B15"/>
    <mergeCell ref="A16:B16"/>
    <mergeCell ref="A17:B17"/>
    <mergeCell ref="A18:B18"/>
  </mergeCells>
  <conditionalFormatting sqref="O13:O17">
    <cfRule type="cellIs" dxfId="2" priority="3" operator="equal">
      <formula>0</formula>
    </cfRule>
  </conditionalFormatting>
  <conditionalFormatting sqref="F13:F17">
    <cfRule type="cellIs" dxfId="1" priority="2" operator="equal">
      <formula>0</formula>
    </cfRule>
  </conditionalFormatting>
  <conditionalFormatting sqref="Q18">
    <cfRule type="cellIs" dxfId="0" priority="1" operator="equal">
      <formula>0</formula>
    </cfRule>
  </conditionalFormatting>
  <dataValidations count="1">
    <dataValidation type="list" allowBlank="1" showInputMessage="1" showErrorMessage="1" sqref="P5:Q5">
      <formula1>Roll_No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83" orientation="landscape" r:id="rId1"/>
  <headerFooter>
    <oddFooter>&amp;LPrepared By : Ashwini Kumar&amp;Rwww.ashwinisharma.com</oddFooter>
  </headerFooter>
  <ignoredErrors>
    <ignoredError sqref="G18:H18 K18:L18" formula="1"/>
    <ignoredError sqref="E19 I19" formulaRange="1"/>
    <ignoredError sqref="L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37" sqref="G37"/>
    </sheetView>
  </sheetViews>
  <sheetFormatPr defaultRowHeight="15" x14ac:dyDescent="0.25"/>
  <cols>
    <col min="1" max="1" width="50" bestFit="1" customWidth="1"/>
  </cols>
  <sheetData>
    <row r="1" spans="1:8" s="14" customFormat="1" ht="18.75" customHeight="1" x14ac:dyDescent="0.25">
      <c r="A1" s="160" t="s">
        <v>3675</v>
      </c>
      <c r="B1" s="159" t="s">
        <v>3670</v>
      </c>
      <c r="C1" s="159"/>
      <c r="D1" s="159"/>
      <c r="E1" s="159" t="s">
        <v>3671</v>
      </c>
      <c r="F1" s="159"/>
      <c r="G1" s="159"/>
    </row>
    <row r="2" spans="1:8" s="14" customFormat="1" ht="45" x14ac:dyDescent="0.25">
      <c r="A2" s="160"/>
      <c r="B2" s="93" t="s">
        <v>3672</v>
      </c>
      <c r="C2" s="93" t="s">
        <v>3673</v>
      </c>
      <c r="D2" s="93" t="s">
        <v>3674</v>
      </c>
      <c r="E2" s="93" t="s">
        <v>3672</v>
      </c>
      <c r="F2" s="93" t="s">
        <v>3673</v>
      </c>
      <c r="G2" s="93" t="s">
        <v>3674</v>
      </c>
    </row>
    <row r="3" spans="1:8" x14ac:dyDescent="0.25">
      <c r="A3" s="8" t="s">
        <v>3636</v>
      </c>
      <c r="B3" s="8">
        <v>48</v>
      </c>
      <c r="C3" s="8">
        <v>12</v>
      </c>
      <c r="D3" s="8">
        <v>0</v>
      </c>
      <c r="E3" s="8">
        <v>80</v>
      </c>
      <c r="F3" s="8">
        <v>20</v>
      </c>
      <c r="G3" s="8">
        <v>0</v>
      </c>
    </row>
    <row r="4" spans="1:8" x14ac:dyDescent="0.25">
      <c r="A4" s="8" t="s">
        <v>3639</v>
      </c>
      <c r="B4" s="8">
        <v>48</v>
      </c>
      <c r="C4" s="8">
        <v>12</v>
      </c>
      <c r="D4" s="8">
        <v>0</v>
      </c>
      <c r="E4" s="8">
        <v>80</v>
      </c>
      <c r="F4" s="8">
        <v>20</v>
      </c>
      <c r="G4" s="8">
        <v>0</v>
      </c>
      <c r="H4" s="15"/>
    </row>
    <row r="5" spans="1:8" x14ac:dyDescent="0.25">
      <c r="A5" s="8" t="s">
        <v>3643</v>
      </c>
      <c r="B5" s="8">
        <v>34</v>
      </c>
      <c r="C5" s="8">
        <v>12</v>
      </c>
      <c r="D5" s="8">
        <v>14</v>
      </c>
      <c r="E5" s="8">
        <v>56</v>
      </c>
      <c r="F5" s="8">
        <v>14</v>
      </c>
      <c r="G5" s="8">
        <v>30</v>
      </c>
      <c r="H5" s="15"/>
    </row>
    <row r="6" spans="1:8" x14ac:dyDescent="0.25">
      <c r="A6" s="8" t="s">
        <v>3646</v>
      </c>
      <c r="B6" s="8">
        <v>34</v>
      </c>
      <c r="C6" s="8">
        <v>12</v>
      </c>
      <c r="D6" s="8">
        <v>14</v>
      </c>
      <c r="E6" s="8">
        <v>56</v>
      </c>
      <c r="F6" s="8">
        <v>14</v>
      </c>
      <c r="G6" s="8">
        <v>30</v>
      </c>
      <c r="H6" s="15"/>
    </row>
    <row r="7" spans="1:8" x14ac:dyDescent="0.25">
      <c r="A7" s="8" t="s">
        <v>3648</v>
      </c>
      <c r="B7" s="8">
        <v>48</v>
      </c>
      <c r="C7" s="8">
        <v>12</v>
      </c>
      <c r="D7" s="8">
        <v>0</v>
      </c>
      <c r="E7" s="8">
        <v>80</v>
      </c>
      <c r="F7" s="8">
        <v>20</v>
      </c>
      <c r="G7" s="8">
        <v>0</v>
      </c>
      <c r="H7" s="15"/>
    </row>
    <row r="8" spans="1:8" x14ac:dyDescent="0.25">
      <c r="A8" s="8" t="s">
        <v>3650</v>
      </c>
      <c r="B8" s="8">
        <v>48</v>
      </c>
      <c r="C8" s="8">
        <v>12</v>
      </c>
      <c r="D8" s="8">
        <v>0</v>
      </c>
      <c r="E8" s="8">
        <v>80</v>
      </c>
      <c r="F8" s="8">
        <v>20</v>
      </c>
      <c r="G8" s="8">
        <v>0</v>
      </c>
      <c r="H8" s="15"/>
    </row>
    <row r="9" spans="1:8" x14ac:dyDescent="0.25">
      <c r="A9" s="8" t="s">
        <v>3652</v>
      </c>
      <c r="B9" s="8">
        <v>48</v>
      </c>
      <c r="C9" s="8">
        <v>12</v>
      </c>
      <c r="D9" s="8">
        <v>0</v>
      </c>
      <c r="E9" s="8">
        <v>80</v>
      </c>
      <c r="F9" s="8">
        <v>20</v>
      </c>
      <c r="G9" s="8">
        <v>0</v>
      </c>
      <c r="H9" s="15"/>
    </row>
    <row r="10" spans="1:8" x14ac:dyDescent="0.25">
      <c r="A10" s="8" t="s">
        <v>3653</v>
      </c>
      <c r="B10" s="8">
        <v>48</v>
      </c>
      <c r="C10" s="8">
        <v>12</v>
      </c>
      <c r="D10" s="8">
        <v>0</v>
      </c>
      <c r="E10" s="8">
        <v>80</v>
      </c>
      <c r="F10" s="8">
        <v>20</v>
      </c>
      <c r="G10" s="8">
        <v>0</v>
      </c>
      <c r="H10" s="15"/>
    </row>
    <row r="11" spans="1:8" x14ac:dyDescent="0.25">
      <c r="A11" s="8" t="s">
        <v>3655</v>
      </c>
      <c r="B11" s="8">
        <v>48</v>
      </c>
      <c r="C11" s="8">
        <v>12</v>
      </c>
      <c r="D11" s="8">
        <v>0</v>
      </c>
      <c r="E11" s="8">
        <v>80</v>
      </c>
      <c r="F11" s="8">
        <v>20</v>
      </c>
      <c r="G11" s="8">
        <v>0</v>
      </c>
      <c r="H11" s="15"/>
    </row>
    <row r="12" spans="1:8" x14ac:dyDescent="0.25">
      <c r="A12" s="8" t="s">
        <v>3657</v>
      </c>
      <c r="B12" s="8">
        <v>48</v>
      </c>
      <c r="C12" s="8">
        <v>12</v>
      </c>
      <c r="D12" s="8">
        <v>0</v>
      </c>
      <c r="E12" s="8">
        <v>80</v>
      </c>
      <c r="F12" s="8">
        <v>20</v>
      </c>
      <c r="G12" s="8">
        <v>0</v>
      </c>
      <c r="H12" s="15"/>
    </row>
    <row r="13" spans="1:8" x14ac:dyDescent="0.25">
      <c r="A13" s="8" t="s">
        <v>3658</v>
      </c>
      <c r="B13" s="8">
        <v>48</v>
      </c>
      <c r="C13" s="8">
        <v>12</v>
      </c>
      <c r="D13" s="8">
        <v>0</v>
      </c>
      <c r="E13" s="8">
        <v>80</v>
      </c>
      <c r="F13" s="8">
        <v>20</v>
      </c>
      <c r="G13" s="8">
        <v>0</v>
      </c>
      <c r="H13" s="15"/>
    </row>
    <row r="14" spans="1:8" x14ac:dyDescent="0.25">
      <c r="A14" s="8" t="s">
        <v>3659</v>
      </c>
      <c r="B14" s="8">
        <v>48</v>
      </c>
      <c r="C14" s="8">
        <v>12</v>
      </c>
      <c r="D14" s="8">
        <v>0</v>
      </c>
      <c r="E14" s="8">
        <v>80</v>
      </c>
      <c r="F14" s="8">
        <v>20</v>
      </c>
      <c r="G14" s="8">
        <v>0</v>
      </c>
      <c r="H14" s="15"/>
    </row>
    <row r="15" spans="1:8" x14ac:dyDescent="0.25">
      <c r="A15" s="8" t="s">
        <v>3641</v>
      </c>
      <c r="B15" s="8">
        <v>34</v>
      </c>
      <c r="C15" s="8">
        <v>12</v>
      </c>
      <c r="D15" s="8">
        <v>14</v>
      </c>
      <c r="E15" s="8">
        <v>56</v>
      </c>
      <c r="F15" s="8">
        <v>14</v>
      </c>
      <c r="G15" s="8">
        <v>30</v>
      </c>
      <c r="H15" s="15"/>
    </row>
    <row r="16" spans="1:8" x14ac:dyDescent="0.25">
      <c r="A16" s="8" t="s">
        <v>3651</v>
      </c>
      <c r="B16" s="8">
        <v>48</v>
      </c>
      <c r="C16" s="8">
        <v>12</v>
      </c>
      <c r="D16" s="8">
        <v>0</v>
      </c>
      <c r="E16" s="8">
        <v>80</v>
      </c>
      <c r="F16" s="8">
        <v>20</v>
      </c>
      <c r="G16" s="8">
        <v>0</v>
      </c>
      <c r="H16" s="15"/>
    </row>
    <row r="17" spans="1:8" x14ac:dyDescent="0.25">
      <c r="A17" s="8" t="s">
        <v>3644</v>
      </c>
      <c r="B17" s="8">
        <v>34</v>
      </c>
      <c r="C17" s="8">
        <v>12</v>
      </c>
      <c r="D17" s="8">
        <v>14</v>
      </c>
      <c r="E17" s="8">
        <v>56</v>
      </c>
      <c r="F17" s="8">
        <v>14</v>
      </c>
      <c r="G17" s="8">
        <v>30</v>
      </c>
      <c r="H17" s="15"/>
    </row>
    <row r="18" spans="1:8" x14ac:dyDescent="0.25">
      <c r="A18" s="8" t="s">
        <v>3660</v>
      </c>
      <c r="B18" s="8">
        <v>48</v>
      </c>
      <c r="C18" s="8">
        <v>12</v>
      </c>
      <c r="D18" s="8">
        <v>0</v>
      </c>
      <c r="E18" s="8">
        <v>80</v>
      </c>
      <c r="F18" s="8">
        <v>20</v>
      </c>
      <c r="G18" s="8">
        <v>0</v>
      </c>
      <c r="H18" s="15"/>
    </row>
    <row r="19" spans="1:8" x14ac:dyDescent="0.25">
      <c r="A19" s="8" t="s">
        <v>3661</v>
      </c>
      <c r="B19" s="8">
        <v>14</v>
      </c>
      <c r="C19" s="8">
        <v>12</v>
      </c>
      <c r="D19" s="8">
        <v>34</v>
      </c>
      <c r="E19" s="8">
        <v>24</v>
      </c>
      <c r="F19" s="8">
        <v>6</v>
      </c>
      <c r="G19" s="8">
        <v>70</v>
      </c>
      <c r="H19" s="15"/>
    </row>
    <row r="20" spans="1:8" x14ac:dyDescent="0.25">
      <c r="A20" s="8" t="s">
        <v>3662</v>
      </c>
      <c r="B20" s="8">
        <v>14</v>
      </c>
      <c r="C20" s="8">
        <v>12</v>
      </c>
      <c r="D20" s="8">
        <v>34</v>
      </c>
      <c r="E20" s="8">
        <v>24</v>
      </c>
      <c r="F20" s="8">
        <v>6</v>
      </c>
      <c r="G20" s="8">
        <v>70</v>
      </c>
      <c r="H20" s="15"/>
    </row>
    <row r="21" spans="1:8" x14ac:dyDescent="0.25">
      <c r="A21" s="8" t="s">
        <v>3663</v>
      </c>
      <c r="B21" s="8">
        <v>34</v>
      </c>
      <c r="C21" s="8">
        <v>12</v>
      </c>
      <c r="D21" s="8">
        <v>14</v>
      </c>
      <c r="E21" s="8">
        <v>56</v>
      </c>
      <c r="F21" s="8">
        <v>14</v>
      </c>
      <c r="G21" s="8">
        <v>30</v>
      </c>
      <c r="H21" s="15"/>
    </row>
    <row r="22" spans="1:8" x14ac:dyDescent="0.25">
      <c r="A22" s="8" t="s">
        <v>3664</v>
      </c>
      <c r="B22" s="8">
        <v>48</v>
      </c>
      <c r="C22" s="8">
        <v>12</v>
      </c>
      <c r="D22" s="8">
        <v>0</v>
      </c>
      <c r="E22" s="8">
        <v>80</v>
      </c>
      <c r="F22" s="8">
        <v>20</v>
      </c>
      <c r="G22" s="8">
        <v>0</v>
      </c>
      <c r="H22" s="15"/>
    </row>
    <row r="23" spans="1:8" x14ac:dyDescent="0.25">
      <c r="A23" s="8" t="s">
        <v>3665</v>
      </c>
      <c r="B23" s="8">
        <v>48</v>
      </c>
      <c r="C23" s="8">
        <v>12</v>
      </c>
      <c r="D23" s="8">
        <v>0</v>
      </c>
      <c r="E23" s="8">
        <v>80</v>
      </c>
      <c r="F23" s="8">
        <v>20</v>
      </c>
      <c r="G23" s="8">
        <v>0</v>
      </c>
      <c r="H23" s="15"/>
    </row>
    <row r="24" spans="1:8" x14ac:dyDescent="0.25">
      <c r="A24" s="8" t="s">
        <v>3642</v>
      </c>
      <c r="B24" s="8">
        <v>48</v>
      </c>
      <c r="C24" s="8">
        <v>12</v>
      </c>
      <c r="D24" s="8">
        <v>0</v>
      </c>
      <c r="E24" s="8">
        <v>80</v>
      </c>
      <c r="F24" s="8">
        <v>20</v>
      </c>
      <c r="G24" s="8">
        <v>0</v>
      </c>
      <c r="H24" s="15"/>
    </row>
    <row r="25" spans="1:8" x14ac:dyDescent="0.25">
      <c r="A25" s="8" t="s">
        <v>3637</v>
      </c>
      <c r="B25" s="8">
        <v>34</v>
      </c>
      <c r="C25" s="8">
        <v>12</v>
      </c>
      <c r="D25" s="8">
        <v>14</v>
      </c>
      <c r="E25" s="8">
        <v>56</v>
      </c>
      <c r="F25" s="8">
        <v>14</v>
      </c>
      <c r="G25" s="8">
        <v>30</v>
      </c>
      <c r="H25" s="15"/>
    </row>
    <row r="26" spans="1:8" x14ac:dyDescent="0.25">
      <c r="A26" s="8" t="s">
        <v>3640</v>
      </c>
      <c r="B26" s="8">
        <v>34</v>
      </c>
      <c r="C26" s="8">
        <v>12</v>
      </c>
      <c r="D26" s="8">
        <v>14</v>
      </c>
      <c r="E26" s="8">
        <v>56</v>
      </c>
      <c r="F26" s="8">
        <v>14</v>
      </c>
      <c r="G26" s="8">
        <v>30</v>
      </c>
      <c r="H26" s="15"/>
    </row>
    <row r="27" spans="1:8" x14ac:dyDescent="0.25">
      <c r="A27" s="8" t="s">
        <v>3541</v>
      </c>
      <c r="B27" s="8">
        <v>48</v>
      </c>
      <c r="C27" s="8">
        <v>12</v>
      </c>
      <c r="D27" s="8">
        <v>0</v>
      </c>
      <c r="E27" s="8">
        <v>80</v>
      </c>
      <c r="F27" s="8">
        <v>20</v>
      </c>
      <c r="G27" s="8">
        <v>0</v>
      </c>
      <c r="H27" s="15"/>
    </row>
    <row r="28" spans="1:8" x14ac:dyDescent="0.25">
      <c r="A28" s="8" t="s">
        <v>3647</v>
      </c>
      <c r="B28" s="8">
        <v>34</v>
      </c>
      <c r="C28" s="8">
        <v>12</v>
      </c>
      <c r="D28" s="8">
        <v>14</v>
      </c>
      <c r="E28" s="8">
        <v>56</v>
      </c>
      <c r="F28" s="8">
        <v>14</v>
      </c>
      <c r="G28" s="8">
        <v>30</v>
      </c>
      <c r="H28" s="15"/>
    </row>
    <row r="29" spans="1:8" x14ac:dyDescent="0.25">
      <c r="A29" s="8" t="s">
        <v>3634</v>
      </c>
      <c r="B29" s="8">
        <v>48</v>
      </c>
      <c r="C29" s="8">
        <v>12</v>
      </c>
      <c r="D29" s="8">
        <v>0</v>
      </c>
      <c r="E29" s="8">
        <v>80</v>
      </c>
      <c r="F29" s="8">
        <v>20</v>
      </c>
      <c r="G29" s="8">
        <v>0</v>
      </c>
      <c r="H29" s="15"/>
    </row>
    <row r="30" spans="1:8" x14ac:dyDescent="0.25">
      <c r="A30" s="8" t="s">
        <v>3676</v>
      </c>
      <c r="B30" s="8">
        <v>34</v>
      </c>
      <c r="C30" s="8">
        <v>12</v>
      </c>
      <c r="D30" s="8">
        <v>14</v>
      </c>
      <c r="E30" s="8">
        <v>56</v>
      </c>
      <c r="F30" s="8">
        <v>14</v>
      </c>
      <c r="G30" s="8">
        <v>30</v>
      </c>
      <c r="H30" s="15"/>
    </row>
    <row r="31" spans="1:8" x14ac:dyDescent="0.25">
      <c r="A31" s="8" t="s">
        <v>3677</v>
      </c>
      <c r="B31" s="8">
        <v>34</v>
      </c>
      <c r="C31" s="8">
        <v>12</v>
      </c>
      <c r="D31" s="8">
        <v>14</v>
      </c>
      <c r="E31" s="8">
        <v>56</v>
      </c>
      <c r="F31" s="8">
        <v>14</v>
      </c>
      <c r="G31" s="8">
        <v>30</v>
      </c>
      <c r="H31" s="15"/>
    </row>
    <row r="32" spans="1:8" x14ac:dyDescent="0.25">
      <c r="A32" s="8" t="s">
        <v>3638</v>
      </c>
      <c r="B32" s="8">
        <v>48</v>
      </c>
      <c r="C32" s="8">
        <v>12</v>
      </c>
      <c r="D32" s="8">
        <v>0</v>
      </c>
      <c r="E32" s="8">
        <v>80</v>
      </c>
      <c r="F32" s="8">
        <v>20</v>
      </c>
      <c r="G32" s="8">
        <v>0</v>
      </c>
      <c r="H32" s="15"/>
    </row>
    <row r="33" spans="1:8" x14ac:dyDescent="0.25">
      <c r="A33" s="8" t="s">
        <v>3642</v>
      </c>
      <c r="B33" s="8">
        <v>48</v>
      </c>
      <c r="C33" s="8">
        <v>12</v>
      </c>
      <c r="D33" s="8">
        <v>0</v>
      </c>
      <c r="E33" s="8">
        <v>80</v>
      </c>
      <c r="F33" s="8">
        <v>20</v>
      </c>
      <c r="G33" s="8">
        <v>0</v>
      </c>
      <c r="H33" s="15"/>
    </row>
    <row r="34" spans="1:8" x14ac:dyDescent="0.25">
      <c r="A34" s="8" t="s">
        <v>3645</v>
      </c>
      <c r="B34" s="8">
        <v>48</v>
      </c>
      <c r="C34" s="8">
        <v>12</v>
      </c>
      <c r="D34" s="8">
        <v>0</v>
      </c>
      <c r="E34" s="8">
        <v>80</v>
      </c>
      <c r="F34" s="8">
        <v>20</v>
      </c>
      <c r="G34" s="8">
        <v>0</v>
      </c>
      <c r="H34" s="15"/>
    </row>
    <row r="35" spans="1:8" x14ac:dyDescent="0.25">
      <c r="A35" s="8" t="s">
        <v>3649</v>
      </c>
      <c r="B35" s="8">
        <v>34</v>
      </c>
      <c r="C35" s="8">
        <v>12</v>
      </c>
      <c r="D35" s="8">
        <v>14</v>
      </c>
      <c r="E35" s="8">
        <v>56</v>
      </c>
      <c r="F35" s="8">
        <v>14</v>
      </c>
      <c r="G35" s="8">
        <v>30</v>
      </c>
      <c r="H35" s="15"/>
    </row>
    <row r="36" spans="1:8" x14ac:dyDescent="0.25">
      <c r="A36" s="8" t="s">
        <v>3654</v>
      </c>
      <c r="B36" s="8">
        <v>34</v>
      </c>
      <c r="C36" s="8">
        <v>12</v>
      </c>
      <c r="D36" s="8">
        <v>14</v>
      </c>
      <c r="E36" s="8">
        <v>56</v>
      </c>
      <c r="F36" s="8">
        <v>14</v>
      </c>
      <c r="G36" s="8">
        <v>30</v>
      </c>
      <c r="H36" s="15"/>
    </row>
    <row r="37" spans="1:8" x14ac:dyDescent="0.25">
      <c r="A37" s="8" t="s">
        <v>3656</v>
      </c>
      <c r="B37" s="8">
        <v>34</v>
      </c>
      <c r="C37" s="8">
        <v>12</v>
      </c>
      <c r="D37" s="8">
        <v>14</v>
      </c>
      <c r="E37" s="8">
        <v>56</v>
      </c>
      <c r="F37" s="8">
        <v>14</v>
      </c>
      <c r="G37" s="8">
        <v>30</v>
      </c>
      <c r="H37" s="15"/>
    </row>
  </sheetData>
  <mergeCells count="3">
    <mergeCell ref="B1:D1"/>
    <mergeCell ref="E1:G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762"/>
  <sheetViews>
    <sheetView workbookViewId="0">
      <selection activeCell="E5" sqref="E5"/>
    </sheetView>
  </sheetViews>
  <sheetFormatPr defaultRowHeight="15" x14ac:dyDescent="0.25"/>
  <cols>
    <col min="1" max="1" width="5.42578125" bestFit="1" customWidth="1"/>
    <col min="2" max="2" width="7.5703125" bestFit="1" customWidth="1"/>
    <col min="3" max="3" width="6" bestFit="1" customWidth="1"/>
    <col min="4" max="4" width="8.42578125" bestFit="1" customWidth="1"/>
    <col min="5" max="5" width="36.5703125" bestFit="1" customWidth="1"/>
    <col min="6" max="6" width="10.5703125" bestFit="1" customWidth="1"/>
    <col min="7" max="7" width="30.42578125" bestFit="1" customWidth="1"/>
    <col min="8" max="8" width="27.140625" bestFit="1" customWidth="1"/>
    <col min="9" max="9" width="7.7109375" bestFit="1" customWidth="1"/>
    <col min="10" max="10" width="8.42578125" bestFit="1" customWidth="1"/>
    <col min="11" max="11" width="11.42578125" bestFit="1" customWidth="1"/>
    <col min="12" max="12" width="16.5703125" bestFit="1" customWidth="1"/>
    <col min="13" max="13" width="24.7109375" bestFit="1" customWidth="1"/>
    <col min="14" max="14" width="24.140625" bestFit="1" customWidth="1"/>
    <col min="15" max="15" width="8.85546875" bestFit="1" customWidth="1"/>
    <col min="16" max="16" width="8.28515625" bestFit="1" customWidth="1"/>
    <col min="17" max="17" width="19.28515625" bestFit="1" customWidth="1"/>
    <col min="18" max="18" width="36.5703125" bestFit="1" customWidth="1"/>
    <col min="19" max="19" width="17.85546875" bestFit="1" customWidth="1"/>
    <col min="20" max="20" width="20.28515625" bestFit="1" customWidth="1"/>
    <col min="21" max="21" width="16.5703125" bestFit="1" customWidth="1"/>
    <col min="22" max="23" width="36.5703125" bestFit="1" customWidth="1"/>
    <col min="24" max="24" width="22.5703125" bestFit="1" customWidth="1"/>
    <col min="25" max="25" width="12.42578125" bestFit="1" customWidth="1"/>
    <col min="26" max="26" width="10" bestFit="1" customWidth="1"/>
    <col min="27" max="27" width="14.7109375" bestFit="1" customWidth="1"/>
    <col min="28" max="28" width="23.5703125" bestFit="1" customWidth="1"/>
    <col min="29" max="29" width="20" bestFit="1" customWidth="1"/>
    <col min="30" max="30" width="20.140625" bestFit="1" customWidth="1"/>
  </cols>
  <sheetData>
    <row r="1" spans="1:30" ht="30" x14ac:dyDescent="0.25">
      <c r="A1" s="1" t="s">
        <v>3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36</v>
      </c>
    </row>
    <row r="2" spans="1:30" ht="45" x14ac:dyDescent="0.25">
      <c r="A2" s="2">
        <v>1</v>
      </c>
      <c r="B2" s="2" t="s">
        <v>37</v>
      </c>
      <c r="C2" s="2">
        <v>13740</v>
      </c>
      <c r="D2" s="3">
        <v>44392</v>
      </c>
      <c r="E2" s="2" t="s">
        <v>38</v>
      </c>
      <c r="F2" s="2"/>
      <c r="G2" s="2" t="s">
        <v>39</v>
      </c>
      <c r="H2" s="2" t="s">
        <v>40</v>
      </c>
      <c r="I2" s="2" t="s">
        <v>41</v>
      </c>
      <c r="J2" s="3">
        <v>42468</v>
      </c>
      <c r="K2" s="2"/>
      <c r="L2" s="2"/>
      <c r="M2" s="2">
        <v>24</v>
      </c>
      <c r="N2" s="2">
        <v>1</v>
      </c>
      <c r="O2" s="2" t="s">
        <v>42</v>
      </c>
      <c r="P2" s="2" t="s">
        <v>43</v>
      </c>
      <c r="Q2" s="2"/>
      <c r="R2" s="2" t="s">
        <v>44</v>
      </c>
      <c r="S2" s="2">
        <v>8250215703</v>
      </c>
      <c r="T2" s="2"/>
      <c r="U2" s="2"/>
      <c r="V2" s="2">
        <v>9414786685</v>
      </c>
      <c r="W2" s="2" t="s">
        <v>45</v>
      </c>
      <c r="X2" s="2">
        <v>2250000</v>
      </c>
      <c r="Y2" s="2" t="s">
        <v>46</v>
      </c>
      <c r="Z2" s="2" t="s">
        <v>46</v>
      </c>
      <c r="AA2" s="2" t="s">
        <v>47</v>
      </c>
      <c r="AB2" s="2">
        <v>5</v>
      </c>
      <c r="AC2" s="2" t="s">
        <v>48</v>
      </c>
      <c r="AD2" s="2">
        <v>2</v>
      </c>
    </row>
    <row r="3" spans="1:30" ht="30" x14ac:dyDescent="0.25">
      <c r="A3" s="2">
        <v>1</v>
      </c>
      <c r="B3" s="2" t="s">
        <v>37</v>
      </c>
      <c r="C3" s="2">
        <v>13939</v>
      </c>
      <c r="D3" s="3">
        <v>44426</v>
      </c>
      <c r="E3" s="2" t="s">
        <v>49</v>
      </c>
      <c r="F3" s="2"/>
      <c r="G3" s="2" t="s">
        <v>50</v>
      </c>
      <c r="H3" s="2" t="s">
        <v>51</v>
      </c>
      <c r="I3" s="2" t="s">
        <v>52</v>
      </c>
      <c r="J3" s="3">
        <v>42371</v>
      </c>
      <c r="K3" s="2"/>
      <c r="L3" s="2"/>
      <c r="M3" s="2">
        <v>24</v>
      </c>
      <c r="N3" s="2">
        <v>0</v>
      </c>
      <c r="O3" s="2" t="s">
        <v>53</v>
      </c>
      <c r="P3" s="2" t="s">
        <v>54</v>
      </c>
      <c r="Q3" s="2"/>
      <c r="R3" s="2" t="s">
        <v>44</v>
      </c>
      <c r="S3" s="2">
        <v>8250215703</v>
      </c>
      <c r="T3" s="2" t="s">
        <v>55</v>
      </c>
      <c r="U3" s="2"/>
      <c r="V3" s="2">
        <v>7849981463</v>
      </c>
      <c r="W3" s="2" t="s">
        <v>56</v>
      </c>
      <c r="X3" s="2">
        <v>30000</v>
      </c>
      <c r="Y3" s="2" t="s">
        <v>46</v>
      </c>
      <c r="Z3" s="2" t="s">
        <v>46</v>
      </c>
      <c r="AA3" s="2" t="s">
        <v>57</v>
      </c>
      <c r="AB3" s="2">
        <v>5</v>
      </c>
      <c r="AC3" s="2" t="s">
        <v>48</v>
      </c>
      <c r="AD3" s="2">
        <v>1</v>
      </c>
    </row>
    <row r="4" spans="1:30" ht="30" x14ac:dyDescent="0.25">
      <c r="A4" s="2">
        <v>1</v>
      </c>
      <c r="B4" s="2" t="s">
        <v>37</v>
      </c>
      <c r="C4" s="2">
        <v>13909</v>
      </c>
      <c r="D4" s="3">
        <v>44420</v>
      </c>
      <c r="E4" s="2" t="s">
        <v>58</v>
      </c>
      <c r="F4" s="2"/>
      <c r="G4" s="2" t="s">
        <v>59</v>
      </c>
      <c r="H4" s="2" t="s">
        <v>60</v>
      </c>
      <c r="I4" s="2" t="s">
        <v>41</v>
      </c>
      <c r="J4" s="3">
        <v>42511</v>
      </c>
      <c r="K4" s="2"/>
      <c r="L4" s="2"/>
      <c r="M4" s="2">
        <v>24</v>
      </c>
      <c r="N4" s="2">
        <v>0</v>
      </c>
      <c r="O4" s="2" t="s">
        <v>53</v>
      </c>
      <c r="P4" s="2" t="s">
        <v>43</v>
      </c>
      <c r="Q4" s="2"/>
      <c r="R4" s="2" t="s">
        <v>44</v>
      </c>
      <c r="S4" s="2">
        <v>8250215703</v>
      </c>
      <c r="T4" s="2"/>
      <c r="U4" s="2"/>
      <c r="V4" s="2">
        <v>9999999999</v>
      </c>
      <c r="W4" s="2" t="s">
        <v>61</v>
      </c>
      <c r="X4" s="2">
        <v>76000</v>
      </c>
      <c r="Y4" s="2" t="s">
        <v>46</v>
      </c>
      <c r="Z4" s="2" t="s">
        <v>46</v>
      </c>
      <c r="AA4" s="2" t="s">
        <v>47</v>
      </c>
      <c r="AB4" s="2">
        <v>5</v>
      </c>
      <c r="AC4" s="2" t="s">
        <v>48</v>
      </c>
      <c r="AD4" s="2">
        <v>1</v>
      </c>
    </row>
    <row r="5" spans="1:30" ht="45" x14ac:dyDescent="0.25">
      <c r="A5" s="2">
        <v>1</v>
      </c>
      <c r="B5" s="2" t="s">
        <v>37</v>
      </c>
      <c r="C5" s="2">
        <v>13942</v>
      </c>
      <c r="D5" s="3">
        <v>44426</v>
      </c>
      <c r="E5" s="2" t="s">
        <v>62</v>
      </c>
      <c r="F5" s="2"/>
      <c r="G5" s="2" t="s">
        <v>63</v>
      </c>
      <c r="H5" s="2" t="s">
        <v>64</v>
      </c>
      <c r="I5" s="2" t="s">
        <v>52</v>
      </c>
      <c r="J5" s="3">
        <v>42593</v>
      </c>
      <c r="K5" s="2"/>
      <c r="L5" s="2"/>
      <c r="M5" s="2">
        <v>24</v>
      </c>
      <c r="N5" s="2">
        <v>0</v>
      </c>
      <c r="O5" s="2" t="s">
        <v>53</v>
      </c>
      <c r="P5" s="2" t="s">
        <v>43</v>
      </c>
      <c r="Q5" s="2"/>
      <c r="R5" s="2" t="s">
        <v>44</v>
      </c>
      <c r="S5" s="2">
        <v>8250215703</v>
      </c>
      <c r="T5" s="2"/>
      <c r="U5" s="2"/>
      <c r="V5" s="2">
        <v>7850851862</v>
      </c>
      <c r="W5" s="2" t="s">
        <v>65</v>
      </c>
      <c r="X5" s="2">
        <v>40000</v>
      </c>
      <c r="Y5" s="2" t="s">
        <v>46</v>
      </c>
      <c r="Z5" s="2" t="s">
        <v>46</v>
      </c>
      <c r="AA5" s="2" t="s">
        <v>47</v>
      </c>
      <c r="AB5" s="2">
        <v>5</v>
      </c>
      <c r="AC5" s="2" t="s">
        <v>48</v>
      </c>
      <c r="AD5" s="2">
        <v>2</v>
      </c>
    </row>
    <row r="6" spans="1:30" ht="30" x14ac:dyDescent="0.25">
      <c r="A6" s="2">
        <v>1</v>
      </c>
      <c r="B6" s="2" t="s">
        <v>37</v>
      </c>
      <c r="C6" s="2">
        <v>13944</v>
      </c>
      <c r="D6" s="3">
        <v>44426</v>
      </c>
      <c r="E6" s="2" t="s">
        <v>66</v>
      </c>
      <c r="F6" s="2"/>
      <c r="G6" s="2" t="s">
        <v>67</v>
      </c>
      <c r="H6" s="2" t="s">
        <v>68</v>
      </c>
      <c r="I6" s="2" t="s">
        <v>41</v>
      </c>
      <c r="J6" s="3">
        <v>42709</v>
      </c>
      <c r="K6" s="2"/>
      <c r="L6" s="2"/>
      <c r="M6" s="2">
        <v>24</v>
      </c>
      <c r="N6" s="2">
        <v>1</v>
      </c>
      <c r="O6" s="2" t="s">
        <v>53</v>
      </c>
      <c r="P6" s="2" t="s">
        <v>43</v>
      </c>
      <c r="Q6" s="2"/>
      <c r="R6" s="2" t="s">
        <v>44</v>
      </c>
      <c r="S6" s="2">
        <v>8250215703</v>
      </c>
      <c r="T6" s="2"/>
      <c r="U6" s="2"/>
      <c r="V6" s="2">
        <v>7742179354</v>
      </c>
      <c r="W6" s="2" t="s">
        <v>69</v>
      </c>
      <c r="X6" s="2">
        <v>70000</v>
      </c>
      <c r="Y6" s="2" t="s">
        <v>46</v>
      </c>
      <c r="Z6" s="2" t="s">
        <v>46</v>
      </c>
      <c r="AA6" s="2" t="s">
        <v>47</v>
      </c>
      <c r="AB6" s="2">
        <v>5</v>
      </c>
      <c r="AC6" s="2" t="s">
        <v>48</v>
      </c>
      <c r="AD6" s="2">
        <v>2</v>
      </c>
    </row>
    <row r="7" spans="1:30" ht="30" x14ac:dyDescent="0.25">
      <c r="A7" s="2">
        <v>1</v>
      </c>
      <c r="B7" s="2" t="s">
        <v>37</v>
      </c>
      <c r="C7" s="2">
        <v>13697</v>
      </c>
      <c r="D7" s="3">
        <v>44373</v>
      </c>
      <c r="E7" s="2" t="s">
        <v>70</v>
      </c>
      <c r="F7" s="2"/>
      <c r="G7" s="2" t="s">
        <v>71</v>
      </c>
      <c r="H7" s="2" t="s">
        <v>72</v>
      </c>
      <c r="I7" s="2" t="s">
        <v>52</v>
      </c>
      <c r="J7" s="3">
        <v>42521</v>
      </c>
      <c r="K7" s="2"/>
      <c r="L7" s="2"/>
      <c r="M7" s="2">
        <v>24</v>
      </c>
      <c r="N7" s="2">
        <v>0</v>
      </c>
      <c r="O7" s="2" t="s">
        <v>53</v>
      </c>
      <c r="P7" s="2" t="s">
        <v>54</v>
      </c>
      <c r="Q7" s="2"/>
      <c r="R7" s="2" t="s">
        <v>44</v>
      </c>
      <c r="S7" s="2">
        <v>8250215703</v>
      </c>
      <c r="T7" s="2" t="s">
        <v>73</v>
      </c>
      <c r="U7" s="2"/>
      <c r="V7" s="2">
        <v>8094502860</v>
      </c>
      <c r="W7" s="2" t="s">
        <v>74</v>
      </c>
      <c r="X7" s="2">
        <v>32000</v>
      </c>
      <c r="Y7" s="2" t="s">
        <v>46</v>
      </c>
      <c r="Z7" s="2" t="s">
        <v>46</v>
      </c>
      <c r="AA7" s="2" t="s">
        <v>57</v>
      </c>
      <c r="AB7" s="2">
        <v>5</v>
      </c>
      <c r="AC7" s="2" t="s">
        <v>48</v>
      </c>
      <c r="AD7" s="2">
        <v>1</v>
      </c>
    </row>
    <row r="8" spans="1:30" ht="30" x14ac:dyDescent="0.25">
      <c r="A8" s="2">
        <v>1</v>
      </c>
      <c r="B8" s="2" t="s">
        <v>37</v>
      </c>
      <c r="C8" s="2">
        <v>13791</v>
      </c>
      <c r="D8" s="3">
        <v>44399</v>
      </c>
      <c r="E8" s="2" t="s">
        <v>75</v>
      </c>
      <c r="F8" s="2"/>
      <c r="G8" s="2" t="s">
        <v>76</v>
      </c>
      <c r="H8" s="2" t="s">
        <v>77</v>
      </c>
      <c r="I8" s="2" t="s">
        <v>52</v>
      </c>
      <c r="J8" s="3">
        <v>41419</v>
      </c>
      <c r="K8" s="2"/>
      <c r="L8" s="2"/>
      <c r="M8" s="2">
        <v>24</v>
      </c>
      <c r="N8" s="2">
        <v>2</v>
      </c>
      <c r="O8" s="2" t="s">
        <v>78</v>
      </c>
      <c r="P8" s="2" t="s">
        <v>43</v>
      </c>
      <c r="Q8" s="2"/>
      <c r="R8" s="2" t="s">
        <v>44</v>
      </c>
      <c r="S8" s="2">
        <v>8250215703</v>
      </c>
      <c r="T8" s="2" t="s">
        <v>79</v>
      </c>
      <c r="U8" s="2"/>
      <c r="V8" s="2">
        <v>9784881014</v>
      </c>
      <c r="W8" s="2" t="s">
        <v>80</v>
      </c>
      <c r="X8" s="2">
        <v>36000</v>
      </c>
      <c r="Y8" s="2" t="s">
        <v>46</v>
      </c>
      <c r="Z8" s="2" t="s">
        <v>46</v>
      </c>
      <c r="AA8" s="2" t="s">
        <v>47</v>
      </c>
      <c r="AB8" s="2">
        <v>8</v>
      </c>
      <c r="AC8" s="2" t="s">
        <v>48</v>
      </c>
      <c r="AD8" s="2">
        <v>1</v>
      </c>
    </row>
    <row r="9" spans="1:30" ht="30" x14ac:dyDescent="0.25">
      <c r="A9" s="2">
        <v>1</v>
      </c>
      <c r="B9" s="2" t="s">
        <v>37</v>
      </c>
      <c r="C9" s="2">
        <v>13696</v>
      </c>
      <c r="D9" s="3">
        <v>44373</v>
      </c>
      <c r="E9" s="2" t="s">
        <v>81</v>
      </c>
      <c r="F9" s="2"/>
      <c r="G9" s="2" t="s">
        <v>82</v>
      </c>
      <c r="H9" s="2" t="s">
        <v>83</v>
      </c>
      <c r="I9" s="2" t="s">
        <v>41</v>
      </c>
      <c r="J9" s="3">
        <v>41578</v>
      </c>
      <c r="K9" s="2"/>
      <c r="L9" s="2"/>
      <c r="M9" s="2">
        <v>24</v>
      </c>
      <c r="N9" s="2">
        <v>3</v>
      </c>
      <c r="O9" s="2" t="s">
        <v>53</v>
      </c>
      <c r="P9" s="2" t="s">
        <v>43</v>
      </c>
      <c r="Q9" s="2"/>
      <c r="R9" s="2" t="s">
        <v>44</v>
      </c>
      <c r="S9" s="2">
        <v>8250215703</v>
      </c>
      <c r="T9" s="2" t="s">
        <v>84</v>
      </c>
      <c r="U9" s="2"/>
      <c r="V9" s="2">
        <v>9725763495</v>
      </c>
      <c r="W9" s="2" t="s">
        <v>85</v>
      </c>
      <c r="X9" s="2">
        <v>30000</v>
      </c>
      <c r="Y9" s="2" t="s">
        <v>46</v>
      </c>
      <c r="Z9" s="2" t="s">
        <v>46</v>
      </c>
      <c r="AA9" s="2" t="s">
        <v>47</v>
      </c>
      <c r="AB9" s="2">
        <v>8</v>
      </c>
      <c r="AC9" s="2" t="s">
        <v>48</v>
      </c>
      <c r="AD9" s="2">
        <v>1</v>
      </c>
    </row>
    <row r="10" spans="1:30" ht="45" x14ac:dyDescent="0.25">
      <c r="A10" s="2">
        <v>1</v>
      </c>
      <c r="B10" s="2" t="s">
        <v>37</v>
      </c>
      <c r="C10" s="2">
        <v>13941</v>
      </c>
      <c r="D10" s="3">
        <v>44426</v>
      </c>
      <c r="E10" s="2" t="s">
        <v>86</v>
      </c>
      <c r="F10" s="2"/>
      <c r="G10" s="2" t="s">
        <v>87</v>
      </c>
      <c r="H10" s="2" t="s">
        <v>88</v>
      </c>
      <c r="I10" s="2" t="s">
        <v>41</v>
      </c>
      <c r="J10" s="3">
        <v>40923</v>
      </c>
      <c r="K10" s="2"/>
      <c r="L10" s="2"/>
      <c r="M10" s="2">
        <v>24</v>
      </c>
      <c r="N10" s="2">
        <v>0</v>
      </c>
      <c r="O10" s="2" t="s">
        <v>53</v>
      </c>
      <c r="P10" s="2" t="s">
        <v>43</v>
      </c>
      <c r="Q10" s="2"/>
      <c r="R10" s="2" t="s">
        <v>44</v>
      </c>
      <c r="S10" s="2">
        <v>8250215703</v>
      </c>
      <c r="T10" s="2" t="s">
        <v>89</v>
      </c>
      <c r="U10" s="2"/>
      <c r="V10" s="2">
        <v>9929324004</v>
      </c>
      <c r="W10" s="2" t="s">
        <v>90</v>
      </c>
      <c r="X10" s="2">
        <v>12000</v>
      </c>
      <c r="Y10" s="2" t="s">
        <v>46</v>
      </c>
      <c r="Z10" s="2" t="s">
        <v>46</v>
      </c>
      <c r="AA10" s="2" t="s">
        <v>47</v>
      </c>
      <c r="AB10" s="2">
        <v>9</v>
      </c>
      <c r="AC10" s="2" t="s">
        <v>48</v>
      </c>
      <c r="AD10" s="2">
        <v>1</v>
      </c>
    </row>
    <row r="11" spans="1:30" ht="30" x14ac:dyDescent="0.25">
      <c r="A11" s="2">
        <v>1</v>
      </c>
      <c r="B11" s="2" t="s">
        <v>37</v>
      </c>
      <c r="C11" s="2">
        <v>13971</v>
      </c>
      <c r="D11" s="3">
        <v>44446</v>
      </c>
      <c r="E11" s="2" t="s">
        <v>91</v>
      </c>
      <c r="F11" s="2"/>
      <c r="G11" s="2" t="s">
        <v>92</v>
      </c>
      <c r="H11" s="2" t="s">
        <v>93</v>
      </c>
      <c r="I11" s="2" t="s">
        <v>52</v>
      </c>
      <c r="J11" s="3">
        <v>42615</v>
      </c>
      <c r="K11" s="2"/>
      <c r="L11" s="2"/>
      <c r="M11" s="2">
        <v>24</v>
      </c>
      <c r="N11" s="2">
        <v>2</v>
      </c>
      <c r="O11" s="2" t="s">
        <v>42</v>
      </c>
      <c r="P11" s="2" t="s">
        <v>43</v>
      </c>
      <c r="Q11" s="2"/>
      <c r="R11" s="2" t="s">
        <v>44</v>
      </c>
      <c r="S11" s="2">
        <v>8250215703</v>
      </c>
      <c r="T11" s="2" t="s">
        <v>94</v>
      </c>
      <c r="U11" s="2"/>
      <c r="V11" s="2">
        <v>9928768280</v>
      </c>
      <c r="W11" s="2" t="s">
        <v>95</v>
      </c>
      <c r="X11" s="2">
        <v>60000</v>
      </c>
      <c r="Y11" s="2" t="s">
        <v>46</v>
      </c>
      <c r="Z11" s="2" t="s">
        <v>46</v>
      </c>
      <c r="AA11" s="2" t="s">
        <v>47</v>
      </c>
      <c r="AB11" s="2">
        <v>5</v>
      </c>
      <c r="AC11" s="2" t="s">
        <v>48</v>
      </c>
      <c r="AD11" s="2">
        <v>1</v>
      </c>
    </row>
    <row r="12" spans="1:30" ht="30" x14ac:dyDescent="0.25">
      <c r="A12" s="2">
        <v>1</v>
      </c>
      <c r="B12" s="2" t="s">
        <v>37</v>
      </c>
      <c r="C12" s="2">
        <v>13993</v>
      </c>
      <c r="D12" s="3">
        <v>44469</v>
      </c>
      <c r="E12" s="2" t="s">
        <v>96</v>
      </c>
      <c r="F12" s="2"/>
      <c r="G12" s="2" t="s">
        <v>97</v>
      </c>
      <c r="H12" s="2" t="s">
        <v>98</v>
      </c>
      <c r="I12" s="2" t="s">
        <v>52</v>
      </c>
      <c r="J12" s="3">
        <v>42343</v>
      </c>
      <c r="K12" s="2"/>
      <c r="L12" s="2"/>
      <c r="M12" s="2">
        <v>24</v>
      </c>
      <c r="N12" s="2">
        <v>0</v>
      </c>
      <c r="O12" s="2" t="s">
        <v>53</v>
      </c>
      <c r="P12" s="2" t="s">
        <v>54</v>
      </c>
      <c r="Q12" s="2"/>
      <c r="R12" s="2" t="s">
        <v>44</v>
      </c>
      <c r="S12" s="2">
        <v>8250215703</v>
      </c>
      <c r="T12" s="2" t="s">
        <v>99</v>
      </c>
      <c r="U12" s="2"/>
      <c r="V12" s="2">
        <v>9351697672</v>
      </c>
      <c r="W12" s="2" t="s">
        <v>100</v>
      </c>
      <c r="X12" s="2">
        <v>40000</v>
      </c>
      <c r="Y12" s="2" t="s">
        <v>46</v>
      </c>
      <c r="Z12" s="2" t="s">
        <v>46</v>
      </c>
      <c r="AA12" s="2" t="s">
        <v>57</v>
      </c>
      <c r="AB12" s="2">
        <v>6</v>
      </c>
      <c r="AC12" s="2" t="s">
        <v>48</v>
      </c>
      <c r="AD12" s="2">
        <v>1</v>
      </c>
    </row>
    <row r="13" spans="1:30" ht="30" x14ac:dyDescent="0.25">
      <c r="A13" s="2">
        <v>1</v>
      </c>
      <c r="B13" s="2" t="s">
        <v>37</v>
      </c>
      <c r="C13" s="2">
        <v>13860</v>
      </c>
      <c r="D13" s="3">
        <v>44406</v>
      </c>
      <c r="E13" s="2" t="s">
        <v>101</v>
      </c>
      <c r="F13" s="2"/>
      <c r="G13" s="2" t="s">
        <v>102</v>
      </c>
      <c r="H13" s="2" t="s">
        <v>103</v>
      </c>
      <c r="I13" s="2" t="s">
        <v>41</v>
      </c>
      <c r="J13" s="3">
        <v>42690</v>
      </c>
      <c r="K13" s="2"/>
      <c r="L13" s="2"/>
      <c r="M13" s="2">
        <v>24</v>
      </c>
      <c r="N13" s="2">
        <v>0</v>
      </c>
      <c r="O13" s="2" t="s">
        <v>53</v>
      </c>
      <c r="P13" s="2" t="s">
        <v>43</v>
      </c>
      <c r="Q13" s="2"/>
      <c r="R13" s="2" t="s">
        <v>44</v>
      </c>
      <c r="S13" s="2">
        <v>8250215703</v>
      </c>
      <c r="T13" s="2"/>
      <c r="U13" s="2"/>
      <c r="V13" s="2">
        <v>7790859963</v>
      </c>
      <c r="W13" s="2" t="s">
        <v>104</v>
      </c>
      <c r="X13" s="2">
        <v>36000</v>
      </c>
      <c r="Y13" s="2" t="s">
        <v>46</v>
      </c>
      <c r="Z13" s="2" t="s">
        <v>46</v>
      </c>
      <c r="AA13" s="2" t="s">
        <v>47</v>
      </c>
      <c r="AB13" s="2">
        <v>5</v>
      </c>
      <c r="AC13" s="2" t="s">
        <v>48</v>
      </c>
      <c r="AD13" s="2">
        <v>1</v>
      </c>
    </row>
    <row r="14" spans="1:30" ht="30" x14ac:dyDescent="0.25">
      <c r="A14" s="2">
        <v>1</v>
      </c>
      <c r="B14" s="2" t="s">
        <v>37</v>
      </c>
      <c r="C14" s="2">
        <v>13695</v>
      </c>
      <c r="D14" s="3">
        <v>44373</v>
      </c>
      <c r="E14" s="2" t="s">
        <v>105</v>
      </c>
      <c r="F14" s="2"/>
      <c r="G14" s="2" t="s">
        <v>106</v>
      </c>
      <c r="H14" s="2" t="s">
        <v>107</v>
      </c>
      <c r="I14" s="2" t="s">
        <v>41</v>
      </c>
      <c r="J14" s="3">
        <v>41379</v>
      </c>
      <c r="K14" s="2"/>
      <c r="L14" s="2"/>
      <c r="M14" s="2">
        <v>24</v>
      </c>
      <c r="N14" s="2">
        <v>4</v>
      </c>
      <c r="O14" s="2" t="s">
        <v>53</v>
      </c>
      <c r="P14" s="2" t="s">
        <v>43</v>
      </c>
      <c r="Q14" s="2"/>
      <c r="R14" s="2" t="s">
        <v>44</v>
      </c>
      <c r="S14" s="2">
        <v>8250215703</v>
      </c>
      <c r="T14" s="2" t="s">
        <v>108</v>
      </c>
      <c r="U14" s="2"/>
      <c r="V14" s="2">
        <v>9725763495</v>
      </c>
      <c r="W14" s="2" t="s">
        <v>85</v>
      </c>
      <c r="X14" s="2">
        <v>30000</v>
      </c>
      <c r="Y14" s="2" t="s">
        <v>46</v>
      </c>
      <c r="Z14" s="2" t="s">
        <v>46</v>
      </c>
      <c r="AA14" s="2" t="s">
        <v>47</v>
      </c>
      <c r="AB14" s="2">
        <v>8</v>
      </c>
      <c r="AC14" s="2" t="s">
        <v>48</v>
      </c>
      <c r="AD14" s="2">
        <v>1</v>
      </c>
    </row>
    <row r="15" spans="1:30" ht="30" x14ac:dyDescent="0.25">
      <c r="A15" s="2">
        <v>1</v>
      </c>
      <c r="B15" s="2" t="s">
        <v>37</v>
      </c>
      <c r="C15" s="2">
        <v>13859</v>
      </c>
      <c r="D15" s="3">
        <v>44406</v>
      </c>
      <c r="E15" s="2" t="s">
        <v>109</v>
      </c>
      <c r="F15" s="2"/>
      <c r="G15" s="2" t="s">
        <v>110</v>
      </c>
      <c r="H15" s="2" t="s">
        <v>111</v>
      </c>
      <c r="I15" s="2" t="s">
        <v>41</v>
      </c>
      <c r="J15" s="3">
        <v>42431</v>
      </c>
      <c r="K15" s="2"/>
      <c r="L15" s="2"/>
      <c r="M15" s="2">
        <v>24</v>
      </c>
      <c r="N15" s="2">
        <v>0</v>
      </c>
      <c r="O15" s="2" t="s">
        <v>53</v>
      </c>
      <c r="P15" s="2" t="s">
        <v>43</v>
      </c>
      <c r="Q15" s="2"/>
      <c r="R15" s="2" t="s">
        <v>44</v>
      </c>
      <c r="S15" s="2">
        <v>8250215703</v>
      </c>
      <c r="T15" s="2"/>
      <c r="U15" s="2" t="s">
        <v>112</v>
      </c>
      <c r="V15" s="2">
        <v>7023206468</v>
      </c>
      <c r="W15" s="2" t="s">
        <v>113</v>
      </c>
      <c r="X15" s="2">
        <v>100000</v>
      </c>
      <c r="Y15" s="2" t="s">
        <v>46</v>
      </c>
      <c r="Z15" s="2" t="s">
        <v>46</v>
      </c>
      <c r="AA15" s="2" t="s">
        <v>47</v>
      </c>
      <c r="AB15" s="2">
        <v>5</v>
      </c>
      <c r="AC15" s="2" t="s">
        <v>48</v>
      </c>
      <c r="AD15" s="2">
        <v>1</v>
      </c>
    </row>
    <row r="16" spans="1:30" ht="30" x14ac:dyDescent="0.25">
      <c r="A16" s="2">
        <v>2</v>
      </c>
      <c r="B16" s="2" t="s">
        <v>37</v>
      </c>
      <c r="C16" s="2">
        <v>13548</v>
      </c>
      <c r="D16" s="3">
        <v>44083</v>
      </c>
      <c r="E16" s="2" t="s">
        <v>114</v>
      </c>
      <c r="F16" s="2"/>
      <c r="G16" s="2" t="s">
        <v>115</v>
      </c>
      <c r="H16" s="2" t="s">
        <v>116</v>
      </c>
      <c r="I16" s="2" t="s">
        <v>41</v>
      </c>
      <c r="J16" s="3">
        <v>41622</v>
      </c>
      <c r="K16" s="2"/>
      <c r="L16" s="2"/>
      <c r="M16" s="2">
        <v>4</v>
      </c>
      <c r="N16" s="2">
        <v>0</v>
      </c>
      <c r="O16" s="2" t="s">
        <v>53</v>
      </c>
      <c r="P16" s="2" t="s">
        <v>43</v>
      </c>
      <c r="Q16" s="2"/>
      <c r="R16" s="2" t="s">
        <v>44</v>
      </c>
      <c r="S16" s="2">
        <v>8250215703</v>
      </c>
      <c r="T16" s="2" t="s">
        <v>117</v>
      </c>
      <c r="U16" s="2"/>
      <c r="V16" s="2">
        <v>9783707652</v>
      </c>
      <c r="W16" s="2" t="s">
        <v>118</v>
      </c>
      <c r="X16" s="2">
        <v>20000</v>
      </c>
      <c r="Y16" s="2" t="s">
        <v>46</v>
      </c>
      <c r="Z16" s="2" t="s">
        <v>46</v>
      </c>
      <c r="AA16" s="2" t="s">
        <v>47</v>
      </c>
      <c r="AB16" s="2">
        <v>8</v>
      </c>
      <c r="AC16" s="2" t="s">
        <v>48</v>
      </c>
      <c r="AD16" s="2">
        <v>1</v>
      </c>
    </row>
    <row r="17" spans="1:30" ht="30" x14ac:dyDescent="0.25">
      <c r="A17" s="2">
        <v>2</v>
      </c>
      <c r="B17" s="2" t="s">
        <v>37</v>
      </c>
      <c r="C17" s="2">
        <v>13612</v>
      </c>
      <c r="D17" s="3">
        <v>44119</v>
      </c>
      <c r="E17" s="2" t="s">
        <v>119</v>
      </c>
      <c r="F17" s="2"/>
      <c r="G17" s="2" t="s">
        <v>120</v>
      </c>
      <c r="H17" s="2" t="s">
        <v>121</v>
      </c>
      <c r="I17" s="2" t="s">
        <v>41</v>
      </c>
      <c r="J17" s="3">
        <v>41351</v>
      </c>
      <c r="K17" s="2"/>
      <c r="L17" s="2"/>
      <c r="M17" s="2">
        <v>4</v>
      </c>
      <c r="N17" s="2">
        <v>4</v>
      </c>
      <c r="O17" s="2" t="s">
        <v>53</v>
      </c>
      <c r="P17" s="2" t="s">
        <v>43</v>
      </c>
      <c r="Q17" s="2"/>
      <c r="R17" s="2" t="s">
        <v>44</v>
      </c>
      <c r="S17" s="2">
        <v>8250215703</v>
      </c>
      <c r="T17" s="2"/>
      <c r="U17" s="2"/>
      <c r="V17" s="2">
        <v>8290915602</v>
      </c>
      <c r="W17" s="2" t="s">
        <v>85</v>
      </c>
      <c r="X17" s="2">
        <v>20000</v>
      </c>
      <c r="Y17" s="2" t="s">
        <v>46</v>
      </c>
      <c r="Z17" s="2" t="s">
        <v>46</v>
      </c>
      <c r="AA17" s="2" t="s">
        <v>47</v>
      </c>
      <c r="AB17" s="2">
        <v>8</v>
      </c>
      <c r="AC17" s="2" t="s">
        <v>48</v>
      </c>
      <c r="AD17" s="2">
        <v>1</v>
      </c>
    </row>
    <row r="18" spans="1:30" ht="30" x14ac:dyDescent="0.25">
      <c r="A18" s="2">
        <v>2</v>
      </c>
      <c r="B18" s="2" t="s">
        <v>37</v>
      </c>
      <c r="C18" s="2">
        <v>13634</v>
      </c>
      <c r="D18" s="3">
        <v>44119</v>
      </c>
      <c r="E18" s="2" t="s">
        <v>122</v>
      </c>
      <c r="F18" s="2"/>
      <c r="G18" s="2" t="s">
        <v>123</v>
      </c>
      <c r="H18" s="2" t="s">
        <v>124</v>
      </c>
      <c r="I18" s="2" t="s">
        <v>41</v>
      </c>
      <c r="J18" s="3">
        <v>42239</v>
      </c>
      <c r="K18" s="2"/>
      <c r="L18" s="2"/>
      <c r="M18" s="2">
        <v>4</v>
      </c>
      <c r="N18" s="2">
        <v>0</v>
      </c>
      <c r="O18" s="2" t="s">
        <v>53</v>
      </c>
      <c r="P18" s="2" t="s">
        <v>43</v>
      </c>
      <c r="Q18" s="2"/>
      <c r="R18" s="2" t="s">
        <v>44</v>
      </c>
      <c r="S18" s="2">
        <v>8250215703</v>
      </c>
      <c r="T18" s="2"/>
      <c r="U18" s="2"/>
      <c r="V18" s="2">
        <v>9672714066</v>
      </c>
      <c r="W18" s="2" t="s">
        <v>125</v>
      </c>
      <c r="X18" s="2">
        <v>24000</v>
      </c>
      <c r="Y18" s="2" t="s">
        <v>46</v>
      </c>
      <c r="Z18" s="2" t="s">
        <v>46</v>
      </c>
      <c r="AA18" s="2" t="s">
        <v>47</v>
      </c>
      <c r="AB18" s="2">
        <v>6</v>
      </c>
      <c r="AC18" s="2" t="s">
        <v>48</v>
      </c>
      <c r="AD18" s="2">
        <v>1</v>
      </c>
    </row>
    <row r="19" spans="1:30" ht="30" x14ac:dyDescent="0.25">
      <c r="A19" s="2">
        <v>2</v>
      </c>
      <c r="B19" s="2" t="s">
        <v>37</v>
      </c>
      <c r="C19" s="2">
        <v>13622</v>
      </c>
      <c r="D19" s="3">
        <v>44119</v>
      </c>
      <c r="E19" s="2" t="s">
        <v>126</v>
      </c>
      <c r="F19" s="2"/>
      <c r="G19" s="2" t="s">
        <v>127</v>
      </c>
      <c r="H19" s="2" t="s">
        <v>128</v>
      </c>
      <c r="I19" s="2" t="s">
        <v>52</v>
      </c>
      <c r="J19" s="3">
        <v>41255</v>
      </c>
      <c r="K19" s="2"/>
      <c r="L19" s="2"/>
      <c r="M19" s="2">
        <v>4</v>
      </c>
      <c r="N19" s="2">
        <v>4</v>
      </c>
      <c r="O19" s="2" t="s">
        <v>53</v>
      </c>
      <c r="P19" s="2" t="s">
        <v>43</v>
      </c>
      <c r="Q19" s="2"/>
      <c r="R19" s="2" t="s">
        <v>44</v>
      </c>
      <c r="S19" s="2">
        <v>8250215703</v>
      </c>
      <c r="T19" s="2" t="s">
        <v>129</v>
      </c>
      <c r="U19" s="2"/>
      <c r="V19" s="2">
        <v>9783874517</v>
      </c>
      <c r="W19" s="2" t="s">
        <v>130</v>
      </c>
      <c r="X19" s="2">
        <v>18000</v>
      </c>
      <c r="Y19" s="2" t="s">
        <v>46</v>
      </c>
      <c r="Z19" s="2" t="s">
        <v>46</v>
      </c>
      <c r="AA19" s="2" t="s">
        <v>47</v>
      </c>
      <c r="AB19" s="2">
        <v>9</v>
      </c>
      <c r="AC19" s="2" t="s">
        <v>48</v>
      </c>
      <c r="AD19" s="2">
        <v>1</v>
      </c>
    </row>
    <row r="20" spans="1:30" ht="30" x14ac:dyDescent="0.25">
      <c r="A20" s="2">
        <v>2</v>
      </c>
      <c r="B20" s="2" t="s">
        <v>37</v>
      </c>
      <c r="C20" s="2">
        <v>13648</v>
      </c>
      <c r="D20" s="3">
        <v>44124</v>
      </c>
      <c r="E20" s="2" t="s">
        <v>131</v>
      </c>
      <c r="F20" s="2"/>
      <c r="G20" s="2" t="s">
        <v>132</v>
      </c>
      <c r="H20" s="2" t="s">
        <v>133</v>
      </c>
      <c r="I20" s="2" t="s">
        <v>41</v>
      </c>
      <c r="J20" s="3">
        <v>41191</v>
      </c>
      <c r="K20" s="2"/>
      <c r="L20" s="2"/>
      <c r="M20" s="2">
        <v>4</v>
      </c>
      <c r="N20" s="2">
        <v>4</v>
      </c>
      <c r="O20" s="2" t="s">
        <v>53</v>
      </c>
      <c r="P20" s="2" t="s">
        <v>43</v>
      </c>
      <c r="Q20" s="2"/>
      <c r="R20" s="2" t="s">
        <v>44</v>
      </c>
      <c r="S20" s="2">
        <v>8250215703</v>
      </c>
      <c r="T20" s="2" t="s">
        <v>134</v>
      </c>
      <c r="U20" s="2" t="s">
        <v>135</v>
      </c>
      <c r="V20" s="2">
        <v>9001858800</v>
      </c>
      <c r="W20" s="2" t="s">
        <v>136</v>
      </c>
      <c r="X20" s="2">
        <v>28000</v>
      </c>
      <c r="Y20" s="2" t="s">
        <v>46</v>
      </c>
      <c r="Z20" s="2" t="s">
        <v>46</v>
      </c>
      <c r="AA20" s="2" t="s">
        <v>47</v>
      </c>
      <c r="AB20" s="2">
        <v>9</v>
      </c>
      <c r="AC20" s="2" t="s">
        <v>48</v>
      </c>
      <c r="AD20" s="2">
        <v>1</v>
      </c>
    </row>
    <row r="21" spans="1:30" ht="30" x14ac:dyDescent="0.25">
      <c r="A21" s="2">
        <v>2</v>
      </c>
      <c r="B21" s="2" t="s">
        <v>37</v>
      </c>
      <c r="C21" s="2">
        <v>13943</v>
      </c>
      <c r="D21" s="3">
        <v>44426</v>
      </c>
      <c r="E21" s="2" t="s">
        <v>137</v>
      </c>
      <c r="F21" s="2"/>
      <c r="G21" s="2" t="s">
        <v>138</v>
      </c>
      <c r="H21" s="2" t="s">
        <v>139</v>
      </c>
      <c r="I21" s="2" t="s">
        <v>52</v>
      </c>
      <c r="J21" s="3">
        <v>41547</v>
      </c>
      <c r="K21" s="2"/>
      <c r="L21" s="2"/>
      <c r="M21" s="2">
        <v>4</v>
      </c>
      <c r="N21" s="2">
        <v>4</v>
      </c>
      <c r="O21" s="2" t="s">
        <v>53</v>
      </c>
      <c r="P21" s="2" t="s">
        <v>43</v>
      </c>
      <c r="Q21" s="2"/>
      <c r="R21" s="2" t="s">
        <v>44</v>
      </c>
      <c r="S21" s="2">
        <v>8250215703</v>
      </c>
      <c r="T21" s="2" t="s">
        <v>140</v>
      </c>
      <c r="U21" s="2"/>
      <c r="V21" s="2">
        <v>9929327242</v>
      </c>
      <c r="W21" s="2" t="s">
        <v>141</v>
      </c>
      <c r="X21" s="2">
        <v>36000</v>
      </c>
      <c r="Y21" s="2" t="s">
        <v>46</v>
      </c>
      <c r="Z21" s="2" t="s">
        <v>46</v>
      </c>
      <c r="AA21" s="2" t="s">
        <v>47</v>
      </c>
      <c r="AB21" s="2">
        <v>8</v>
      </c>
      <c r="AC21" s="2" t="s">
        <v>48</v>
      </c>
      <c r="AD21" s="2">
        <v>2</v>
      </c>
    </row>
    <row r="22" spans="1:30" ht="30" x14ac:dyDescent="0.25">
      <c r="A22" s="2">
        <v>2</v>
      </c>
      <c r="B22" s="2" t="s">
        <v>37</v>
      </c>
      <c r="C22" s="2">
        <v>13575</v>
      </c>
      <c r="D22" s="3">
        <v>44095</v>
      </c>
      <c r="E22" s="2" t="s">
        <v>142</v>
      </c>
      <c r="F22" s="2"/>
      <c r="G22" s="2" t="s">
        <v>143</v>
      </c>
      <c r="H22" s="2" t="s">
        <v>144</v>
      </c>
      <c r="I22" s="2" t="s">
        <v>41</v>
      </c>
      <c r="J22" s="3">
        <v>42037</v>
      </c>
      <c r="K22" s="2"/>
      <c r="L22" s="2"/>
      <c r="M22" s="2">
        <v>4</v>
      </c>
      <c r="N22" s="2">
        <v>1</v>
      </c>
      <c r="O22" s="2" t="s">
        <v>42</v>
      </c>
      <c r="P22" s="2" t="s">
        <v>54</v>
      </c>
      <c r="Q22" s="2"/>
      <c r="R22" s="2" t="s">
        <v>44</v>
      </c>
      <c r="S22" s="2">
        <v>8250215703</v>
      </c>
      <c r="T22" s="2" t="s">
        <v>145</v>
      </c>
      <c r="U22" s="2"/>
      <c r="V22" s="2">
        <v>9950735844</v>
      </c>
      <c r="W22" s="2" t="s">
        <v>146</v>
      </c>
      <c r="X22" s="2">
        <v>24000</v>
      </c>
      <c r="Y22" s="2" t="s">
        <v>46</v>
      </c>
      <c r="Z22" s="2" t="s">
        <v>46</v>
      </c>
      <c r="AA22" s="2" t="s">
        <v>57</v>
      </c>
      <c r="AB22" s="2">
        <v>6</v>
      </c>
      <c r="AC22" s="2" t="s">
        <v>48</v>
      </c>
      <c r="AD22" s="2">
        <v>1</v>
      </c>
    </row>
    <row r="23" spans="1:30" ht="30" x14ac:dyDescent="0.25">
      <c r="A23" s="2">
        <v>2</v>
      </c>
      <c r="B23" s="2" t="s">
        <v>37</v>
      </c>
      <c r="C23" s="2">
        <v>13602</v>
      </c>
      <c r="D23" s="3">
        <v>44117</v>
      </c>
      <c r="E23" s="2" t="s">
        <v>147</v>
      </c>
      <c r="F23" s="2"/>
      <c r="G23" s="2" t="s">
        <v>148</v>
      </c>
      <c r="H23" s="2" t="s">
        <v>149</v>
      </c>
      <c r="I23" s="2" t="s">
        <v>41</v>
      </c>
      <c r="J23" s="3">
        <v>41724</v>
      </c>
      <c r="K23" s="2"/>
      <c r="L23" s="2"/>
      <c r="M23" s="2">
        <v>4</v>
      </c>
      <c r="N23" s="2">
        <v>4</v>
      </c>
      <c r="O23" s="2" t="s">
        <v>53</v>
      </c>
      <c r="P23" s="2" t="s">
        <v>43</v>
      </c>
      <c r="Q23" s="2"/>
      <c r="R23" s="2" t="s">
        <v>44</v>
      </c>
      <c r="S23" s="2">
        <v>8250215703</v>
      </c>
      <c r="T23" s="2" t="s">
        <v>150</v>
      </c>
      <c r="U23" s="2" t="s">
        <v>151</v>
      </c>
      <c r="V23" s="2">
        <v>6350211456</v>
      </c>
      <c r="W23" s="2" t="s">
        <v>152</v>
      </c>
      <c r="X23" s="2">
        <v>20000</v>
      </c>
      <c r="Y23" s="2" t="s">
        <v>46</v>
      </c>
      <c r="Z23" s="2" t="s">
        <v>46</v>
      </c>
      <c r="AA23" s="2" t="s">
        <v>47</v>
      </c>
      <c r="AB23" s="2">
        <v>7</v>
      </c>
      <c r="AC23" s="2" t="s">
        <v>48</v>
      </c>
      <c r="AD23" s="2">
        <v>1</v>
      </c>
    </row>
    <row r="24" spans="1:30" ht="30" x14ac:dyDescent="0.25">
      <c r="A24" s="2">
        <v>2</v>
      </c>
      <c r="B24" s="2" t="s">
        <v>37</v>
      </c>
      <c r="C24" s="2">
        <v>13633</v>
      </c>
      <c r="D24" s="3">
        <v>44119</v>
      </c>
      <c r="E24" s="2" t="s">
        <v>82</v>
      </c>
      <c r="F24" s="2"/>
      <c r="G24" s="2" t="s">
        <v>153</v>
      </c>
      <c r="H24" s="2" t="s">
        <v>154</v>
      </c>
      <c r="I24" s="2" t="s">
        <v>41</v>
      </c>
      <c r="J24" s="3">
        <v>42138</v>
      </c>
      <c r="K24" s="2"/>
      <c r="L24" s="2"/>
      <c r="M24" s="2">
        <v>4</v>
      </c>
      <c r="N24" s="2">
        <v>4</v>
      </c>
      <c r="O24" s="2" t="s">
        <v>53</v>
      </c>
      <c r="P24" s="2" t="s">
        <v>43</v>
      </c>
      <c r="Q24" s="2"/>
      <c r="R24" s="2" t="s">
        <v>44</v>
      </c>
      <c r="S24" s="2">
        <v>8250215703</v>
      </c>
      <c r="T24" s="2" t="s">
        <v>155</v>
      </c>
      <c r="U24" s="2"/>
      <c r="V24" s="2">
        <v>9725179734</v>
      </c>
      <c r="W24" s="2" t="s">
        <v>156</v>
      </c>
      <c r="X24" s="2">
        <v>28000</v>
      </c>
      <c r="Y24" s="2" t="s">
        <v>46</v>
      </c>
      <c r="Z24" s="2" t="s">
        <v>46</v>
      </c>
      <c r="AA24" s="2" t="s">
        <v>47</v>
      </c>
      <c r="AB24" s="2">
        <v>6</v>
      </c>
      <c r="AC24" s="2" t="s">
        <v>48</v>
      </c>
      <c r="AD24" s="2">
        <v>1</v>
      </c>
    </row>
    <row r="25" spans="1:30" ht="30" x14ac:dyDescent="0.25">
      <c r="A25" s="2">
        <v>2</v>
      </c>
      <c r="B25" s="2" t="s">
        <v>37</v>
      </c>
      <c r="C25" s="2">
        <v>13594</v>
      </c>
      <c r="D25" s="3">
        <v>44109</v>
      </c>
      <c r="E25" s="2" t="s">
        <v>157</v>
      </c>
      <c r="F25" s="2"/>
      <c r="G25" s="2" t="s">
        <v>158</v>
      </c>
      <c r="H25" s="2" t="s">
        <v>159</v>
      </c>
      <c r="I25" s="2" t="s">
        <v>41</v>
      </c>
      <c r="J25" s="3">
        <v>41791</v>
      </c>
      <c r="K25" s="2"/>
      <c r="L25" s="2"/>
      <c r="M25" s="2">
        <v>4</v>
      </c>
      <c r="N25" s="2">
        <v>2</v>
      </c>
      <c r="O25" s="2" t="s">
        <v>78</v>
      </c>
      <c r="P25" s="2" t="s">
        <v>43</v>
      </c>
      <c r="Q25" s="2"/>
      <c r="R25" s="2" t="s">
        <v>44</v>
      </c>
      <c r="S25" s="2">
        <v>8250215703</v>
      </c>
      <c r="T25" s="2" t="s">
        <v>160</v>
      </c>
      <c r="U25" s="2"/>
      <c r="V25" s="2">
        <v>8094502439</v>
      </c>
      <c r="W25" s="2" t="s">
        <v>161</v>
      </c>
      <c r="X25" s="2">
        <v>36000</v>
      </c>
      <c r="Y25" s="2" t="s">
        <v>46</v>
      </c>
      <c r="Z25" s="2" t="s">
        <v>46</v>
      </c>
      <c r="AA25" s="2" t="s">
        <v>47</v>
      </c>
      <c r="AB25" s="2">
        <v>7</v>
      </c>
      <c r="AC25" s="2" t="s">
        <v>48</v>
      </c>
      <c r="AD25" s="2">
        <v>1</v>
      </c>
    </row>
    <row r="26" spans="1:30" ht="30" x14ac:dyDescent="0.25">
      <c r="A26" s="2">
        <v>2</v>
      </c>
      <c r="B26" s="2" t="s">
        <v>37</v>
      </c>
      <c r="C26" s="2">
        <v>13590</v>
      </c>
      <c r="D26" s="3">
        <v>44109</v>
      </c>
      <c r="E26" s="2" t="s">
        <v>162</v>
      </c>
      <c r="F26" s="2"/>
      <c r="G26" s="2" t="s">
        <v>163</v>
      </c>
      <c r="H26" s="2" t="s">
        <v>164</v>
      </c>
      <c r="I26" s="2" t="s">
        <v>41</v>
      </c>
      <c r="J26" s="3">
        <v>41360</v>
      </c>
      <c r="K26" s="2"/>
      <c r="L26" s="2"/>
      <c r="M26" s="2">
        <v>4</v>
      </c>
      <c r="N26" s="2">
        <v>0</v>
      </c>
      <c r="O26" s="2" t="s">
        <v>53</v>
      </c>
      <c r="P26" s="2" t="s">
        <v>43</v>
      </c>
      <c r="Q26" s="2"/>
      <c r="R26" s="2" t="s">
        <v>44</v>
      </c>
      <c r="S26" s="2">
        <v>8250215703</v>
      </c>
      <c r="T26" s="2" t="s">
        <v>165</v>
      </c>
      <c r="U26" s="2" t="s">
        <v>166</v>
      </c>
      <c r="V26" s="2">
        <v>9929952466</v>
      </c>
      <c r="W26" s="2" t="s">
        <v>69</v>
      </c>
      <c r="X26" s="2">
        <v>22000</v>
      </c>
      <c r="Y26" s="2" t="s">
        <v>46</v>
      </c>
      <c r="Z26" s="2" t="s">
        <v>46</v>
      </c>
      <c r="AA26" s="2" t="s">
        <v>47</v>
      </c>
      <c r="AB26" s="2">
        <v>8</v>
      </c>
      <c r="AC26" s="2" t="s">
        <v>48</v>
      </c>
      <c r="AD26" s="2">
        <v>1</v>
      </c>
    </row>
    <row r="27" spans="1:30" ht="30" x14ac:dyDescent="0.25">
      <c r="A27" s="2">
        <v>2</v>
      </c>
      <c r="B27" s="2" t="s">
        <v>37</v>
      </c>
      <c r="C27" s="2">
        <v>13674</v>
      </c>
      <c r="D27" s="3">
        <v>44211</v>
      </c>
      <c r="E27" s="2" t="s">
        <v>167</v>
      </c>
      <c r="F27" s="2"/>
      <c r="G27" s="2" t="s">
        <v>168</v>
      </c>
      <c r="H27" s="2" t="s">
        <v>169</v>
      </c>
      <c r="I27" s="2" t="s">
        <v>52</v>
      </c>
      <c r="J27" s="3">
        <v>41722</v>
      </c>
      <c r="K27" s="2"/>
      <c r="L27" s="2"/>
      <c r="M27" s="2">
        <v>4</v>
      </c>
      <c r="N27" s="2">
        <v>3</v>
      </c>
      <c r="O27" s="2" t="s">
        <v>53</v>
      </c>
      <c r="P27" s="2" t="s">
        <v>43</v>
      </c>
      <c r="Q27" s="2"/>
      <c r="R27" s="2" t="s">
        <v>44</v>
      </c>
      <c r="S27" s="2">
        <v>8250215703</v>
      </c>
      <c r="T27" s="2"/>
      <c r="U27" s="2"/>
      <c r="V27" s="2">
        <v>7878608569</v>
      </c>
      <c r="W27" s="2" t="s">
        <v>170</v>
      </c>
      <c r="X27" s="2">
        <v>80000</v>
      </c>
      <c r="Y27" s="2" t="s">
        <v>46</v>
      </c>
      <c r="Z27" s="2" t="s">
        <v>46</v>
      </c>
      <c r="AA27" s="2" t="s">
        <v>47</v>
      </c>
      <c r="AB27" s="2">
        <v>7</v>
      </c>
      <c r="AC27" s="2" t="s">
        <v>48</v>
      </c>
      <c r="AD27" s="2">
        <v>2</v>
      </c>
    </row>
    <row r="28" spans="1:30" ht="30" x14ac:dyDescent="0.25">
      <c r="A28" s="2">
        <v>2</v>
      </c>
      <c r="B28" s="2" t="s">
        <v>37</v>
      </c>
      <c r="C28" s="2">
        <v>13637</v>
      </c>
      <c r="D28" s="3">
        <v>44120</v>
      </c>
      <c r="E28" s="2" t="s">
        <v>171</v>
      </c>
      <c r="F28" s="2"/>
      <c r="G28" s="2" t="s">
        <v>172</v>
      </c>
      <c r="H28" s="2" t="s">
        <v>139</v>
      </c>
      <c r="I28" s="2" t="s">
        <v>52</v>
      </c>
      <c r="J28" s="3">
        <v>41773</v>
      </c>
      <c r="K28" s="2"/>
      <c r="L28" s="2"/>
      <c r="M28" s="2">
        <v>4</v>
      </c>
      <c r="N28" s="2">
        <v>0</v>
      </c>
      <c r="O28" s="2" t="s">
        <v>53</v>
      </c>
      <c r="P28" s="2" t="s">
        <v>43</v>
      </c>
      <c r="Q28" s="2"/>
      <c r="R28" s="2" t="s">
        <v>44</v>
      </c>
      <c r="S28" s="2">
        <v>8250215703</v>
      </c>
      <c r="T28" s="2" t="s">
        <v>173</v>
      </c>
      <c r="U28" s="2"/>
      <c r="V28" s="2">
        <v>7878450260</v>
      </c>
      <c r="W28" s="2" t="s">
        <v>174</v>
      </c>
      <c r="X28" s="2">
        <v>25000</v>
      </c>
      <c r="Y28" s="2" t="s">
        <v>46</v>
      </c>
      <c r="Z28" s="2" t="s">
        <v>46</v>
      </c>
      <c r="AA28" s="2" t="s">
        <v>47</v>
      </c>
      <c r="AB28" s="2">
        <v>7</v>
      </c>
      <c r="AC28" s="2" t="s">
        <v>48</v>
      </c>
      <c r="AD28" s="2">
        <v>1</v>
      </c>
    </row>
    <row r="29" spans="1:30" ht="30" x14ac:dyDescent="0.25">
      <c r="A29" s="2">
        <v>2</v>
      </c>
      <c r="B29" s="2" t="s">
        <v>37</v>
      </c>
      <c r="C29" s="2">
        <v>13651</v>
      </c>
      <c r="D29" s="3">
        <v>44124</v>
      </c>
      <c r="E29" s="2" t="s">
        <v>175</v>
      </c>
      <c r="F29" s="2"/>
      <c r="G29" s="2" t="s">
        <v>82</v>
      </c>
      <c r="H29" s="2" t="s">
        <v>176</v>
      </c>
      <c r="I29" s="2" t="s">
        <v>52</v>
      </c>
      <c r="J29" s="3">
        <v>42346</v>
      </c>
      <c r="K29" s="2"/>
      <c r="L29" s="2"/>
      <c r="M29" s="2">
        <v>4</v>
      </c>
      <c r="N29" s="2">
        <v>0</v>
      </c>
      <c r="O29" s="2" t="s">
        <v>53</v>
      </c>
      <c r="P29" s="2" t="s">
        <v>43</v>
      </c>
      <c r="Q29" s="2"/>
      <c r="R29" s="2" t="s">
        <v>44</v>
      </c>
      <c r="S29" s="2">
        <v>8250215703</v>
      </c>
      <c r="T29" s="2"/>
      <c r="U29" s="2"/>
      <c r="V29" s="2">
        <v>9079793930</v>
      </c>
      <c r="W29" s="2" t="s">
        <v>56</v>
      </c>
      <c r="X29" s="2">
        <v>80000</v>
      </c>
      <c r="Y29" s="2" t="s">
        <v>46</v>
      </c>
      <c r="Z29" s="2" t="s">
        <v>46</v>
      </c>
      <c r="AA29" s="2" t="s">
        <v>47</v>
      </c>
      <c r="AB29" s="2">
        <v>6</v>
      </c>
      <c r="AC29" s="2" t="s">
        <v>48</v>
      </c>
      <c r="AD29" s="2">
        <v>1</v>
      </c>
    </row>
    <row r="30" spans="1:30" ht="45" x14ac:dyDescent="0.25">
      <c r="A30" s="2">
        <v>2</v>
      </c>
      <c r="B30" s="2" t="s">
        <v>37</v>
      </c>
      <c r="C30" s="2">
        <v>13585</v>
      </c>
      <c r="D30" s="3">
        <v>44109</v>
      </c>
      <c r="E30" s="2" t="s">
        <v>177</v>
      </c>
      <c r="F30" s="2"/>
      <c r="G30" s="2" t="s">
        <v>178</v>
      </c>
      <c r="H30" s="2" t="s">
        <v>179</v>
      </c>
      <c r="I30" s="2" t="s">
        <v>41</v>
      </c>
      <c r="J30" s="3">
        <v>42109</v>
      </c>
      <c r="K30" s="2"/>
      <c r="L30" s="2"/>
      <c r="M30" s="2">
        <v>4</v>
      </c>
      <c r="N30" s="2">
        <v>4</v>
      </c>
      <c r="O30" s="2" t="s">
        <v>53</v>
      </c>
      <c r="P30" s="2" t="s">
        <v>43</v>
      </c>
      <c r="Q30" s="2"/>
      <c r="R30" s="2" t="s">
        <v>44</v>
      </c>
      <c r="S30" s="2">
        <v>8250215703</v>
      </c>
      <c r="T30" s="2" t="s">
        <v>180</v>
      </c>
      <c r="U30" s="2"/>
      <c r="V30" s="2">
        <v>9660141143</v>
      </c>
      <c r="W30" s="2" t="s">
        <v>181</v>
      </c>
      <c r="X30" s="2">
        <v>30000</v>
      </c>
      <c r="Y30" s="2" t="s">
        <v>46</v>
      </c>
      <c r="Z30" s="2" t="s">
        <v>46</v>
      </c>
      <c r="AA30" s="2" t="s">
        <v>47</v>
      </c>
      <c r="AB30" s="2">
        <v>6</v>
      </c>
      <c r="AC30" s="2" t="s">
        <v>48</v>
      </c>
      <c r="AD30" s="2">
        <v>1</v>
      </c>
    </row>
    <row r="31" spans="1:30" ht="30" x14ac:dyDescent="0.25">
      <c r="A31" s="2">
        <v>2</v>
      </c>
      <c r="B31" s="2" t="s">
        <v>37</v>
      </c>
      <c r="C31" s="2">
        <v>13611</v>
      </c>
      <c r="D31" s="3">
        <v>44119</v>
      </c>
      <c r="E31" s="2" t="s">
        <v>182</v>
      </c>
      <c r="F31" s="2"/>
      <c r="G31" s="2" t="s">
        <v>183</v>
      </c>
      <c r="H31" s="2" t="s">
        <v>184</v>
      </c>
      <c r="I31" s="2" t="s">
        <v>52</v>
      </c>
      <c r="J31" s="3">
        <v>41726</v>
      </c>
      <c r="K31" s="2"/>
      <c r="L31" s="2"/>
      <c r="M31" s="2">
        <v>4</v>
      </c>
      <c r="N31" s="2">
        <v>4</v>
      </c>
      <c r="O31" s="2" t="s">
        <v>53</v>
      </c>
      <c r="P31" s="2" t="s">
        <v>43</v>
      </c>
      <c r="Q31" s="2"/>
      <c r="R31" s="2" t="s">
        <v>44</v>
      </c>
      <c r="S31" s="2">
        <v>8250215703</v>
      </c>
      <c r="T31" s="2" t="s">
        <v>185</v>
      </c>
      <c r="U31" s="2"/>
      <c r="V31" s="2">
        <v>9166685440</v>
      </c>
      <c r="W31" s="2" t="s">
        <v>186</v>
      </c>
      <c r="X31" s="2">
        <v>60000</v>
      </c>
      <c r="Y31" s="2" t="s">
        <v>46</v>
      </c>
      <c r="Z31" s="2" t="s">
        <v>46</v>
      </c>
      <c r="AA31" s="2" t="s">
        <v>47</v>
      </c>
      <c r="AB31" s="2">
        <v>7</v>
      </c>
      <c r="AC31" s="2" t="s">
        <v>48</v>
      </c>
      <c r="AD31" s="2">
        <v>1</v>
      </c>
    </row>
    <row r="32" spans="1:30" ht="30" x14ac:dyDescent="0.25">
      <c r="A32" s="2">
        <v>2</v>
      </c>
      <c r="B32" s="2" t="s">
        <v>37</v>
      </c>
      <c r="C32" s="2">
        <v>13595</v>
      </c>
      <c r="D32" s="3">
        <v>44109</v>
      </c>
      <c r="E32" s="2" t="s">
        <v>187</v>
      </c>
      <c r="F32" s="2"/>
      <c r="G32" s="2" t="s">
        <v>188</v>
      </c>
      <c r="H32" s="2" t="s">
        <v>189</v>
      </c>
      <c r="I32" s="2" t="s">
        <v>41</v>
      </c>
      <c r="J32" s="3">
        <v>41609</v>
      </c>
      <c r="K32" s="2"/>
      <c r="L32" s="2"/>
      <c r="M32" s="2">
        <v>4</v>
      </c>
      <c r="N32" s="2">
        <v>0</v>
      </c>
      <c r="O32" s="2" t="s">
        <v>78</v>
      </c>
      <c r="P32" s="2" t="s">
        <v>43</v>
      </c>
      <c r="Q32" s="2"/>
      <c r="R32" s="2" t="s">
        <v>44</v>
      </c>
      <c r="S32" s="2">
        <v>8250215703</v>
      </c>
      <c r="T32" s="2" t="s">
        <v>190</v>
      </c>
      <c r="U32" s="2"/>
      <c r="V32" s="2">
        <v>6375268910</v>
      </c>
      <c r="W32" s="2" t="s">
        <v>161</v>
      </c>
      <c r="X32" s="2">
        <v>36000</v>
      </c>
      <c r="Y32" s="2" t="s">
        <v>46</v>
      </c>
      <c r="Z32" s="2" t="s">
        <v>46</v>
      </c>
      <c r="AA32" s="2" t="s">
        <v>47</v>
      </c>
      <c r="AB32" s="2">
        <v>8</v>
      </c>
      <c r="AC32" s="2" t="s">
        <v>48</v>
      </c>
      <c r="AD32" s="2">
        <v>1</v>
      </c>
    </row>
    <row r="33" spans="1:30" ht="30" x14ac:dyDescent="0.25">
      <c r="A33" s="2">
        <v>3</v>
      </c>
      <c r="B33" s="2" t="s">
        <v>37</v>
      </c>
      <c r="C33" s="2">
        <v>13641</v>
      </c>
      <c r="D33" s="3">
        <v>44120</v>
      </c>
      <c r="E33" s="2" t="s">
        <v>191</v>
      </c>
      <c r="F33" s="2"/>
      <c r="G33" s="2" t="s">
        <v>102</v>
      </c>
      <c r="H33" s="2" t="s">
        <v>189</v>
      </c>
      <c r="I33" s="2" t="s">
        <v>52</v>
      </c>
      <c r="J33" s="3">
        <v>41695</v>
      </c>
      <c r="K33" s="2"/>
      <c r="L33" s="2"/>
      <c r="M33" s="2">
        <v>4</v>
      </c>
      <c r="N33" s="2">
        <v>3</v>
      </c>
      <c r="O33" s="2" t="s">
        <v>53</v>
      </c>
      <c r="P33" s="2" t="s">
        <v>43</v>
      </c>
      <c r="Q33" s="2"/>
      <c r="R33" s="2" t="s">
        <v>44</v>
      </c>
      <c r="S33" s="2">
        <v>8250215703</v>
      </c>
      <c r="T33" s="2" t="s">
        <v>192</v>
      </c>
      <c r="U33" s="2" t="s">
        <v>193</v>
      </c>
      <c r="V33" s="2">
        <v>7790859963</v>
      </c>
      <c r="W33" s="2" t="s">
        <v>194</v>
      </c>
      <c r="X33" s="2">
        <v>28000</v>
      </c>
      <c r="Y33" s="2" t="s">
        <v>46</v>
      </c>
      <c r="Z33" s="2" t="s">
        <v>46</v>
      </c>
      <c r="AA33" s="2" t="s">
        <v>47</v>
      </c>
      <c r="AB33" s="2">
        <v>7</v>
      </c>
      <c r="AC33" s="2" t="s">
        <v>48</v>
      </c>
      <c r="AD33" s="2">
        <v>1</v>
      </c>
    </row>
    <row r="34" spans="1:30" ht="30" x14ac:dyDescent="0.25">
      <c r="A34" s="2">
        <v>3</v>
      </c>
      <c r="B34" s="2" t="s">
        <v>37</v>
      </c>
      <c r="C34" s="2">
        <v>13650</v>
      </c>
      <c r="D34" s="3">
        <v>44124</v>
      </c>
      <c r="E34" s="2" t="s">
        <v>195</v>
      </c>
      <c r="F34" s="2"/>
      <c r="G34" s="2" t="s">
        <v>196</v>
      </c>
      <c r="H34" s="2" t="s">
        <v>197</v>
      </c>
      <c r="I34" s="2" t="s">
        <v>52</v>
      </c>
      <c r="J34" s="3">
        <v>41804</v>
      </c>
      <c r="K34" s="2"/>
      <c r="L34" s="2"/>
      <c r="M34" s="2">
        <v>4</v>
      </c>
      <c r="N34" s="2">
        <v>4</v>
      </c>
      <c r="O34" s="2" t="s">
        <v>53</v>
      </c>
      <c r="P34" s="2" t="s">
        <v>43</v>
      </c>
      <c r="Q34" s="2"/>
      <c r="R34" s="2" t="s">
        <v>44</v>
      </c>
      <c r="S34" s="2">
        <v>8250215703</v>
      </c>
      <c r="T34" s="2" t="s">
        <v>198</v>
      </c>
      <c r="U34" s="2" t="s">
        <v>199</v>
      </c>
      <c r="V34" s="2">
        <v>8058709717</v>
      </c>
      <c r="W34" s="2" t="s">
        <v>136</v>
      </c>
      <c r="X34" s="2">
        <v>30000</v>
      </c>
      <c r="Y34" s="2" t="s">
        <v>46</v>
      </c>
      <c r="Z34" s="2" t="s">
        <v>46</v>
      </c>
      <c r="AA34" s="2" t="s">
        <v>47</v>
      </c>
      <c r="AB34" s="2">
        <v>7</v>
      </c>
      <c r="AC34" s="2" t="s">
        <v>48</v>
      </c>
      <c r="AD34" s="2">
        <v>1</v>
      </c>
    </row>
    <row r="35" spans="1:30" ht="30" x14ac:dyDescent="0.25">
      <c r="A35" s="2">
        <v>3</v>
      </c>
      <c r="B35" s="2" t="s">
        <v>37</v>
      </c>
      <c r="C35" s="2">
        <v>13626</v>
      </c>
      <c r="D35" s="3">
        <v>44119</v>
      </c>
      <c r="E35" s="2" t="s">
        <v>119</v>
      </c>
      <c r="F35" s="2"/>
      <c r="G35" s="2" t="s">
        <v>200</v>
      </c>
      <c r="H35" s="2" t="s">
        <v>103</v>
      </c>
      <c r="I35" s="2" t="s">
        <v>41</v>
      </c>
      <c r="J35" s="3">
        <v>41476</v>
      </c>
      <c r="K35" s="2"/>
      <c r="L35" s="2"/>
      <c r="M35" s="2">
        <v>4</v>
      </c>
      <c r="N35" s="2">
        <v>4</v>
      </c>
      <c r="O35" s="2" t="s">
        <v>53</v>
      </c>
      <c r="P35" s="2" t="s">
        <v>43</v>
      </c>
      <c r="Q35" s="2"/>
      <c r="R35" s="2" t="s">
        <v>44</v>
      </c>
      <c r="S35" s="2">
        <v>8250215703</v>
      </c>
      <c r="T35" s="2" t="s">
        <v>201</v>
      </c>
      <c r="U35" s="2"/>
      <c r="V35" s="2">
        <v>9929324004</v>
      </c>
      <c r="W35" s="2" t="s">
        <v>202</v>
      </c>
      <c r="X35" s="2">
        <v>23000</v>
      </c>
      <c r="Y35" s="2" t="s">
        <v>46</v>
      </c>
      <c r="Z35" s="2" t="s">
        <v>46</v>
      </c>
      <c r="AA35" s="2" t="s">
        <v>47</v>
      </c>
      <c r="AB35" s="2">
        <v>8</v>
      </c>
      <c r="AC35" s="2" t="s">
        <v>48</v>
      </c>
      <c r="AD35" s="2">
        <v>1</v>
      </c>
    </row>
    <row r="36" spans="1:30" ht="30" x14ac:dyDescent="0.25">
      <c r="A36" s="2">
        <v>3</v>
      </c>
      <c r="B36" s="2" t="s">
        <v>37</v>
      </c>
      <c r="C36" s="2">
        <v>13639</v>
      </c>
      <c r="D36" s="3">
        <v>44120</v>
      </c>
      <c r="E36" s="2" t="s">
        <v>203</v>
      </c>
      <c r="F36" s="2"/>
      <c r="G36" s="2" t="s">
        <v>204</v>
      </c>
      <c r="H36" s="2" t="s">
        <v>205</v>
      </c>
      <c r="I36" s="2" t="s">
        <v>41</v>
      </c>
      <c r="J36" s="3">
        <v>41231</v>
      </c>
      <c r="K36" s="2"/>
      <c r="L36" s="2"/>
      <c r="M36" s="2">
        <v>4</v>
      </c>
      <c r="N36" s="2">
        <v>0</v>
      </c>
      <c r="O36" s="2" t="s">
        <v>53</v>
      </c>
      <c r="P36" s="2" t="s">
        <v>43</v>
      </c>
      <c r="Q36" s="2"/>
      <c r="R36" s="2" t="s">
        <v>44</v>
      </c>
      <c r="S36" s="2">
        <v>8250215703</v>
      </c>
      <c r="T36" s="2" t="s">
        <v>206</v>
      </c>
      <c r="U36" s="2"/>
      <c r="V36" s="2">
        <v>9664460217</v>
      </c>
      <c r="W36" s="2" t="s">
        <v>207</v>
      </c>
      <c r="X36" s="2">
        <v>25000</v>
      </c>
      <c r="Y36" s="2" t="s">
        <v>46</v>
      </c>
      <c r="Z36" s="2" t="s">
        <v>46</v>
      </c>
      <c r="AA36" s="2" t="s">
        <v>47</v>
      </c>
      <c r="AB36" s="2">
        <v>9</v>
      </c>
      <c r="AC36" s="2" t="s">
        <v>48</v>
      </c>
      <c r="AD36" s="2">
        <v>1</v>
      </c>
    </row>
    <row r="37" spans="1:30" ht="30" x14ac:dyDescent="0.25">
      <c r="A37" s="2">
        <v>3</v>
      </c>
      <c r="B37" s="2" t="s">
        <v>37</v>
      </c>
      <c r="C37" s="2">
        <v>13109</v>
      </c>
      <c r="D37" s="3">
        <v>43288</v>
      </c>
      <c r="E37" s="2" t="s">
        <v>208</v>
      </c>
      <c r="F37" s="2"/>
      <c r="G37" s="2" t="s">
        <v>209</v>
      </c>
      <c r="H37" s="2" t="s">
        <v>210</v>
      </c>
      <c r="I37" s="2" t="s">
        <v>52</v>
      </c>
      <c r="J37" s="3">
        <v>40735</v>
      </c>
      <c r="K37" s="2"/>
      <c r="L37" s="2"/>
      <c r="M37" s="2">
        <v>4</v>
      </c>
      <c r="N37" s="2">
        <v>3</v>
      </c>
      <c r="O37" s="2" t="s">
        <v>53</v>
      </c>
      <c r="P37" s="2" t="s">
        <v>43</v>
      </c>
      <c r="Q37" s="2"/>
      <c r="R37" s="2" t="s">
        <v>44</v>
      </c>
      <c r="S37" s="2">
        <v>8250215703</v>
      </c>
      <c r="T37" s="2" t="s">
        <v>211</v>
      </c>
      <c r="U37" s="2"/>
      <c r="V37" s="2">
        <v>9549208592</v>
      </c>
      <c r="W37" s="2" t="s">
        <v>212</v>
      </c>
      <c r="X37" s="2">
        <v>40000</v>
      </c>
      <c r="Y37" s="2" t="s">
        <v>46</v>
      </c>
      <c r="Z37" s="2" t="s">
        <v>46</v>
      </c>
      <c r="AA37" s="2" t="s">
        <v>47</v>
      </c>
      <c r="AB37" s="2">
        <v>10</v>
      </c>
      <c r="AC37" s="2" t="s">
        <v>48</v>
      </c>
      <c r="AD37" s="2">
        <v>1</v>
      </c>
    </row>
    <row r="38" spans="1:30" ht="30" x14ac:dyDescent="0.25">
      <c r="A38" s="2">
        <v>3</v>
      </c>
      <c r="B38" s="2" t="s">
        <v>37</v>
      </c>
      <c r="C38" s="2">
        <v>13268</v>
      </c>
      <c r="D38" s="3">
        <v>43655</v>
      </c>
      <c r="E38" s="2" t="s">
        <v>213</v>
      </c>
      <c r="F38" s="2"/>
      <c r="G38" s="2" t="s">
        <v>214</v>
      </c>
      <c r="H38" s="2" t="s">
        <v>215</v>
      </c>
      <c r="I38" s="2" t="s">
        <v>41</v>
      </c>
      <c r="J38" s="3">
        <v>41493</v>
      </c>
      <c r="K38" s="2"/>
      <c r="L38" s="2"/>
      <c r="M38" s="2">
        <v>4</v>
      </c>
      <c r="N38" s="2">
        <v>3</v>
      </c>
      <c r="O38" s="2" t="s">
        <v>53</v>
      </c>
      <c r="P38" s="2" t="s">
        <v>43</v>
      </c>
      <c r="Q38" s="2"/>
      <c r="R38" s="2" t="s">
        <v>44</v>
      </c>
      <c r="S38" s="2">
        <v>8250215703</v>
      </c>
      <c r="T38" s="2" t="s">
        <v>216</v>
      </c>
      <c r="U38" s="2" t="s">
        <v>217</v>
      </c>
      <c r="V38" s="2">
        <v>9928801357</v>
      </c>
      <c r="W38" s="2" t="s">
        <v>218</v>
      </c>
      <c r="X38" s="2">
        <v>40000</v>
      </c>
      <c r="Y38" s="2" t="s">
        <v>46</v>
      </c>
      <c r="Z38" s="2" t="s">
        <v>46</v>
      </c>
      <c r="AA38" s="2" t="s">
        <v>47</v>
      </c>
      <c r="AB38" s="2">
        <v>8</v>
      </c>
      <c r="AC38" s="2" t="s">
        <v>48</v>
      </c>
      <c r="AD38" s="2">
        <v>1</v>
      </c>
    </row>
    <row r="39" spans="1:30" ht="30" x14ac:dyDescent="0.25">
      <c r="A39" s="2">
        <v>3</v>
      </c>
      <c r="B39" s="2" t="s">
        <v>37</v>
      </c>
      <c r="C39" s="2">
        <v>13601</v>
      </c>
      <c r="D39" s="3">
        <v>44114</v>
      </c>
      <c r="E39" s="2" t="s">
        <v>219</v>
      </c>
      <c r="F39" s="2"/>
      <c r="G39" s="2" t="s">
        <v>220</v>
      </c>
      <c r="H39" s="2" t="s">
        <v>139</v>
      </c>
      <c r="I39" s="2" t="s">
        <v>52</v>
      </c>
      <c r="J39" s="3">
        <v>41628</v>
      </c>
      <c r="K39" s="2"/>
      <c r="L39" s="2"/>
      <c r="M39" s="2">
        <v>4</v>
      </c>
      <c r="N39" s="2">
        <v>3</v>
      </c>
      <c r="O39" s="2" t="s">
        <v>53</v>
      </c>
      <c r="P39" s="2" t="s">
        <v>43</v>
      </c>
      <c r="Q39" s="2"/>
      <c r="R39" s="2" t="s">
        <v>44</v>
      </c>
      <c r="S39" s="2">
        <v>8250215703</v>
      </c>
      <c r="T39" s="2" t="s">
        <v>221</v>
      </c>
      <c r="U39" s="2"/>
      <c r="V39" s="2">
        <v>7568749765</v>
      </c>
      <c r="W39" s="2" t="s">
        <v>222</v>
      </c>
      <c r="X39" s="2">
        <v>20000</v>
      </c>
      <c r="Y39" s="2" t="s">
        <v>46</v>
      </c>
      <c r="Z39" s="2" t="s">
        <v>46</v>
      </c>
      <c r="AA39" s="2" t="s">
        <v>47</v>
      </c>
      <c r="AB39" s="2">
        <v>8</v>
      </c>
      <c r="AC39" s="2" t="s">
        <v>48</v>
      </c>
      <c r="AD39" s="2">
        <v>1</v>
      </c>
    </row>
    <row r="40" spans="1:30" ht="30" x14ac:dyDescent="0.25">
      <c r="A40" s="2">
        <v>3</v>
      </c>
      <c r="B40" s="2" t="s">
        <v>37</v>
      </c>
      <c r="C40" s="2">
        <v>13107</v>
      </c>
      <c r="D40" s="3">
        <v>43288</v>
      </c>
      <c r="E40" s="2" t="s">
        <v>223</v>
      </c>
      <c r="F40" s="2"/>
      <c r="G40" s="2" t="s">
        <v>224</v>
      </c>
      <c r="H40" s="2" t="s">
        <v>225</v>
      </c>
      <c r="I40" s="2" t="s">
        <v>52</v>
      </c>
      <c r="J40" s="3">
        <v>41275</v>
      </c>
      <c r="K40" s="2"/>
      <c r="L40" s="2"/>
      <c r="M40" s="2">
        <v>4</v>
      </c>
      <c r="N40" s="2">
        <v>4</v>
      </c>
      <c r="O40" s="2" t="s">
        <v>53</v>
      </c>
      <c r="P40" s="2" t="s">
        <v>43</v>
      </c>
      <c r="Q40" s="2"/>
      <c r="R40" s="2" t="s">
        <v>44</v>
      </c>
      <c r="S40" s="2">
        <v>8250215703</v>
      </c>
      <c r="T40" s="2" t="s">
        <v>226</v>
      </c>
      <c r="U40" s="2"/>
      <c r="V40" s="2">
        <v>8003267106</v>
      </c>
      <c r="W40" s="2" t="s">
        <v>227</v>
      </c>
      <c r="X40" s="2">
        <v>36000</v>
      </c>
      <c r="Y40" s="2" t="s">
        <v>46</v>
      </c>
      <c r="Z40" s="2" t="s">
        <v>46</v>
      </c>
      <c r="AA40" s="2" t="s">
        <v>47</v>
      </c>
      <c r="AB40" s="2">
        <v>8</v>
      </c>
      <c r="AC40" s="2" t="s">
        <v>48</v>
      </c>
      <c r="AD40" s="2">
        <v>1</v>
      </c>
    </row>
    <row r="41" spans="1:30" ht="30" x14ac:dyDescent="0.25">
      <c r="A41" s="2">
        <v>3</v>
      </c>
      <c r="B41" s="2" t="s">
        <v>37</v>
      </c>
      <c r="C41" s="2">
        <v>13664</v>
      </c>
      <c r="D41" s="3">
        <v>44124</v>
      </c>
      <c r="E41" s="2" t="s">
        <v>228</v>
      </c>
      <c r="F41" s="2" t="s">
        <v>229</v>
      </c>
      <c r="G41" s="2" t="s">
        <v>230</v>
      </c>
      <c r="H41" s="2" t="s">
        <v>231</v>
      </c>
      <c r="I41" s="2" t="s">
        <v>52</v>
      </c>
      <c r="J41" s="3">
        <v>40909</v>
      </c>
      <c r="K41" s="2"/>
      <c r="L41" s="2"/>
      <c r="M41" s="2">
        <v>4</v>
      </c>
      <c r="N41" s="2">
        <v>0</v>
      </c>
      <c r="O41" s="2" t="s">
        <v>53</v>
      </c>
      <c r="P41" s="2" t="s">
        <v>43</v>
      </c>
      <c r="Q41" s="2"/>
      <c r="R41" s="2" t="s">
        <v>44</v>
      </c>
      <c r="S41" s="2">
        <v>8250215703</v>
      </c>
      <c r="T41" s="2" t="s">
        <v>232</v>
      </c>
      <c r="U41" s="2"/>
      <c r="V41" s="2">
        <v>7850839251</v>
      </c>
      <c r="W41" s="2" t="s">
        <v>233</v>
      </c>
      <c r="X41" s="2">
        <v>36000</v>
      </c>
      <c r="Y41" s="2" t="s">
        <v>46</v>
      </c>
      <c r="Z41" s="2" t="s">
        <v>46</v>
      </c>
      <c r="AA41" s="2" t="s">
        <v>47</v>
      </c>
      <c r="AB41" s="2">
        <v>9</v>
      </c>
      <c r="AC41" s="2" t="s">
        <v>48</v>
      </c>
      <c r="AD41" s="2">
        <v>0</v>
      </c>
    </row>
    <row r="42" spans="1:30" ht="30" x14ac:dyDescent="0.25">
      <c r="A42" s="2">
        <v>3</v>
      </c>
      <c r="B42" s="2" t="s">
        <v>37</v>
      </c>
      <c r="C42" s="2">
        <v>13326</v>
      </c>
      <c r="D42" s="3">
        <v>43658</v>
      </c>
      <c r="E42" s="2" t="s">
        <v>234</v>
      </c>
      <c r="F42" s="2"/>
      <c r="G42" s="2" t="s">
        <v>235</v>
      </c>
      <c r="H42" s="2" t="s">
        <v>236</v>
      </c>
      <c r="I42" s="2" t="s">
        <v>41</v>
      </c>
      <c r="J42" s="3">
        <v>41922</v>
      </c>
      <c r="K42" s="2"/>
      <c r="L42" s="2"/>
      <c r="M42" s="2">
        <v>4</v>
      </c>
      <c r="N42" s="2">
        <v>2</v>
      </c>
      <c r="O42" s="2" t="s">
        <v>53</v>
      </c>
      <c r="P42" s="2" t="s">
        <v>43</v>
      </c>
      <c r="Q42" s="2"/>
      <c r="R42" s="2" t="s">
        <v>44</v>
      </c>
      <c r="S42" s="2">
        <v>8250215703</v>
      </c>
      <c r="T42" s="2" t="s">
        <v>237</v>
      </c>
      <c r="U42" s="2" t="s">
        <v>238</v>
      </c>
      <c r="V42" s="2">
        <v>9829764630</v>
      </c>
      <c r="W42" s="2" t="s">
        <v>239</v>
      </c>
      <c r="X42" s="2">
        <v>40000</v>
      </c>
      <c r="Y42" s="2" t="s">
        <v>240</v>
      </c>
      <c r="Z42" s="2" t="s">
        <v>46</v>
      </c>
      <c r="AA42" s="2" t="s">
        <v>47</v>
      </c>
      <c r="AB42" s="2">
        <v>7</v>
      </c>
      <c r="AC42" s="2" t="s">
        <v>48</v>
      </c>
      <c r="AD42" s="2">
        <v>1</v>
      </c>
    </row>
    <row r="43" spans="1:30" ht="30" x14ac:dyDescent="0.25">
      <c r="A43" s="2">
        <v>3</v>
      </c>
      <c r="B43" s="2" t="s">
        <v>37</v>
      </c>
      <c r="C43" s="2">
        <v>13158</v>
      </c>
      <c r="D43" s="3">
        <v>43593</v>
      </c>
      <c r="E43" s="2" t="s">
        <v>241</v>
      </c>
      <c r="F43" s="2"/>
      <c r="G43" s="2" t="s">
        <v>242</v>
      </c>
      <c r="H43" s="2" t="s">
        <v>243</v>
      </c>
      <c r="I43" s="2" t="s">
        <v>52</v>
      </c>
      <c r="J43" s="3">
        <v>41828</v>
      </c>
      <c r="K43" s="2"/>
      <c r="L43" s="2"/>
      <c r="M43" s="2">
        <v>4</v>
      </c>
      <c r="N43" s="2">
        <v>4</v>
      </c>
      <c r="O43" s="2" t="s">
        <v>53</v>
      </c>
      <c r="P43" s="2" t="s">
        <v>43</v>
      </c>
      <c r="Q43" s="2"/>
      <c r="R43" s="2" t="s">
        <v>44</v>
      </c>
      <c r="S43" s="2">
        <v>8250215703</v>
      </c>
      <c r="T43" s="2" t="s">
        <v>244</v>
      </c>
      <c r="U43" s="2" t="s">
        <v>245</v>
      </c>
      <c r="V43" s="2">
        <v>8619638554</v>
      </c>
      <c r="W43" s="2" t="s">
        <v>85</v>
      </c>
      <c r="X43" s="2">
        <v>40000</v>
      </c>
      <c r="Y43" s="2" t="s">
        <v>46</v>
      </c>
      <c r="Z43" s="2" t="s">
        <v>46</v>
      </c>
      <c r="AA43" s="2" t="s">
        <v>47</v>
      </c>
      <c r="AB43" s="2">
        <v>7</v>
      </c>
      <c r="AC43" s="2" t="s">
        <v>48</v>
      </c>
      <c r="AD43" s="2">
        <v>1</v>
      </c>
    </row>
    <row r="44" spans="1:30" ht="30" x14ac:dyDescent="0.25">
      <c r="A44" s="2">
        <v>3</v>
      </c>
      <c r="B44" s="2" t="s">
        <v>37</v>
      </c>
      <c r="C44" s="2">
        <v>13163</v>
      </c>
      <c r="D44" s="3">
        <v>43643</v>
      </c>
      <c r="E44" s="2" t="s">
        <v>246</v>
      </c>
      <c r="F44" s="2"/>
      <c r="G44" s="2" t="s">
        <v>247</v>
      </c>
      <c r="H44" s="2" t="s">
        <v>248</v>
      </c>
      <c r="I44" s="2" t="s">
        <v>41</v>
      </c>
      <c r="J44" s="3">
        <v>41678</v>
      </c>
      <c r="K44" s="2"/>
      <c r="L44" s="2"/>
      <c r="M44" s="2">
        <v>4</v>
      </c>
      <c r="N44" s="2">
        <v>0</v>
      </c>
      <c r="O44" s="2" t="s">
        <v>42</v>
      </c>
      <c r="P44" s="2" t="s">
        <v>54</v>
      </c>
      <c r="Q44" s="2"/>
      <c r="R44" s="2" t="s">
        <v>44</v>
      </c>
      <c r="S44" s="2">
        <v>8250215703</v>
      </c>
      <c r="T44" s="2" t="s">
        <v>249</v>
      </c>
      <c r="U44" s="2"/>
      <c r="V44" s="2">
        <v>9414983265</v>
      </c>
      <c r="W44" s="2" t="s">
        <v>250</v>
      </c>
      <c r="X44" s="2">
        <v>50000</v>
      </c>
      <c r="Y44" s="2" t="s">
        <v>46</v>
      </c>
      <c r="Z44" s="2" t="s">
        <v>46</v>
      </c>
      <c r="AA44" s="2" t="s">
        <v>57</v>
      </c>
      <c r="AB44" s="2">
        <v>7</v>
      </c>
      <c r="AC44" s="2" t="s">
        <v>48</v>
      </c>
      <c r="AD44" s="2">
        <v>1</v>
      </c>
    </row>
    <row r="45" spans="1:30" ht="30" x14ac:dyDescent="0.25">
      <c r="A45" s="2">
        <v>3</v>
      </c>
      <c r="B45" s="2" t="s">
        <v>37</v>
      </c>
      <c r="C45" s="2">
        <v>13681</v>
      </c>
      <c r="D45" s="3">
        <v>44226</v>
      </c>
      <c r="E45" s="2" t="s">
        <v>251</v>
      </c>
      <c r="F45" s="2"/>
      <c r="G45" s="2" t="s">
        <v>252</v>
      </c>
      <c r="H45" s="2" t="s">
        <v>253</v>
      </c>
      <c r="I45" s="2" t="s">
        <v>41</v>
      </c>
      <c r="J45" s="3">
        <v>40021</v>
      </c>
      <c r="K45" s="2"/>
      <c r="L45" s="2"/>
      <c r="M45" s="2">
        <v>4</v>
      </c>
      <c r="N45" s="2">
        <v>3</v>
      </c>
      <c r="O45" s="2" t="s">
        <v>78</v>
      </c>
      <c r="P45" s="2" t="s">
        <v>43</v>
      </c>
      <c r="Q45" s="2"/>
      <c r="R45" s="2" t="s">
        <v>44</v>
      </c>
      <c r="S45" s="2">
        <v>8250215703</v>
      </c>
      <c r="T45" s="2" t="s">
        <v>254</v>
      </c>
      <c r="U45" s="2"/>
      <c r="V45" s="2">
        <v>9680070181</v>
      </c>
      <c r="W45" s="2" t="s">
        <v>255</v>
      </c>
      <c r="X45" s="2">
        <v>134000</v>
      </c>
      <c r="Y45" s="2" t="s">
        <v>46</v>
      </c>
      <c r="Z45" s="2" t="s">
        <v>46</v>
      </c>
      <c r="AA45" s="2" t="s">
        <v>47</v>
      </c>
      <c r="AB45" s="2">
        <v>12</v>
      </c>
      <c r="AC45" s="2" t="s">
        <v>48</v>
      </c>
      <c r="AD45" s="2">
        <v>2</v>
      </c>
    </row>
    <row r="46" spans="1:30" ht="30" x14ac:dyDescent="0.25">
      <c r="A46" s="2">
        <v>3</v>
      </c>
      <c r="B46" s="2" t="s">
        <v>37</v>
      </c>
      <c r="C46" s="2">
        <v>13673</v>
      </c>
      <c r="D46" s="3">
        <v>44211</v>
      </c>
      <c r="E46" s="2" t="s">
        <v>256</v>
      </c>
      <c r="F46" s="2"/>
      <c r="G46" s="2" t="s">
        <v>168</v>
      </c>
      <c r="H46" s="2" t="s">
        <v>169</v>
      </c>
      <c r="I46" s="2" t="s">
        <v>41</v>
      </c>
      <c r="J46" s="3">
        <v>40544</v>
      </c>
      <c r="K46" s="2"/>
      <c r="L46" s="2"/>
      <c r="M46" s="2">
        <v>4</v>
      </c>
      <c r="N46" s="2">
        <v>4</v>
      </c>
      <c r="O46" s="2" t="s">
        <v>53</v>
      </c>
      <c r="P46" s="2" t="s">
        <v>43</v>
      </c>
      <c r="Q46" s="2"/>
      <c r="R46" s="2" t="s">
        <v>44</v>
      </c>
      <c r="S46" s="2">
        <v>8250215703</v>
      </c>
      <c r="T46" s="2"/>
      <c r="U46" s="2"/>
      <c r="V46" s="2">
        <v>7878608569</v>
      </c>
      <c r="W46" s="2" t="s">
        <v>170</v>
      </c>
      <c r="X46" s="2">
        <v>80000</v>
      </c>
      <c r="Y46" s="2" t="s">
        <v>46</v>
      </c>
      <c r="Z46" s="2" t="s">
        <v>46</v>
      </c>
      <c r="AA46" s="2" t="s">
        <v>47</v>
      </c>
      <c r="AB46" s="2">
        <v>10</v>
      </c>
      <c r="AC46" s="2" t="s">
        <v>48</v>
      </c>
      <c r="AD46" s="2">
        <v>2</v>
      </c>
    </row>
    <row r="47" spans="1:30" ht="30" x14ac:dyDescent="0.25">
      <c r="A47" s="2">
        <v>3</v>
      </c>
      <c r="B47" s="2" t="s">
        <v>37</v>
      </c>
      <c r="C47" s="2">
        <v>13649</v>
      </c>
      <c r="D47" s="3">
        <v>44124</v>
      </c>
      <c r="E47" s="2" t="s">
        <v>256</v>
      </c>
      <c r="F47" s="2"/>
      <c r="G47" s="2" t="s">
        <v>132</v>
      </c>
      <c r="H47" s="2" t="s">
        <v>133</v>
      </c>
      <c r="I47" s="2" t="s">
        <v>41</v>
      </c>
      <c r="J47" s="3">
        <v>40373</v>
      </c>
      <c r="K47" s="2"/>
      <c r="L47" s="2"/>
      <c r="M47" s="2">
        <v>4</v>
      </c>
      <c r="N47" s="2">
        <v>0</v>
      </c>
      <c r="O47" s="2" t="s">
        <v>53</v>
      </c>
      <c r="P47" s="2" t="s">
        <v>43</v>
      </c>
      <c r="Q47" s="2"/>
      <c r="R47" s="2" t="s">
        <v>44</v>
      </c>
      <c r="S47" s="2">
        <v>8250215703</v>
      </c>
      <c r="T47" s="2" t="s">
        <v>257</v>
      </c>
      <c r="U47" s="2" t="s">
        <v>135</v>
      </c>
      <c r="V47" s="2">
        <v>9001858800</v>
      </c>
      <c r="W47" s="2" t="s">
        <v>56</v>
      </c>
      <c r="X47" s="2">
        <v>28000</v>
      </c>
      <c r="Y47" s="2" t="s">
        <v>46</v>
      </c>
      <c r="Z47" s="2" t="s">
        <v>46</v>
      </c>
      <c r="AA47" s="2" t="s">
        <v>47</v>
      </c>
      <c r="AB47" s="2">
        <v>11</v>
      </c>
      <c r="AC47" s="2" t="s">
        <v>48</v>
      </c>
      <c r="AD47" s="2">
        <v>1</v>
      </c>
    </row>
    <row r="48" spans="1:30" ht="30" x14ac:dyDescent="0.25">
      <c r="A48" s="2">
        <v>3</v>
      </c>
      <c r="B48" s="2" t="s">
        <v>37</v>
      </c>
      <c r="C48" s="2">
        <v>14002</v>
      </c>
      <c r="D48" s="3">
        <v>44483</v>
      </c>
      <c r="E48" s="2" t="s">
        <v>258</v>
      </c>
      <c r="F48" s="2"/>
      <c r="G48" s="2" t="s">
        <v>259</v>
      </c>
      <c r="H48" s="2" t="s">
        <v>88</v>
      </c>
      <c r="I48" s="2" t="s">
        <v>41</v>
      </c>
      <c r="J48" s="3">
        <v>40923</v>
      </c>
      <c r="K48" s="2"/>
      <c r="L48" s="2"/>
      <c r="M48" s="2">
        <v>4</v>
      </c>
      <c r="N48" s="2"/>
      <c r="O48" s="2" t="s">
        <v>53</v>
      </c>
      <c r="P48" s="2" t="s">
        <v>43</v>
      </c>
      <c r="Q48" s="2"/>
      <c r="R48" s="2" t="s">
        <v>44</v>
      </c>
      <c r="S48" s="2">
        <v>8250215703</v>
      </c>
      <c r="T48" s="2"/>
      <c r="U48" s="2"/>
      <c r="V48" s="2">
        <v>9680311987</v>
      </c>
      <c r="W48" s="2" t="s">
        <v>260</v>
      </c>
      <c r="X48" s="2">
        <v>30000</v>
      </c>
      <c r="Y48" s="2" t="s">
        <v>46</v>
      </c>
      <c r="Z48" s="2" t="s">
        <v>46</v>
      </c>
      <c r="AA48" s="2" t="s">
        <v>47</v>
      </c>
      <c r="AB48" s="2">
        <v>9</v>
      </c>
      <c r="AC48" s="2" t="s">
        <v>48</v>
      </c>
      <c r="AD48" s="2">
        <v>1</v>
      </c>
    </row>
    <row r="49" spans="1:30" ht="30" x14ac:dyDescent="0.25">
      <c r="A49" s="2">
        <v>3</v>
      </c>
      <c r="B49" s="2" t="s">
        <v>37</v>
      </c>
      <c r="C49" s="2">
        <v>13167</v>
      </c>
      <c r="D49" s="3">
        <v>43648</v>
      </c>
      <c r="E49" s="2" t="s">
        <v>261</v>
      </c>
      <c r="F49" s="2"/>
      <c r="G49" s="2" t="s">
        <v>262</v>
      </c>
      <c r="H49" s="2" t="s">
        <v>263</v>
      </c>
      <c r="I49" s="2" t="s">
        <v>52</v>
      </c>
      <c r="J49" s="3">
        <v>40909</v>
      </c>
      <c r="K49" s="2"/>
      <c r="L49" s="2"/>
      <c r="M49" s="2">
        <v>4</v>
      </c>
      <c r="N49" s="2">
        <v>3</v>
      </c>
      <c r="O49" s="2" t="s">
        <v>53</v>
      </c>
      <c r="P49" s="2" t="s">
        <v>43</v>
      </c>
      <c r="Q49" s="2"/>
      <c r="R49" s="2" t="s">
        <v>44</v>
      </c>
      <c r="S49" s="2">
        <v>8250215703</v>
      </c>
      <c r="T49" s="2" t="s">
        <v>264</v>
      </c>
      <c r="U49" s="2"/>
      <c r="V49" s="2">
        <v>9660141411</v>
      </c>
      <c r="W49" s="2" t="s">
        <v>265</v>
      </c>
      <c r="X49" s="2">
        <v>36000</v>
      </c>
      <c r="Y49" s="2" t="s">
        <v>46</v>
      </c>
      <c r="Z49" s="2" t="s">
        <v>46</v>
      </c>
      <c r="AA49" s="2" t="s">
        <v>47</v>
      </c>
      <c r="AB49" s="2">
        <v>9</v>
      </c>
      <c r="AC49" s="2" t="s">
        <v>48</v>
      </c>
      <c r="AD49" s="2">
        <v>1</v>
      </c>
    </row>
    <row r="50" spans="1:30" ht="45" x14ac:dyDescent="0.25">
      <c r="A50" s="2">
        <v>3</v>
      </c>
      <c r="B50" s="2" t="s">
        <v>37</v>
      </c>
      <c r="C50" s="2">
        <v>13587</v>
      </c>
      <c r="D50" s="3">
        <v>44109</v>
      </c>
      <c r="E50" s="2" t="s">
        <v>266</v>
      </c>
      <c r="F50" s="2"/>
      <c r="G50" s="2" t="s">
        <v>267</v>
      </c>
      <c r="H50" s="2" t="s">
        <v>268</v>
      </c>
      <c r="I50" s="2" t="s">
        <v>41</v>
      </c>
      <c r="J50" s="3">
        <v>40852</v>
      </c>
      <c r="K50" s="2"/>
      <c r="L50" s="2"/>
      <c r="M50" s="2">
        <v>4</v>
      </c>
      <c r="N50" s="2">
        <v>4</v>
      </c>
      <c r="O50" s="2" t="s">
        <v>53</v>
      </c>
      <c r="P50" s="2" t="s">
        <v>43</v>
      </c>
      <c r="Q50" s="2"/>
      <c r="R50" s="2" t="s">
        <v>44</v>
      </c>
      <c r="S50" s="2">
        <v>8250215703</v>
      </c>
      <c r="T50" s="2" t="s">
        <v>269</v>
      </c>
      <c r="U50" s="2"/>
      <c r="V50" s="2">
        <v>9660141430</v>
      </c>
      <c r="W50" s="2" t="s">
        <v>270</v>
      </c>
      <c r="X50" s="2">
        <v>35000</v>
      </c>
      <c r="Y50" s="2" t="s">
        <v>46</v>
      </c>
      <c r="Z50" s="2" t="s">
        <v>46</v>
      </c>
      <c r="AA50" s="2" t="s">
        <v>47</v>
      </c>
      <c r="AB50" s="2">
        <v>10</v>
      </c>
      <c r="AC50" s="2" t="s">
        <v>48</v>
      </c>
      <c r="AD50" s="2">
        <v>1</v>
      </c>
    </row>
    <row r="51" spans="1:30" ht="30" x14ac:dyDescent="0.25">
      <c r="A51" s="2">
        <v>3</v>
      </c>
      <c r="B51" s="2" t="s">
        <v>37</v>
      </c>
      <c r="C51" s="2">
        <v>13635</v>
      </c>
      <c r="D51" s="3">
        <v>44119</v>
      </c>
      <c r="E51" s="2" t="s">
        <v>105</v>
      </c>
      <c r="F51" s="2"/>
      <c r="G51" s="2" t="s">
        <v>123</v>
      </c>
      <c r="H51" s="2" t="s">
        <v>124</v>
      </c>
      <c r="I51" s="2" t="s">
        <v>41</v>
      </c>
      <c r="J51" s="3">
        <v>41445</v>
      </c>
      <c r="K51" s="2"/>
      <c r="L51" s="2"/>
      <c r="M51" s="2">
        <v>4</v>
      </c>
      <c r="N51" s="2">
        <v>2</v>
      </c>
      <c r="O51" s="2" t="s">
        <v>53</v>
      </c>
      <c r="P51" s="2" t="s">
        <v>43</v>
      </c>
      <c r="Q51" s="2"/>
      <c r="R51" s="2" t="s">
        <v>44</v>
      </c>
      <c r="S51" s="2">
        <v>8250215703</v>
      </c>
      <c r="T51" s="2" t="s">
        <v>271</v>
      </c>
      <c r="U51" s="2"/>
      <c r="V51" s="2">
        <v>9672714066</v>
      </c>
      <c r="W51" s="2" t="s">
        <v>125</v>
      </c>
      <c r="X51" s="2">
        <v>24000</v>
      </c>
      <c r="Y51" s="2" t="s">
        <v>46</v>
      </c>
      <c r="Z51" s="2" t="s">
        <v>46</v>
      </c>
      <c r="AA51" s="2" t="s">
        <v>47</v>
      </c>
      <c r="AB51" s="2">
        <v>8</v>
      </c>
      <c r="AC51" s="2" t="s">
        <v>48</v>
      </c>
      <c r="AD51" s="2">
        <v>1</v>
      </c>
    </row>
    <row r="52" spans="1:30" ht="30" x14ac:dyDescent="0.25">
      <c r="A52" s="2">
        <v>3</v>
      </c>
      <c r="B52" s="2" t="s">
        <v>37</v>
      </c>
      <c r="C52" s="2">
        <v>13341</v>
      </c>
      <c r="D52" s="3">
        <v>43659</v>
      </c>
      <c r="E52" s="2" t="s">
        <v>272</v>
      </c>
      <c r="F52" s="2"/>
      <c r="G52" s="2" t="s">
        <v>273</v>
      </c>
      <c r="H52" s="2" t="s">
        <v>274</v>
      </c>
      <c r="I52" s="2" t="s">
        <v>41</v>
      </c>
      <c r="J52" s="3">
        <v>41366</v>
      </c>
      <c r="K52" s="2"/>
      <c r="L52" s="2"/>
      <c r="M52" s="2">
        <v>4</v>
      </c>
      <c r="N52" s="2">
        <v>1</v>
      </c>
      <c r="O52" s="2" t="s">
        <v>53</v>
      </c>
      <c r="P52" s="2" t="s">
        <v>43</v>
      </c>
      <c r="Q52" s="2"/>
      <c r="R52" s="2" t="s">
        <v>44</v>
      </c>
      <c r="S52" s="2">
        <v>8250215703</v>
      </c>
      <c r="T52" s="2" t="s">
        <v>275</v>
      </c>
      <c r="U52" s="2" t="s">
        <v>276</v>
      </c>
      <c r="V52" s="2">
        <v>7727922108</v>
      </c>
      <c r="W52" s="2" t="s">
        <v>277</v>
      </c>
      <c r="X52" s="2">
        <v>20000</v>
      </c>
      <c r="Y52" s="2" t="s">
        <v>46</v>
      </c>
      <c r="Z52" s="2" t="s">
        <v>46</v>
      </c>
      <c r="AA52" s="2" t="s">
        <v>47</v>
      </c>
      <c r="AB52" s="2">
        <v>8</v>
      </c>
      <c r="AC52" s="2" t="s">
        <v>48</v>
      </c>
      <c r="AD52" s="2">
        <v>25</v>
      </c>
    </row>
    <row r="53" spans="1:30" ht="30" x14ac:dyDescent="0.25">
      <c r="A53" s="2">
        <v>4</v>
      </c>
      <c r="B53" s="2" t="s">
        <v>37</v>
      </c>
      <c r="C53" s="2">
        <v>13625</v>
      </c>
      <c r="D53" s="3">
        <v>44119</v>
      </c>
      <c r="E53" s="2" t="s">
        <v>278</v>
      </c>
      <c r="F53" s="2"/>
      <c r="G53" s="2" t="s">
        <v>148</v>
      </c>
      <c r="H53" s="2" t="s">
        <v>133</v>
      </c>
      <c r="I53" s="2" t="s">
        <v>41</v>
      </c>
      <c r="J53" s="3">
        <v>40812</v>
      </c>
      <c r="K53" s="2"/>
      <c r="L53" s="2"/>
      <c r="M53" s="2">
        <v>4</v>
      </c>
      <c r="N53" s="2">
        <v>4</v>
      </c>
      <c r="O53" s="2" t="s">
        <v>53</v>
      </c>
      <c r="P53" s="2" t="s">
        <v>43</v>
      </c>
      <c r="Q53" s="2"/>
      <c r="R53" s="2" t="s">
        <v>44</v>
      </c>
      <c r="S53" s="2">
        <v>8250215703</v>
      </c>
      <c r="T53" s="2"/>
      <c r="U53" s="2" t="s">
        <v>279</v>
      </c>
      <c r="V53" s="2">
        <v>9636791634</v>
      </c>
      <c r="W53" s="2" t="s">
        <v>130</v>
      </c>
      <c r="X53" s="2">
        <v>20000</v>
      </c>
      <c r="Y53" s="2" t="s">
        <v>46</v>
      </c>
      <c r="Z53" s="2" t="s">
        <v>46</v>
      </c>
      <c r="AA53" s="2" t="s">
        <v>47</v>
      </c>
      <c r="AB53" s="2">
        <v>10</v>
      </c>
      <c r="AC53" s="2" t="s">
        <v>48</v>
      </c>
      <c r="AD53" s="2">
        <v>1</v>
      </c>
    </row>
    <row r="54" spans="1:30" ht="30" x14ac:dyDescent="0.25">
      <c r="A54" s="2">
        <v>4</v>
      </c>
      <c r="B54" s="2" t="s">
        <v>37</v>
      </c>
      <c r="C54" s="2">
        <v>13606</v>
      </c>
      <c r="D54" s="3">
        <v>44118</v>
      </c>
      <c r="E54" s="2" t="s">
        <v>280</v>
      </c>
      <c r="F54" s="2"/>
      <c r="G54" s="2" t="s">
        <v>281</v>
      </c>
      <c r="H54" s="2" t="s">
        <v>282</v>
      </c>
      <c r="I54" s="2" t="s">
        <v>52</v>
      </c>
      <c r="J54" s="3">
        <v>40892</v>
      </c>
      <c r="K54" s="2"/>
      <c r="L54" s="2"/>
      <c r="M54" s="2">
        <v>4</v>
      </c>
      <c r="N54" s="2">
        <v>0</v>
      </c>
      <c r="O54" s="2" t="s">
        <v>53</v>
      </c>
      <c r="P54" s="2" t="s">
        <v>43</v>
      </c>
      <c r="Q54" s="2"/>
      <c r="R54" s="2" t="s">
        <v>44</v>
      </c>
      <c r="S54" s="2">
        <v>8250215703</v>
      </c>
      <c r="T54" s="2"/>
      <c r="U54" s="2"/>
      <c r="V54" s="2">
        <v>9636119522</v>
      </c>
      <c r="W54" s="2" t="s">
        <v>283</v>
      </c>
      <c r="X54" s="2">
        <v>20000</v>
      </c>
      <c r="Y54" s="2" t="s">
        <v>46</v>
      </c>
      <c r="Z54" s="2" t="s">
        <v>46</v>
      </c>
      <c r="AA54" s="2" t="s">
        <v>47</v>
      </c>
      <c r="AB54" s="2">
        <v>10</v>
      </c>
      <c r="AC54" s="2" t="s">
        <v>48</v>
      </c>
      <c r="AD54" s="2">
        <v>1</v>
      </c>
    </row>
    <row r="55" spans="1:30" ht="30" x14ac:dyDescent="0.25">
      <c r="A55" s="2">
        <v>4</v>
      </c>
      <c r="B55" s="2" t="s">
        <v>37</v>
      </c>
      <c r="C55" s="2">
        <v>13128</v>
      </c>
      <c r="D55" s="3">
        <v>43299</v>
      </c>
      <c r="E55" s="2" t="s">
        <v>284</v>
      </c>
      <c r="F55" s="2"/>
      <c r="G55" s="2" t="s">
        <v>285</v>
      </c>
      <c r="H55" s="2" t="s">
        <v>286</v>
      </c>
      <c r="I55" s="2" t="s">
        <v>52</v>
      </c>
      <c r="J55" s="3">
        <v>41198</v>
      </c>
      <c r="K55" s="2"/>
      <c r="L55" s="2"/>
      <c r="M55" s="2">
        <v>4</v>
      </c>
      <c r="N55" s="2">
        <v>4</v>
      </c>
      <c r="O55" s="2" t="s">
        <v>53</v>
      </c>
      <c r="P55" s="2" t="s">
        <v>43</v>
      </c>
      <c r="Q55" s="2"/>
      <c r="R55" s="2" t="s">
        <v>44</v>
      </c>
      <c r="S55" s="2">
        <v>8250215703</v>
      </c>
      <c r="T55" s="2" t="s">
        <v>287</v>
      </c>
      <c r="U55" s="2"/>
      <c r="V55" s="2">
        <v>8824723354</v>
      </c>
      <c r="W55" s="2" t="s">
        <v>288</v>
      </c>
      <c r="X55" s="2">
        <v>10000</v>
      </c>
      <c r="Y55" s="2" t="s">
        <v>46</v>
      </c>
      <c r="Z55" s="2" t="s">
        <v>46</v>
      </c>
      <c r="AA55" s="2" t="s">
        <v>47</v>
      </c>
      <c r="AB55" s="2">
        <v>9</v>
      </c>
      <c r="AC55" s="2" t="s">
        <v>48</v>
      </c>
      <c r="AD55" s="2">
        <v>15</v>
      </c>
    </row>
    <row r="56" spans="1:30" ht="30" x14ac:dyDescent="0.25">
      <c r="A56" s="2">
        <v>4</v>
      </c>
      <c r="B56" s="2" t="s">
        <v>37</v>
      </c>
      <c r="C56" s="2">
        <v>13010</v>
      </c>
      <c r="D56" s="3">
        <v>43283</v>
      </c>
      <c r="E56" s="2" t="s">
        <v>289</v>
      </c>
      <c r="F56" s="2"/>
      <c r="G56" s="2" t="s">
        <v>290</v>
      </c>
      <c r="H56" s="2" t="s">
        <v>291</v>
      </c>
      <c r="I56" s="2" t="s">
        <v>52</v>
      </c>
      <c r="J56" s="3">
        <v>40909</v>
      </c>
      <c r="K56" s="2"/>
      <c r="L56" s="2"/>
      <c r="M56" s="2">
        <v>4</v>
      </c>
      <c r="N56" s="2">
        <v>4</v>
      </c>
      <c r="O56" s="2" t="s">
        <v>53</v>
      </c>
      <c r="P56" s="2" t="s">
        <v>43</v>
      </c>
      <c r="Q56" s="2"/>
      <c r="R56" s="2" t="s">
        <v>44</v>
      </c>
      <c r="S56" s="2">
        <v>8250215703</v>
      </c>
      <c r="T56" s="2"/>
      <c r="U56" s="2"/>
      <c r="V56" s="2">
        <v>9782854909</v>
      </c>
      <c r="W56" s="2" t="s">
        <v>292</v>
      </c>
      <c r="X56" s="2">
        <v>40000</v>
      </c>
      <c r="Y56" s="2" t="s">
        <v>46</v>
      </c>
      <c r="Z56" s="2" t="s">
        <v>46</v>
      </c>
      <c r="AA56" s="2" t="s">
        <v>47</v>
      </c>
      <c r="AB56" s="2">
        <v>9</v>
      </c>
      <c r="AC56" s="2" t="s">
        <v>48</v>
      </c>
      <c r="AD56" s="2">
        <v>1</v>
      </c>
    </row>
    <row r="57" spans="1:30" ht="45" x14ac:dyDescent="0.25">
      <c r="A57" s="2">
        <v>4</v>
      </c>
      <c r="B57" s="2" t="s">
        <v>37</v>
      </c>
      <c r="C57" s="2">
        <v>12879</v>
      </c>
      <c r="D57" s="3">
        <v>43227</v>
      </c>
      <c r="E57" s="2" t="s">
        <v>293</v>
      </c>
      <c r="F57" s="2"/>
      <c r="G57" s="2" t="s">
        <v>294</v>
      </c>
      <c r="H57" s="2" t="s">
        <v>295</v>
      </c>
      <c r="I57" s="2" t="s">
        <v>41</v>
      </c>
      <c r="J57" s="3">
        <v>41451</v>
      </c>
      <c r="K57" s="2"/>
      <c r="L57" s="2"/>
      <c r="M57" s="2">
        <v>4</v>
      </c>
      <c r="N57" s="2">
        <v>4</v>
      </c>
      <c r="O57" s="2" t="s">
        <v>53</v>
      </c>
      <c r="P57" s="2" t="s">
        <v>43</v>
      </c>
      <c r="Q57" s="2"/>
      <c r="R57" s="2" t="s">
        <v>44</v>
      </c>
      <c r="S57" s="2">
        <v>8250215703</v>
      </c>
      <c r="T57" s="2" t="s">
        <v>296</v>
      </c>
      <c r="U57" s="2"/>
      <c r="V57" s="2">
        <v>9636706949</v>
      </c>
      <c r="W57" s="2" t="s">
        <v>297</v>
      </c>
      <c r="X57" s="2">
        <v>36000</v>
      </c>
      <c r="Y57" s="2" t="s">
        <v>46</v>
      </c>
      <c r="Z57" s="2" t="s">
        <v>46</v>
      </c>
      <c r="AA57" s="2" t="s">
        <v>47</v>
      </c>
      <c r="AB57" s="2">
        <v>8</v>
      </c>
      <c r="AC57" s="2" t="s">
        <v>48</v>
      </c>
      <c r="AD57" s="2">
        <v>1</v>
      </c>
    </row>
    <row r="58" spans="1:30" ht="30" x14ac:dyDescent="0.25">
      <c r="A58" s="2">
        <v>4</v>
      </c>
      <c r="B58" s="2" t="s">
        <v>37</v>
      </c>
      <c r="C58" s="2">
        <v>13628</v>
      </c>
      <c r="D58" s="3">
        <v>44119</v>
      </c>
      <c r="E58" s="2" t="s">
        <v>298</v>
      </c>
      <c r="F58" s="2"/>
      <c r="G58" s="2" t="s">
        <v>299</v>
      </c>
      <c r="H58" s="2" t="s">
        <v>300</v>
      </c>
      <c r="I58" s="2" t="s">
        <v>52</v>
      </c>
      <c r="J58" s="3">
        <v>40702</v>
      </c>
      <c r="K58" s="2"/>
      <c r="L58" s="2"/>
      <c r="M58" s="2">
        <v>4</v>
      </c>
      <c r="N58" s="2">
        <v>4</v>
      </c>
      <c r="O58" s="2" t="s">
        <v>53</v>
      </c>
      <c r="P58" s="2" t="s">
        <v>43</v>
      </c>
      <c r="Q58" s="2"/>
      <c r="R58" s="2" t="s">
        <v>44</v>
      </c>
      <c r="S58" s="2">
        <v>8250215703</v>
      </c>
      <c r="T58" s="2" t="s">
        <v>301</v>
      </c>
      <c r="U58" s="2" t="s">
        <v>302</v>
      </c>
      <c r="V58" s="2">
        <v>8386088685</v>
      </c>
      <c r="W58" s="2" t="s">
        <v>303</v>
      </c>
      <c r="X58" s="2">
        <v>30000</v>
      </c>
      <c r="Y58" s="2" t="s">
        <v>46</v>
      </c>
      <c r="Z58" s="2" t="s">
        <v>46</v>
      </c>
      <c r="AA58" s="2" t="s">
        <v>47</v>
      </c>
      <c r="AB58" s="2">
        <v>10</v>
      </c>
      <c r="AC58" s="2" t="s">
        <v>48</v>
      </c>
      <c r="AD58" s="2">
        <v>1</v>
      </c>
    </row>
    <row r="59" spans="1:30" ht="30" x14ac:dyDescent="0.25">
      <c r="A59" s="2">
        <v>4</v>
      </c>
      <c r="B59" s="2" t="s">
        <v>37</v>
      </c>
      <c r="C59" s="2">
        <v>13057</v>
      </c>
      <c r="D59" s="3">
        <v>43285</v>
      </c>
      <c r="E59" s="2" t="s">
        <v>304</v>
      </c>
      <c r="F59" s="2"/>
      <c r="G59" s="2" t="s">
        <v>305</v>
      </c>
      <c r="H59" s="2" t="s">
        <v>306</v>
      </c>
      <c r="I59" s="2" t="s">
        <v>52</v>
      </c>
      <c r="J59" s="3">
        <v>40920</v>
      </c>
      <c r="K59" s="2"/>
      <c r="L59" s="2"/>
      <c r="M59" s="2">
        <v>4</v>
      </c>
      <c r="N59" s="2">
        <v>3</v>
      </c>
      <c r="O59" s="2" t="s">
        <v>53</v>
      </c>
      <c r="P59" s="2" t="s">
        <v>43</v>
      </c>
      <c r="Q59" s="2"/>
      <c r="R59" s="2" t="s">
        <v>44</v>
      </c>
      <c r="S59" s="2">
        <v>8250215703</v>
      </c>
      <c r="T59" s="2" t="s">
        <v>307</v>
      </c>
      <c r="U59" s="2"/>
      <c r="V59" s="2">
        <v>9829764630</v>
      </c>
      <c r="W59" s="2" t="s">
        <v>308</v>
      </c>
      <c r="X59" s="2">
        <v>36000</v>
      </c>
      <c r="Y59" s="2" t="s">
        <v>240</v>
      </c>
      <c r="Z59" s="2" t="s">
        <v>46</v>
      </c>
      <c r="AA59" s="2" t="s">
        <v>47</v>
      </c>
      <c r="AB59" s="2">
        <v>9</v>
      </c>
      <c r="AC59" s="2" t="s">
        <v>48</v>
      </c>
      <c r="AD59" s="2">
        <v>1</v>
      </c>
    </row>
    <row r="60" spans="1:30" ht="30" x14ac:dyDescent="0.25">
      <c r="A60" s="2">
        <v>4</v>
      </c>
      <c r="B60" s="2" t="s">
        <v>37</v>
      </c>
      <c r="C60" s="2">
        <v>13824</v>
      </c>
      <c r="D60" s="3">
        <v>44403</v>
      </c>
      <c r="E60" s="2" t="s">
        <v>309</v>
      </c>
      <c r="F60" s="2"/>
      <c r="G60" s="2" t="s">
        <v>310</v>
      </c>
      <c r="H60" s="2" t="s">
        <v>311</v>
      </c>
      <c r="I60" s="2" t="s">
        <v>41</v>
      </c>
      <c r="J60" s="3">
        <v>41430</v>
      </c>
      <c r="K60" s="2"/>
      <c r="L60" s="2"/>
      <c r="M60" s="2">
        <v>4</v>
      </c>
      <c r="N60" s="2">
        <v>4</v>
      </c>
      <c r="O60" s="2" t="s">
        <v>53</v>
      </c>
      <c r="P60" s="2" t="s">
        <v>43</v>
      </c>
      <c r="Q60" s="2"/>
      <c r="R60" s="2" t="s">
        <v>44</v>
      </c>
      <c r="S60" s="2">
        <v>8250215703</v>
      </c>
      <c r="T60" s="2" t="s">
        <v>312</v>
      </c>
      <c r="U60" s="2" t="s">
        <v>313</v>
      </c>
      <c r="V60" s="2">
        <v>9602997577</v>
      </c>
      <c r="W60" s="2" t="s">
        <v>314</v>
      </c>
      <c r="X60" s="2">
        <v>80000</v>
      </c>
      <c r="Y60" s="2" t="s">
        <v>46</v>
      </c>
      <c r="Z60" s="2" t="s">
        <v>46</v>
      </c>
      <c r="AA60" s="2" t="s">
        <v>47</v>
      </c>
      <c r="AB60" s="2">
        <v>8</v>
      </c>
      <c r="AC60" s="2" t="s">
        <v>48</v>
      </c>
      <c r="AD60" s="2">
        <v>2</v>
      </c>
    </row>
    <row r="61" spans="1:30" ht="30" x14ac:dyDescent="0.25">
      <c r="A61" s="2">
        <v>4</v>
      </c>
      <c r="B61" s="2" t="s">
        <v>37</v>
      </c>
      <c r="C61" s="2">
        <v>14001</v>
      </c>
      <c r="D61" s="3">
        <v>44483</v>
      </c>
      <c r="E61" s="2" t="s">
        <v>315</v>
      </c>
      <c r="F61" s="2"/>
      <c r="G61" s="2" t="s">
        <v>316</v>
      </c>
      <c r="H61" s="2" t="s">
        <v>88</v>
      </c>
      <c r="I61" s="2" t="s">
        <v>52</v>
      </c>
      <c r="J61" s="3">
        <v>39974</v>
      </c>
      <c r="K61" s="2"/>
      <c r="L61" s="2"/>
      <c r="M61" s="2">
        <v>4</v>
      </c>
      <c r="N61" s="2"/>
      <c r="O61" s="2" t="s">
        <v>53</v>
      </c>
      <c r="P61" s="2" t="s">
        <v>43</v>
      </c>
      <c r="Q61" s="2"/>
      <c r="R61" s="2" t="s">
        <v>44</v>
      </c>
      <c r="S61" s="2">
        <v>8250215703</v>
      </c>
      <c r="T61" s="2"/>
      <c r="U61" s="2"/>
      <c r="V61" s="2">
        <v>9680311987</v>
      </c>
      <c r="W61" s="2" t="s">
        <v>260</v>
      </c>
      <c r="X61" s="2">
        <v>30000</v>
      </c>
      <c r="Y61" s="2" t="s">
        <v>46</v>
      </c>
      <c r="Z61" s="2" t="s">
        <v>46</v>
      </c>
      <c r="AA61" s="2" t="s">
        <v>47</v>
      </c>
      <c r="AB61" s="2">
        <v>12</v>
      </c>
      <c r="AC61" s="2" t="s">
        <v>48</v>
      </c>
      <c r="AD61" s="2">
        <v>1</v>
      </c>
    </row>
    <row r="62" spans="1:30" ht="30" x14ac:dyDescent="0.25">
      <c r="A62" s="2">
        <v>4</v>
      </c>
      <c r="B62" s="2" t="s">
        <v>37</v>
      </c>
      <c r="C62" s="2">
        <v>13501</v>
      </c>
      <c r="D62" s="3">
        <v>44069</v>
      </c>
      <c r="E62" s="2" t="s">
        <v>317</v>
      </c>
      <c r="F62" s="2"/>
      <c r="G62" s="2" t="s">
        <v>318</v>
      </c>
      <c r="H62" s="2" t="s">
        <v>319</v>
      </c>
      <c r="I62" s="2" t="s">
        <v>52</v>
      </c>
      <c r="J62" s="3">
        <v>41110</v>
      </c>
      <c r="K62" s="2"/>
      <c r="L62" s="2"/>
      <c r="M62" s="2">
        <v>4</v>
      </c>
      <c r="N62" s="2">
        <v>1</v>
      </c>
      <c r="O62" s="2" t="s">
        <v>53</v>
      </c>
      <c r="P62" s="2" t="s">
        <v>43</v>
      </c>
      <c r="Q62" s="2"/>
      <c r="R62" s="2" t="s">
        <v>44</v>
      </c>
      <c r="S62" s="2">
        <v>8250215703</v>
      </c>
      <c r="T62" s="2" t="s">
        <v>320</v>
      </c>
      <c r="U62" s="2"/>
      <c r="V62" s="2">
        <v>8387832337</v>
      </c>
      <c r="W62" s="2" t="s">
        <v>321</v>
      </c>
      <c r="X62" s="2">
        <v>10000</v>
      </c>
      <c r="Y62" s="2" t="s">
        <v>46</v>
      </c>
      <c r="Z62" s="2" t="s">
        <v>46</v>
      </c>
      <c r="AA62" s="2" t="s">
        <v>47</v>
      </c>
      <c r="AB62" s="2">
        <v>9</v>
      </c>
      <c r="AC62" s="2" t="s">
        <v>48</v>
      </c>
      <c r="AD62" s="2">
        <v>1</v>
      </c>
    </row>
    <row r="63" spans="1:30" ht="30" x14ac:dyDescent="0.25">
      <c r="A63" s="2">
        <v>4</v>
      </c>
      <c r="B63" s="2" t="s">
        <v>37</v>
      </c>
      <c r="C63" s="2">
        <v>13413</v>
      </c>
      <c r="D63" s="3">
        <v>43669</v>
      </c>
      <c r="E63" s="2" t="s">
        <v>322</v>
      </c>
      <c r="F63" s="2"/>
      <c r="G63" s="2" t="s">
        <v>323</v>
      </c>
      <c r="H63" s="2" t="s">
        <v>324</v>
      </c>
      <c r="I63" s="2" t="s">
        <v>52</v>
      </c>
      <c r="J63" s="3">
        <v>40872</v>
      </c>
      <c r="K63" s="2"/>
      <c r="L63" s="2"/>
      <c r="M63" s="2">
        <v>4</v>
      </c>
      <c r="N63" s="2">
        <v>0</v>
      </c>
      <c r="O63" s="2" t="s">
        <v>42</v>
      </c>
      <c r="P63" s="2" t="s">
        <v>54</v>
      </c>
      <c r="Q63" s="2"/>
      <c r="R63" s="2" t="s">
        <v>44</v>
      </c>
      <c r="S63" s="2">
        <v>8250215703</v>
      </c>
      <c r="T63" s="2" t="s">
        <v>325</v>
      </c>
      <c r="U63" s="2"/>
      <c r="V63" s="2">
        <v>6375738469</v>
      </c>
      <c r="W63" s="2" t="s">
        <v>326</v>
      </c>
      <c r="X63" s="2">
        <v>36000</v>
      </c>
      <c r="Y63" s="2" t="s">
        <v>46</v>
      </c>
      <c r="Z63" s="2" t="s">
        <v>46</v>
      </c>
      <c r="AA63" s="2" t="s">
        <v>57</v>
      </c>
      <c r="AB63" s="2">
        <v>10</v>
      </c>
      <c r="AC63" s="2" t="s">
        <v>48</v>
      </c>
      <c r="AD63" s="2">
        <v>1</v>
      </c>
    </row>
    <row r="64" spans="1:30" ht="30" x14ac:dyDescent="0.25">
      <c r="A64" s="2">
        <v>4</v>
      </c>
      <c r="B64" s="2" t="s">
        <v>37</v>
      </c>
      <c r="C64" s="2">
        <v>13627</v>
      </c>
      <c r="D64" s="3">
        <v>44119</v>
      </c>
      <c r="E64" s="2" t="s">
        <v>327</v>
      </c>
      <c r="F64" s="2"/>
      <c r="G64" s="2" t="s">
        <v>328</v>
      </c>
      <c r="H64" s="2" t="s">
        <v>103</v>
      </c>
      <c r="I64" s="2" t="s">
        <v>52</v>
      </c>
      <c r="J64" s="3">
        <v>40718</v>
      </c>
      <c r="K64" s="2"/>
      <c r="L64" s="2"/>
      <c r="M64" s="2">
        <v>4</v>
      </c>
      <c r="N64" s="2">
        <v>4</v>
      </c>
      <c r="O64" s="2" t="s">
        <v>53</v>
      </c>
      <c r="P64" s="2" t="s">
        <v>43</v>
      </c>
      <c r="Q64" s="2"/>
      <c r="R64" s="2" t="s">
        <v>44</v>
      </c>
      <c r="S64" s="2">
        <v>8250215703</v>
      </c>
      <c r="T64" s="2" t="s">
        <v>329</v>
      </c>
      <c r="U64" s="2"/>
      <c r="V64" s="2">
        <v>9929324004</v>
      </c>
      <c r="W64" s="2" t="s">
        <v>330</v>
      </c>
      <c r="X64" s="2">
        <v>23000</v>
      </c>
      <c r="Y64" s="2" t="s">
        <v>46</v>
      </c>
      <c r="Z64" s="2" t="s">
        <v>46</v>
      </c>
      <c r="AA64" s="2" t="s">
        <v>47</v>
      </c>
      <c r="AB64" s="2">
        <v>10</v>
      </c>
      <c r="AC64" s="2" t="s">
        <v>48</v>
      </c>
      <c r="AD64" s="2">
        <v>1</v>
      </c>
    </row>
    <row r="65" spans="1:30" ht="30" x14ac:dyDescent="0.25">
      <c r="A65" s="2">
        <v>4</v>
      </c>
      <c r="B65" s="2" t="s">
        <v>37</v>
      </c>
      <c r="C65" s="2">
        <v>13629</v>
      </c>
      <c r="D65" s="3">
        <v>44119</v>
      </c>
      <c r="E65" s="2" t="s">
        <v>331</v>
      </c>
      <c r="F65" s="2"/>
      <c r="G65" s="2" t="s">
        <v>332</v>
      </c>
      <c r="H65" s="2" t="s">
        <v>128</v>
      </c>
      <c r="I65" s="2" t="s">
        <v>41</v>
      </c>
      <c r="J65" s="3">
        <v>40676</v>
      </c>
      <c r="K65" s="2"/>
      <c r="L65" s="2"/>
      <c r="M65" s="2">
        <v>4</v>
      </c>
      <c r="N65" s="2">
        <v>4</v>
      </c>
      <c r="O65" s="2" t="s">
        <v>53</v>
      </c>
      <c r="P65" s="2" t="s">
        <v>43</v>
      </c>
      <c r="Q65" s="2"/>
      <c r="R65" s="2" t="s">
        <v>44</v>
      </c>
      <c r="S65" s="2">
        <v>8250215703</v>
      </c>
      <c r="T65" s="2" t="s">
        <v>333</v>
      </c>
      <c r="U65" s="2"/>
      <c r="V65" s="2">
        <v>9783874517</v>
      </c>
      <c r="W65" s="2" t="s">
        <v>130</v>
      </c>
      <c r="X65" s="2">
        <v>18000</v>
      </c>
      <c r="Y65" s="2" t="s">
        <v>46</v>
      </c>
      <c r="Z65" s="2" t="s">
        <v>46</v>
      </c>
      <c r="AA65" s="2" t="s">
        <v>47</v>
      </c>
      <c r="AB65" s="2">
        <v>10</v>
      </c>
      <c r="AC65" s="2" t="s">
        <v>48</v>
      </c>
      <c r="AD65" s="2">
        <v>1</v>
      </c>
    </row>
    <row r="66" spans="1:30" ht="30" x14ac:dyDescent="0.25">
      <c r="A66" s="2">
        <v>4</v>
      </c>
      <c r="B66" s="2" t="s">
        <v>37</v>
      </c>
      <c r="C66" s="2">
        <v>14006</v>
      </c>
      <c r="D66" s="3">
        <v>44474</v>
      </c>
      <c r="E66" s="2" t="s">
        <v>331</v>
      </c>
      <c r="F66" s="2"/>
      <c r="G66" s="2" t="s">
        <v>82</v>
      </c>
      <c r="H66" s="2" t="s">
        <v>83</v>
      </c>
      <c r="I66" s="2" t="s">
        <v>41</v>
      </c>
      <c r="J66" s="3">
        <v>40949</v>
      </c>
      <c r="K66" s="2"/>
      <c r="L66" s="2"/>
      <c r="M66" s="2">
        <v>4</v>
      </c>
      <c r="N66" s="2">
        <v>1</v>
      </c>
      <c r="O66" s="2" t="s">
        <v>53</v>
      </c>
      <c r="P66" s="2" t="s">
        <v>43</v>
      </c>
      <c r="Q66" s="2"/>
      <c r="R66" s="2" t="s">
        <v>44</v>
      </c>
      <c r="S66" s="2">
        <v>8250215703</v>
      </c>
      <c r="T66" s="2"/>
      <c r="U66" s="2"/>
      <c r="V66" s="2">
        <v>9725763495</v>
      </c>
      <c r="W66" s="2" t="s">
        <v>334</v>
      </c>
      <c r="X66" s="2">
        <v>30000</v>
      </c>
      <c r="Y66" s="2" t="s">
        <v>46</v>
      </c>
      <c r="Z66" s="2" t="s">
        <v>46</v>
      </c>
      <c r="AA66" s="2" t="s">
        <v>47</v>
      </c>
      <c r="AB66" s="2">
        <v>9</v>
      </c>
      <c r="AC66" s="2" t="s">
        <v>48</v>
      </c>
      <c r="AD66" s="2">
        <v>0</v>
      </c>
    </row>
    <row r="67" spans="1:30" ht="30" x14ac:dyDescent="0.25">
      <c r="A67" s="2">
        <v>4</v>
      </c>
      <c r="B67" s="2" t="s">
        <v>37</v>
      </c>
      <c r="C67" s="2">
        <v>13718</v>
      </c>
      <c r="D67" s="3">
        <v>44389</v>
      </c>
      <c r="E67" s="2" t="s">
        <v>335</v>
      </c>
      <c r="F67" s="2"/>
      <c r="G67" s="2" t="s">
        <v>336</v>
      </c>
      <c r="H67" s="2" t="s">
        <v>337</v>
      </c>
      <c r="I67" s="2" t="s">
        <v>41</v>
      </c>
      <c r="J67" s="3">
        <v>41241</v>
      </c>
      <c r="K67" s="2"/>
      <c r="L67" s="2"/>
      <c r="M67" s="2">
        <v>4</v>
      </c>
      <c r="N67" s="2">
        <v>0</v>
      </c>
      <c r="O67" s="2" t="s">
        <v>53</v>
      </c>
      <c r="P67" s="2" t="s">
        <v>43</v>
      </c>
      <c r="Q67" s="2"/>
      <c r="R67" s="2" t="s">
        <v>44</v>
      </c>
      <c r="S67" s="2">
        <v>8250215703</v>
      </c>
      <c r="T67" s="2"/>
      <c r="U67" s="2"/>
      <c r="V67" s="2">
        <v>7976756197</v>
      </c>
      <c r="W67" s="2" t="s">
        <v>338</v>
      </c>
      <c r="X67" s="2">
        <v>40000</v>
      </c>
      <c r="Y67" s="2" t="s">
        <v>46</v>
      </c>
      <c r="Z67" s="2" t="s">
        <v>46</v>
      </c>
      <c r="AA67" s="2" t="s">
        <v>47</v>
      </c>
      <c r="AB67" s="2">
        <v>9</v>
      </c>
      <c r="AC67" s="2" t="s">
        <v>48</v>
      </c>
      <c r="AD67" s="2">
        <v>1</v>
      </c>
    </row>
    <row r="68" spans="1:30" ht="30" x14ac:dyDescent="0.25">
      <c r="A68" s="2">
        <v>4</v>
      </c>
      <c r="B68" s="2" t="s">
        <v>37</v>
      </c>
      <c r="C68" s="2">
        <v>13600</v>
      </c>
      <c r="D68" s="3">
        <v>44114</v>
      </c>
      <c r="E68" s="2" t="s">
        <v>339</v>
      </c>
      <c r="F68" s="2"/>
      <c r="G68" s="2" t="s">
        <v>220</v>
      </c>
      <c r="H68" s="2" t="s">
        <v>139</v>
      </c>
      <c r="I68" s="2" t="s">
        <v>41</v>
      </c>
      <c r="J68" s="3">
        <v>40556</v>
      </c>
      <c r="K68" s="2"/>
      <c r="L68" s="2"/>
      <c r="M68" s="2">
        <v>4</v>
      </c>
      <c r="N68" s="2">
        <v>3</v>
      </c>
      <c r="O68" s="2" t="s">
        <v>53</v>
      </c>
      <c r="P68" s="2" t="s">
        <v>43</v>
      </c>
      <c r="Q68" s="2"/>
      <c r="R68" s="2" t="s">
        <v>44</v>
      </c>
      <c r="S68" s="2">
        <v>8250215703</v>
      </c>
      <c r="T68" s="2" t="s">
        <v>340</v>
      </c>
      <c r="U68" s="2"/>
      <c r="V68" s="2">
        <v>7568749765</v>
      </c>
      <c r="W68" s="2" t="s">
        <v>222</v>
      </c>
      <c r="X68" s="2">
        <v>20000</v>
      </c>
      <c r="Y68" s="2" t="s">
        <v>46</v>
      </c>
      <c r="Z68" s="2" t="s">
        <v>46</v>
      </c>
      <c r="AA68" s="2" t="s">
        <v>47</v>
      </c>
      <c r="AB68" s="2">
        <v>10</v>
      </c>
      <c r="AC68" s="2" t="s">
        <v>48</v>
      </c>
      <c r="AD68" s="2">
        <v>1</v>
      </c>
    </row>
    <row r="69" spans="1:30" ht="30" x14ac:dyDescent="0.25">
      <c r="A69" s="2">
        <v>4</v>
      </c>
      <c r="B69" s="2" t="s">
        <v>37</v>
      </c>
      <c r="C69" s="2">
        <v>13266</v>
      </c>
      <c r="D69" s="3">
        <v>43563</v>
      </c>
      <c r="E69" s="2" t="s">
        <v>341</v>
      </c>
      <c r="F69" s="2"/>
      <c r="G69" s="2" t="s">
        <v>214</v>
      </c>
      <c r="H69" s="2" t="s">
        <v>342</v>
      </c>
      <c r="I69" s="2" t="s">
        <v>52</v>
      </c>
      <c r="J69" s="3">
        <v>40981</v>
      </c>
      <c r="K69" s="2"/>
      <c r="L69" s="2"/>
      <c r="M69" s="2">
        <v>4</v>
      </c>
      <c r="N69" s="2">
        <v>3</v>
      </c>
      <c r="O69" s="2" t="s">
        <v>53</v>
      </c>
      <c r="P69" s="2" t="s">
        <v>43</v>
      </c>
      <c r="Q69" s="2"/>
      <c r="R69" s="2" t="s">
        <v>44</v>
      </c>
      <c r="S69" s="2">
        <v>8250215703</v>
      </c>
      <c r="T69" s="2" t="s">
        <v>343</v>
      </c>
      <c r="U69" s="2" t="s">
        <v>217</v>
      </c>
      <c r="V69" s="2">
        <v>9920624521</v>
      </c>
      <c r="W69" s="2" t="s">
        <v>118</v>
      </c>
      <c r="X69" s="2">
        <v>40000</v>
      </c>
      <c r="Y69" s="2" t="s">
        <v>46</v>
      </c>
      <c r="Z69" s="2" t="s">
        <v>46</v>
      </c>
      <c r="AA69" s="2" t="s">
        <v>47</v>
      </c>
      <c r="AB69" s="2">
        <v>9</v>
      </c>
      <c r="AC69" s="2" t="s">
        <v>48</v>
      </c>
      <c r="AD69" s="2">
        <v>1</v>
      </c>
    </row>
    <row r="70" spans="1:30" ht="30" x14ac:dyDescent="0.25">
      <c r="A70" s="2">
        <v>4</v>
      </c>
      <c r="B70" s="2" t="s">
        <v>37</v>
      </c>
      <c r="C70" s="2">
        <v>13623</v>
      </c>
      <c r="D70" s="3">
        <v>44119</v>
      </c>
      <c r="E70" s="2" t="s">
        <v>344</v>
      </c>
      <c r="F70" s="2"/>
      <c r="G70" s="2" t="s">
        <v>120</v>
      </c>
      <c r="H70" s="2" t="s">
        <v>121</v>
      </c>
      <c r="I70" s="2" t="s">
        <v>41</v>
      </c>
      <c r="J70" s="3">
        <v>40797</v>
      </c>
      <c r="K70" s="2"/>
      <c r="L70" s="2"/>
      <c r="M70" s="2">
        <v>4</v>
      </c>
      <c r="N70" s="2">
        <v>4</v>
      </c>
      <c r="O70" s="2" t="s">
        <v>53</v>
      </c>
      <c r="P70" s="2" t="s">
        <v>43</v>
      </c>
      <c r="Q70" s="2"/>
      <c r="R70" s="2" t="s">
        <v>44</v>
      </c>
      <c r="S70" s="2">
        <v>8250215703</v>
      </c>
      <c r="T70" s="2"/>
      <c r="U70" s="2"/>
      <c r="V70" s="2">
        <v>8290915602</v>
      </c>
      <c r="W70" s="2" t="s">
        <v>345</v>
      </c>
      <c r="X70" s="2">
        <v>20000</v>
      </c>
      <c r="Y70" s="2" t="s">
        <v>46</v>
      </c>
      <c r="Z70" s="2" t="s">
        <v>46</v>
      </c>
      <c r="AA70" s="2" t="s">
        <v>47</v>
      </c>
      <c r="AB70" s="2">
        <v>10</v>
      </c>
      <c r="AC70" s="2" t="s">
        <v>48</v>
      </c>
      <c r="AD70" s="2">
        <v>1</v>
      </c>
    </row>
    <row r="71" spans="1:30" ht="30" x14ac:dyDescent="0.25">
      <c r="A71" s="2">
        <v>4</v>
      </c>
      <c r="B71" s="2" t="s">
        <v>37</v>
      </c>
      <c r="C71" s="2">
        <v>13632</v>
      </c>
      <c r="D71" s="3">
        <v>44119</v>
      </c>
      <c r="E71" s="2" t="s">
        <v>346</v>
      </c>
      <c r="F71" s="2"/>
      <c r="G71" s="2" t="s">
        <v>153</v>
      </c>
      <c r="H71" s="2" t="s">
        <v>154</v>
      </c>
      <c r="I71" s="2" t="s">
        <v>41</v>
      </c>
      <c r="J71" s="3">
        <v>40667</v>
      </c>
      <c r="K71" s="2"/>
      <c r="L71" s="2"/>
      <c r="M71" s="2">
        <v>4</v>
      </c>
      <c r="N71" s="2">
        <v>4</v>
      </c>
      <c r="O71" s="2" t="s">
        <v>53</v>
      </c>
      <c r="P71" s="2" t="s">
        <v>43</v>
      </c>
      <c r="Q71" s="2"/>
      <c r="R71" s="2" t="s">
        <v>44</v>
      </c>
      <c r="S71" s="2">
        <v>8250215703</v>
      </c>
      <c r="T71" s="2" t="s">
        <v>347</v>
      </c>
      <c r="U71" s="2"/>
      <c r="V71" s="2">
        <v>7976255850</v>
      </c>
      <c r="W71" s="2" t="s">
        <v>156</v>
      </c>
      <c r="X71" s="2">
        <v>28000</v>
      </c>
      <c r="Y71" s="2" t="s">
        <v>46</v>
      </c>
      <c r="Z71" s="2" t="s">
        <v>46</v>
      </c>
      <c r="AA71" s="2" t="s">
        <v>47</v>
      </c>
      <c r="AB71" s="2">
        <v>10</v>
      </c>
      <c r="AC71" s="2" t="s">
        <v>48</v>
      </c>
      <c r="AD71" s="2">
        <v>1</v>
      </c>
    </row>
    <row r="72" spans="1:30" ht="45" x14ac:dyDescent="0.25">
      <c r="A72" s="2">
        <v>5</v>
      </c>
      <c r="B72" s="2" t="s">
        <v>37</v>
      </c>
      <c r="C72" s="2">
        <v>13012</v>
      </c>
      <c r="D72" s="3">
        <v>43283</v>
      </c>
      <c r="E72" s="2" t="s">
        <v>348</v>
      </c>
      <c r="F72" s="2"/>
      <c r="G72" s="2" t="s">
        <v>349</v>
      </c>
      <c r="H72" s="2" t="s">
        <v>350</v>
      </c>
      <c r="I72" s="2" t="s">
        <v>52</v>
      </c>
      <c r="J72" s="3">
        <v>40879</v>
      </c>
      <c r="K72" s="2"/>
      <c r="L72" s="2"/>
      <c r="M72" s="2">
        <v>4</v>
      </c>
      <c r="N72" s="2">
        <v>4</v>
      </c>
      <c r="O72" s="2" t="s">
        <v>53</v>
      </c>
      <c r="P72" s="2" t="s">
        <v>43</v>
      </c>
      <c r="Q72" s="2"/>
      <c r="R72" s="2" t="s">
        <v>44</v>
      </c>
      <c r="S72" s="2">
        <v>8250215703</v>
      </c>
      <c r="T72" s="2" t="s">
        <v>351</v>
      </c>
      <c r="U72" s="2"/>
      <c r="V72" s="2">
        <v>9721609969</v>
      </c>
      <c r="W72" s="2" t="s">
        <v>352</v>
      </c>
      <c r="X72" s="2">
        <v>40000</v>
      </c>
      <c r="Y72" s="2" t="s">
        <v>46</v>
      </c>
      <c r="Z72" s="2" t="s">
        <v>46</v>
      </c>
      <c r="AA72" s="2" t="s">
        <v>47</v>
      </c>
      <c r="AB72" s="2">
        <v>10</v>
      </c>
      <c r="AC72" s="2" t="s">
        <v>48</v>
      </c>
      <c r="AD72" s="2">
        <v>1</v>
      </c>
    </row>
    <row r="73" spans="1:30" ht="45" x14ac:dyDescent="0.25">
      <c r="A73" s="2">
        <v>5</v>
      </c>
      <c r="B73" s="2" t="s">
        <v>37</v>
      </c>
      <c r="C73" s="2">
        <v>13588</v>
      </c>
      <c r="D73" s="3">
        <v>44109</v>
      </c>
      <c r="E73" s="2" t="s">
        <v>353</v>
      </c>
      <c r="F73" s="2"/>
      <c r="G73" s="2" t="s">
        <v>354</v>
      </c>
      <c r="H73" s="2" t="s">
        <v>268</v>
      </c>
      <c r="I73" s="2" t="s">
        <v>41</v>
      </c>
      <c r="J73" s="3">
        <v>39754</v>
      </c>
      <c r="K73" s="2"/>
      <c r="L73" s="2"/>
      <c r="M73" s="2">
        <v>4</v>
      </c>
      <c r="N73" s="2">
        <v>4</v>
      </c>
      <c r="O73" s="2" t="s">
        <v>53</v>
      </c>
      <c r="P73" s="2" t="s">
        <v>43</v>
      </c>
      <c r="Q73" s="2"/>
      <c r="R73" s="2" t="s">
        <v>44</v>
      </c>
      <c r="S73" s="2">
        <v>8250215703</v>
      </c>
      <c r="T73" s="2" t="s">
        <v>355</v>
      </c>
      <c r="U73" s="2"/>
      <c r="V73" s="2">
        <v>9660141430</v>
      </c>
      <c r="W73" s="2" t="s">
        <v>270</v>
      </c>
      <c r="X73" s="2">
        <v>35000</v>
      </c>
      <c r="Y73" s="2" t="s">
        <v>46</v>
      </c>
      <c r="Z73" s="2" t="s">
        <v>46</v>
      </c>
      <c r="AA73" s="2" t="s">
        <v>47</v>
      </c>
      <c r="AB73" s="2">
        <v>13</v>
      </c>
      <c r="AC73" s="2" t="s">
        <v>48</v>
      </c>
      <c r="AD73" s="2">
        <v>1</v>
      </c>
    </row>
    <row r="74" spans="1:30" ht="30" x14ac:dyDescent="0.25">
      <c r="A74" s="2">
        <v>5</v>
      </c>
      <c r="B74" s="2" t="s">
        <v>37</v>
      </c>
      <c r="C74" s="2">
        <v>13430</v>
      </c>
      <c r="D74" s="3">
        <v>43705</v>
      </c>
      <c r="E74" s="2" t="s">
        <v>356</v>
      </c>
      <c r="F74" s="2"/>
      <c r="G74" s="2" t="s">
        <v>357</v>
      </c>
      <c r="H74" s="2" t="s">
        <v>358</v>
      </c>
      <c r="I74" s="2" t="s">
        <v>41</v>
      </c>
      <c r="J74" s="3">
        <v>40575</v>
      </c>
      <c r="K74" s="2"/>
      <c r="L74" s="2"/>
      <c r="M74" s="2">
        <v>4</v>
      </c>
      <c r="N74" s="2">
        <v>4</v>
      </c>
      <c r="O74" s="2" t="s">
        <v>53</v>
      </c>
      <c r="P74" s="2" t="s">
        <v>43</v>
      </c>
      <c r="Q74" s="2"/>
      <c r="R74" s="2" t="s">
        <v>44</v>
      </c>
      <c r="S74" s="2">
        <v>8250215703</v>
      </c>
      <c r="T74" s="2" t="s">
        <v>359</v>
      </c>
      <c r="U74" s="2" t="s">
        <v>360</v>
      </c>
      <c r="V74" s="2">
        <v>9509409573</v>
      </c>
      <c r="W74" s="2" t="s">
        <v>361</v>
      </c>
      <c r="X74" s="2">
        <v>20000</v>
      </c>
      <c r="Y74" s="2" t="s">
        <v>46</v>
      </c>
      <c r="Z74" s="2" t="s">
        <v>46</v>
      </c>
      <c r="AA74" s="2" t="s">
        <v>47</v>
      </c>
      <c r="AB74" s="2">
        <v>10</v>
      </c>
      <c r="AC74" s="2" t="s">
        <v>48</v>
      </c>
      <c r="AD74" s="2">
        <v>2</v>
      </c>
    </row>
    <row r="75" spans="1:30" ht="30" x14ac:dyDescent="0.25">
      <c r="A75" s="2">
        <v>5</v>
      </c>
      <c r="B75" s="2" t="s">
        <v>37</v>
      </c>
      <c r="C75" s="2">
        <v>12653</v>
      </c>
      <c r="D75" s="3">
        <v>42913</v>
      </c>
      <c r="E75" s="2" t="s">
        <v>362</v>
      </c>
      <c r="F75" s="2"/>
      <c r="G75" s="2" t="s">
        <v>363</v>
      </c>
      <c r="H75" s="2" t="s">
        <v>364</v>
      </c>
      <c r="I75" s="2" t="s">
        <v>41</v>
      </c>
      <c r="J75" s="3">
        <v>40936</v>
      </c>
      <c r="K75" s="2"/>
      <c r="L75" s="2"/>
      <c r="M75" s="2">
        <v>4</v>
      </c>
      <c r="N75" s="2">
        <v>4</v>
      </c>
      <c r="O75" s="2" t="s">
        <v>53</v>
      </c>
      <c r="P75" s="2" t="s">
        <v>43</v>
      </c>
      <c r="Q75" s="2"/>
      <c r="R75" s="2" t="s">
        <v>44</v>
      </c>
      <c r="S75" s="2">
        <v>8250215703</v>
      </c>
      <c r="T75" s="2" t="s">
        <v>365</v>
      </c>
      <c r="U75" s="2"/>
      <c r="V75" s="2">
        <v>9829335609</v>
      </c>
      <c r="W75" s="2" t="s">
        <v>366</v>
      </c>
      <c r="X75" s="2">
        <v>30000</v>
      </c>
      <c r="Y75" s="2" t="s">
        <v>46</v>
      </c>
      <c r="Z75" s="2" t="s">
        <v>46</v>
      </c>
      <c r="AA75" s="2" t="s">
        <v>47</v>
      </c>
      <c r="AB75" s="2">
        <v>9</v>
      </c>
      <c r="AC75" s="2" t="s">
        <v>48</v>
      </c>
      <c r="AD75" s="2">
        <v>1</v>
      </c>
    </row>
    <row r="76" spans="1:30" ht="30" x14ac:dyDescent="0.25">
      <c r="A76" s="2">
        <v>5</v>
      </c>
      <c r="B76" s="2" t="s">
        <v>37</v>
      </c>
      <c r="C76" s="2">
        <v>12704</v>
      </c>
      <c r="D76" s="3">
        <v>42920</v>
      </c>
      <c r="E76" s="2" t="s">
        <v>362</v>
      </c>
      <c r="F76" s="2"/>
      <c r="G76" s="2" t="s">
        <v>367</v>
      </c>
      <c r="H76" s="2" t="s">
        <v>368</v>
      </c>
      <c r="I76" s="2" t="s">
        <v>41</v>
      </c>
      <c r="J76" s="3">
        <v>40493</v>
      </c>
      <c r="K76" s="2"/>
      <c r="L76" s="2"/>
      <c r="M76" s="2">
        <v>4</v>
      </c>
      <c r="N76" s="2">
        <v>4</v>
      </c>
      <c r="O76" s="2" t="s">
        <v>53</v>
      </c>
      <c r="P76" s="2" t="s">
        <v>43</v>
      </c>
      <c r="Q76" s="2"/>
      <c r="R76" s="2" t="s">
        <v>44</v>
      </c>
      <c r="S76" s="2">
        <v>8250215703</v>
      </c>
      <c r="T76" s="2" t="s">
        <v>369</v>
      </c>
      <c r="U76" s="2" t="s">
        <v>370</v>
      </c>
      <c r="V76" s="2">
        <v>9680492429</v>
      </c>
      <c r="W76" s="2" t="s">
        <v>371</v>
      </c>
      <c r="X76" s="2">
        <v>40000</v>
      </c>
      <c r="Y76" s="2" t="s">
        <v>46</v>
      </c>
      <c r="Z76" s="2" t="s">
        <v>46</v>
      </c>
      <c r="AA76" s="2" t="s">
        <v>47</v>
      </c>
      <c r="AB76" s="2">
        <v>11</v>
      </c>
      <c r="AC76" s="2" t="s">
        <v>48</v>
      </c>
      <c r="AD76" s="2">
        <v>1</v>
      </c>
    </row>
    <row r="77" spans="1:30" ht="30" x14ac:dyDescent="0.25">
      <c r="A77" s="2">
        <v>5</v>
      </c>
      <c r="B77" s="2" t="s">
        <v>37</v>
      </c>
      <c r="C77" s="2">
        <v>12873</v>
      </c>
      <c r="D77" s="3">
        <v>42973</v>
      </c>
      <c r="E77" s="2" t="s">
        <v>372</v>
      </c>
      <c r="F77" s="2"/>
      <c r="G77" s="2" t="s">
        <v>373</v>
      </c>
      <c r="H77" s="2" t="s">
        <v>295</v>
      </c>
      <c r="I77" s="2" t="s">
        <v>41</v>
      </c>
      <c r="J77" s="3">
        <v>40909</v>
      </c>
      <c r="K77" s="2"/>
      <c r="L77" s="2"/>
      <c r="M77" s="2">
        <v>4</v>
      </c>
      <c r="N77" s="2">
        <v>4</v>
      </c>
      <c r="O77" s="2" t="s">
        <v>53</v>
      </c>
      <c r="P77" s="2" t="s">
        <v>43</v>
      </c>
      <c r="Q77" s="2"/>
      <c r="R77" s="2" t="s">
        <v>44</v>
      </c>
      <c r="S77" s="2">
        <v>8250215703</v>
      </c>
      <c r="T77" s="2" t="s">
        <v>374</v>
      </c>
      <c r="U77" s="2" t="s">
        <v>375</v>
      </c>
      <c r="V77" s="2">
        <v>9636706949</v>
      </c>
      <c r="W77" s="2" t="s">
        <v>376</v>
      </c>
      <c r="X77" s="2">
        <v>30000</v>
      </c>
      <c r="Y77" s="2" t="s">
        <v>46</v>
      </c>
      <c r="Z77" s="2" t="s">
        <v>46</v>
      </c>
      <c r="AA77" s="2" t="s">
        <v>47</v>
      </c>
      <c r="AB77" s="2">
        <v>9</v>
      </c>
      <c r="AC77" s="2" t="s">
        <v>48</v>
      </c>
      <c r="AD77" s="2">
        <v>1</v>
      </c>
    </row>
    <row r="78" spans="1:30" ht="30" x14ac:dyDescent="0.25">
      <c r="A78" s="2">
        <v>5</v>
      </c>
      <c r="B78" s="2" t="s">
        <v>37</v>
      </c>
      <c r="C78" s="2">
        <v>13113</v>
      </c>
      <c r="D78" s="3">
        <v>43290</v>
      </c>
      <c r="E78" s="2" t="s">
        <v>377</v>
      </c>
      <c r="F78" s="2"/>
      <c r="G78" s="2" t="s">
        <v>378</v>
      </c>
      <c r="H78" s="2" t="s">
        <v>379</v>
      </c>
      <c r="I78" s="2" t="s">
        <v>52</v>
      </c>
      <c r="J78" s="3">
        <v>40467</v>
      </c>
      <c r="K78" s="2"/>
      <c r="L78" s="2"/>
      <c r="M78" s="2">
        <v>4</v>
      </c>
      <c r="N78" s="2">
        <v>2</v>
      </c>
      <c r="O78" s="2" t="s">
        <v>53</v>
      </c>
      <c r="P78" s="2" t="s">
        <v>43</v>
      </c>
      <c r="Q78" s="2"/>
      <c r="R78" s="2" t="s">
        <v>44</v>
      </c>
      <c r="S78" s="2">
        <v>8250215703</v>
      </c>
      <c r="T78" s="2"/>
      <c r="U78" s="2" t="s">
        <v>380</v>
      </c>
      <c r="V78" s="2">
        <v>7568665565</v>
      </c>
      <c r="W78" s="2" t="s">
        <v>381</v>
      </c>
      <c r="X78" s="2">
        <v>36000</v>
      </c>
      <c r="Y78" s="2" t="s">
        <v>46</v>
      </c>
      <c r="Z78" s="2" t="s">
        <v>46</v>
      </c>
      <c r="AA78" s="2" t="s">
        <v>47</v>
      </c>
      <c r="AB78" s="2">
        <v>11</v>
      </c>
      <c r="AC78" s="2" t="s">
        <v>48</v>
      </c>
      <c r="AD78" s="2">
        <v>2</v>
      </c>
    </row>
    <row r="79" spans="1:30" ht="30" x14ac:dyDescent="0.25">
      <c r="A79" s="2">
        <v>5</v>
      </c>
      <c r="B79" s="2" t="s">
        <v>37</v>
      </c>
      <c r="C79" s="2">
        <v>14004</v>
      </c>
      <c r="D79" s="3">
        <v>43647</v>
      </c>
      <c r="E79" s="2" t="s">
        <v>382</v>
      </c>
      <c r="F79" s="2"/>
      <c r="G79" s="2" t="s">
        <v>383</v>
      </c>
      <c r="H79" s="2" t="s">
        <v>159</v>
      </c>
      <c r="I79" s="2" t="s">
        <v>41</v>
      </c>
      <c r="J79" s="3">
        <v>40070</v>
      </c>
      <c r="K79" s="2"/>
      <c r="L79" s="2"/>
      <c r="M79" s="2">
        <v>4</v>
      </c>
      <c r="N79" s="2">
        <v>2</v>
      </c>
      <c r="O79" s="2" t="s">
        <v>42</v>
      </c>
      <c r="P79" s="2" t="s">
        <v>43</v>
      </c>
      <c r="Q79" s="2"/>
      <c r="R79" s="2" t="s">
        <v>44</v>
      </c>
      <c r="S79" s="2">
        <v>8250215703</v>
      </c>
      <c r="T79" s="2" t="s">
        <v>384</v>
      </c>
      <c r="U79" s="2"/>
      <c r="V79" s="2">
        <v>7023148879</v>
      </c>
      <c r="W79" s="2" t="s">
        <v>385</v>
      </c>
      <c r="X79" s="2">
        <v>10000</v>
      </c>
      <c r="Y79" s="2" t="s">
        <v>46</v>
      </c>
      <c r="Z79" s="2" t="s">
        <v>46</v>
      </c>
      <c r="AA79" s="2" t="s">
        <v>47</v>
      </c>
      <c r="AB79" s="2">
        <v>12</v>
      </c>
      <c r="AC79" s="2" t="s">
        <v>48</v>
      </c>
      <c r="AD79" s="2">
        <v>1</v>
      </c>
    </row>
    <row r="80" spans="1:30" ht="30" x14ac:dyDescent="0.25">
      <c r="A80" s="2">
        <v>5</v>
      </c>
      <c r="B80" s="2" t="s">
        <v>37</v>
      </c>
      <c r="C80" s="2">
        <v>13165</v>
      </c>
      <c r="D80" s="3">
        <v>43647</v>
      </c>
      <c r="E80" s="2" t="s">
        <v>386</v>
      </c>
      <c r="F80" s="2" t="s">
        <v>229</v>
      </c>
      <c r="G80" s="2" t="s">
        <v>387</v>
      </c>
      <c r="H80" s="2" t="s">
        <v>388</v>
      </c>
      <c r="I80" s="2" t="s">
        <v>41</v>
      </c>
      <c r="J80" s="3">
        <v>39877</v>
      </c>
      <c r="K80" s="2"/>
      <c r="L80" s="2"/>
      <c r="M80" s="2">
        <v>4</v>
      </c>
      <c r="N80" s="2">
        <v>1</v>
      </c>
      <c r="O80" s="2" t="s">
        <v>53</v>
      </c>
      <c r="P80" s="2" t="s">
        <v>43</v>
      </c>
      <c r="Q80" s="2"/>
      <c r="R80" s="2" t="s">
        <v>44</v>
      </c>
      <c r="S80" s="2">
        <v>8250215703</v>
      </c>
      <c r="T80" s="2" t="s">
        <v>389</v>
      </c>
      <c r="U80" s="2"/>
      <c r="V80" s="2">
        <v>9784793030</v>
      </c>
      <c r="W80" s="2" t="s">
        <v>390</v>
      </c>
      <c r="X80" s="2">
        <v>1251560</v>
      </c>
      <c r="Y80" s="2" t="s">
        <v>46</v>
      </c>
      <c r="Z80" s="2" t="s">
        <v>46</v>
      </c>
      <c r="AA80" s="2" t="s">
        <v>47</v>
      </c>
      <c r="AB80" s="2">
        <v>12</v>
      </c>
      <c r="AC80" s="2" t="s">
        <v>48</v>
      </c>
      <c r="AD80" s="2">
        <v>2</v>
      </c>
    </row>
    <row r="81" spans="1:30" ht="30" x14ac:dyDescent="0.25">
      <c r="A81" s="2">
        <v>5</v>
      </c>
      <c r="B81" s="2" t="s">
        <v>37</v>
      </c>
      <c r="C81" s="2">
        <v>13537</v>
      </c>
      <c r="D81" s="3">
        <v>44075</v>
      </c>
      <c r="E81" s="2" t="s">
        <v>391</v>
      </c>
      <c r="F81" s="2"/>
      <c r="G81" s="2" t="s">
        <v>392</v>
      </c>
      <c r="H81" s="2" t="s">
        <v>393</v>
      </c>
      <c r="I81" s="2" t="s">
        <v>41</v>
      </c>
      <c r="J81" s="3">
        <v>40167</v>
      </c>
      <c r="K81" s="2"/>
      <c r="L81" s="2"/>
      <c r="M81" s="2">
        <v>4</v>
      </c>
      <c r="N81" s="2">
        <v>4</v>
      </c>
      <c r="O81" s="2" t="s">
        <v>53</v>
      </c>
      <c r="P81" s="2" t="s">
        <v>43</v>
      </c>
      <c r="Q81" s="2"/>
      <c r="R81" s="2" t="s">
        <v>44</v>
      </c>
      <c r="S81" s="2">
        <v>8250215703</v>
      </c>
      <c r="T81" s="2" t="s">
        <v>394</v>
      </c>
      <c r="U81" s="2"/>
      <c r="V81" s="2">
        <v>8085657434</v>
      </c>
      <c r="W81" s="2" t="s">
        <v>395</v>
      </c>
      <c r="X81" s="2">
        <v>48000</v>
      </c>
      <c r="Y81" s="2" t="s">
        <v>46</v>
      </c>
      <c r="Z81" s="2" t="s">
        <v>46</v>
      </c>
      <c r="AA81" s="2" t="s">
        <v>47</v>
      </c>
      <c r="AB81" s="2">
        <v>12</v>
      </c>
      <c r="AC81" s="2" t="s">
        <v>48</v>
      </c>
      <c r="AD81" s="2">
        <v>1</v>
      </c>
    </row>
    <row r="82" spans="1:30" ht="30" x14ac:dyDescent="0.25">
      <c r="A82" s="2">
        <v>5</v>
      </c>
      <c r="B82" s="2" t="s">
        <v>37</v>
      </c>
      <c r="C82" s="2">
        <v>13106</v>
      </c>
      <c r="D82" s="3">
        <v>43286</v>
      </c>
      <c r="E82" s="2" t="s">
        <v>396</v>
      </c>
      <c r="F82" s="2"/>
      <c r="G82" s="2" t="s">
        <v>397</v>
      </c>
      <c r="H82" s="2" t="s">
        <v>210</v>
      </c>
      <c r="I82" s="2" t="s">
        <v>52</v>
      </c>
      <c r="J82" s="3">
        <v>41481</v>
      </c>
      <c r="K82" s="2"/>
      <c r="L82" s="2"/>
      <c r="M82" s="2">
        <v>4</v>
      </c>
      <c r="N82" s="2">
        <v>3</v>
      </c>
      <c r="O82" s="2" t="s">
        <v>53</v>
      </c>
      <c r="P82" s="2" t="s">
        <v>43</v>
      </c>
      <c r="Q82" s="2"/>
      <c r="R82" s="2" t="s">
        <v>44</v>
      </c>
      <c r="S82" s="2">
        <v>8250215703</v>
      </c>
      <c r="T82" s="2" t="s">
        <v>398</v>
      </c>
      <c r="U82" s="2" t="s">
        <v>399</v>
      </c>
      <c r="V82" s="2">
        <v>8107511520</v>
      </c>
      <c r="W82" s="2" t="s">
        <v>308</v>
      </c>
      <c r="X82" s="2">
        <v>36000</v>
      </c>
      <c r="Y82" s="2" t="s">
        <v>46</v>
      </c>
      <c r="Z82" s="2" t="s">
        <v>46</v>
      </c>
      <c r="AA82" s="2" t="s">
        <v>47</v>
      </c>
      <c r="AB82" s="2">
        <v>8</v>
      </c>
      <c r="AC82" s="2" t="s">
        <v>48</v>
      </c>
      <c r="AD82" s="2">
        <v>1</v>
      </c>
    </row>
    <row r="83" spans="1:30" ht="30" x14ac:dyDescent="0.25">
      <c r="A83" s="2">
        <v>5</v>
      </c>
      <c r="B83" s="2" t="s">
        <v>37</v>
      </c>
      <c r="C83" s="2">
        <v>13662</v>
      </c>
      <c r="D83" s="3">
        <v>44124</v>
      </c>
      <c r="E83" s="2" t="s">
        <v>400</v>
      </c>
      <c r="F83" s="2" t="s">
        <v>229</v>
      </c>
      <c r="G83" s="2" t="s">
        <v>230</v>
      </c>
      <c r="H83" s="2" t="s">
        <v>231</v>
      </c>
      <c r="I83" s="2" t="s">
        <v>52</v>
      </c>
      <c r="J83" s="3">
        <v>40627</v>
      </c>
      <c r="K83" s="2"/>
      <c r="L83" s="2"/>
      <c r="M83" s="2">
        <v>4</v>
      </c>
      <c r="N83" s="2">
        <v>0</v>
      </c>
      <c r="O83" s="2" t="s">
        <v>53</v>
      </c>
      <c r="P83" s="2" t="s">
        <v>43</v>
      </c>
      <c r="Q83" s="2"/>
      <c r="R83" s="2" t="s">
        <v>44</v>
      </c>
      <c r="S83" s="2">
        <v>8250215703</v>
      </c>
      <c r="T83" s="2" t="s">
        <v>401</v>
      </c>
      <c r="U83" s="2"/>
      <c r="V83" s="2">
        <v>7850839251</v>
      </c>
      <c r="W83" s="2" t="s">
        <v>233</v>
      </c>
      <c r="X83" s="2">
        <v>36000</v>
      </c>
      <c r="Y83" s="2" t="s">
        <v>46</v>
      </c>
      <c r="Z83" s="2" t="s">
        <v>46</v>
      </c>
      <c r="AA83" s="2" t="s">
        <v>47</v>
      </c>
      <c r="AB83" s="2">
        <v>10</v>
      </c>
      <c r="AC83" s="2" t="s">
        <v>48</v>
      </c>
      <c r="AD83" s="2">
        <v>1</v>
      </c>
    </row>
    <row r="84" spans="1:30" ht="30" x14ac:dyDescent="0.25">
      <c r="A84" s="2">
        <v>5</v>
      </c>
      <c r="B84" s="2" t="s">
        <v>37</v>
      </c>
      <c r="C84" s="2">
        <v>13987</v>
      </c>
      <c r="D84" s="3">
        <v>44454</v>
      </c>
      <c r="E84" s="2" t="s">
        <v>402</v>
      </c>
      <c r="F84" s="2"/>
      <c r="G84" s="2" t="s">
        <v>403</v>
      </c>
      <c r="H84" s="2" t="s">
        <v>243</v>
      </c>
      <c r="I84" s="2" t="s">
        <v>52</v>
      </c>
      <c r="J84" s="3">
        <v>40784</v>
      </c>
      <c r="K84" s="2"/>
      <c r="L84" s="2"/>
      <c r="M84" s="2">
        <v>4</v>
      </c>
      <c r="N84" s="2">
        <v>3</v>
      </c>
      <c r="O84" s="2" t="s">
        <v>53</v>
      </c>
      <c r="P84" s="2" t="s">
        <v>43</v>
      </c>
      <c r="Q84" s="2"/>
      <c r="R84" s="2" t="s">
        <v>44</v>
      </c>
      <c r="S84" s="2">
        <v>8250215703</v>
      </c>
      <c r="T84" s="2" t="s">
        <v>404</v>
      </c>
      <c r="U84" s="2" t="s">
        <v>405</v>
      </c>
      <c r="V84" s="2">
        <v>9784199808</v>
      </c>
      <c r="W84" s="2" t="s">
        <v>406</v>
      </c>
      <c r="X84" s="2">
        <v>36000</v>
      </c>
      <c r="Y84" s="2" t="s">
        <v>46</v>
      </c>
      <c r="Z84" s="2" t="s">
        <v>46</v>
      </c>
      <c r="AA84" s="2" t="s">
        <v>47</v>
      </c>
      <c r="AB84" s="2">
        <v>10</v>
      </c>
      <c r="AC84" s="2" t="s">
        <v>48</v>
      </c>
      <c r="AD84" s="2">
        <v>2</v>
      </c>
    </row>
    <row r="85" spans="1:30" ht="30" x14ac:dyDescent="0.25">
      <c r="A85" s="2">
        <v>5</v>
      </c>
      <c r="B85" s="2" t="s">
        <v>37</v>
      </c>
      <c r="C85" s="2">
        <v>13982</v>
      </c>
      <c r="D85" s="3">
        <v>44452</v>
      </c>
      <c r="E85" s="2" t="s">
        <v>407</v>
      </c>
      <c r="F85" s="2"/>
      <c r="G85" s="2" t="s">
        <v>408</v>
      </c>
      <c r="H85" s="2" t="s">
        <v>409</v>
      </c>
      <c r="I85" s="2" t="s">
        <v>41</v>
      </c>
      <c r="J85" s="3">
        <v>40454</v>
      </c>
      <c r="K85" s="2"/>
      <c r="L85" s="2"/>
      <c r="M85" s="2">
        <v>4</v>
      </c>
      <c r="N85" s="2">
        <v>3</v>
      </c>
      <c r="O85" s="2" t="s">
        <v>53</v>
      </c>
      <c r="P85" s="2" t="s">
        <v>43</v>
      </c>
      <c r="Q85" s="2"/>
      <c r="R85" s="2" t="s">
        <v>44</v>
      </c>
      <c r="S85" s="2">
        <v>8250215703</v>
      </c>
      <c r="T85" s="2" t="s">
        <v>410</v>
      </c>
      <c r="U85" s="2"/>
      <c r="V85" s="2">
        <v>9166557875</v>
      </c>
      <c r="W85" s="2" t="s">
        <v>411</v>
      </c>
      <c r="X85" s="2">
        <v>44000</v>
      </c>
      <c r="Y85" s="2" t="s">
        <v>46</v>
      </c>
      <c r="Z85" s="2" t="s">
        <v>46</v>
      </c>
      <c r="AA85" s="2" t="s">
        <v>47</v>
      </c>
      <c r="AB85" s="2">
        <v>11</v>
      </c>
      <c r="AC85" s="2" t="s">
        <v>48</v>
      </c>
      <c r="AD85" s="2">
        <v>1</v>
      </c>
    </row>
    <row r="86" spans="1:30" ht="30" x14ac:dyDescent="0.25">
      <c r="A86" s="2">
        <v>5</v>
      </c>
      <c r="B86" s="2" t="s">
        <v>37</v>
      </c>
      <c r="C86" s="2">
        <v>13642</v>
      </c>
      <c r="D86" s="3">
        <v>44120</v>
      </c>
      <c r="E86" s="2" t="s">
        <v>412</v>
      </c>
      <c r="F86" s="2"/>
      <c r="G86" s="2" t="s">
        <v>413</v>
      </c>
      <c r="H86" s="2" t="s">
        <v>414</v>
      </c>
      <c r="I86" s="2" t="s">
        <v>41</v>
      </c>
      <c r="J86" s="3">
        <v>40703</v>
      </c>
      <c r="K86" s="2"/>
      <c r="L86" s="2"/>
      <c r="M86" s="2">
        <v>4</v>
      </c>
      <c r="N86" s="2">
        <v>4</v>
      </c>
      <c r="O86" s="2" t="s">
        <v>53</v>
      </c>
      <c r="P86" s="2" t="s">
        <v>43</v>
      </c>
      <c r="Q86" s="2"/>
      <c r="R86" s="2" t="s">
        <v>44</v>
      </c>
      <c r="S86" s="2">
        <v>8250215703</v>
      </c>
      <c r="T86" s="2" t="s">
        <v>415</v>
      </c>
      <c r="U86" s="2"/>
      <c r="V86" s="2">
        <v>9680904102</v>
      </c>
      <c r="W86" s="2" t="s">
        <v>416</v>
      </c>
      <c r="X86" s="2">
        <v>60000</v>
      </c>
      <c r="Y86" s="2" t="s">
        <v>46</v>
      </c>
      <c r="Z86" s="2" t="s">
        <v>46</v>
      </c>
      <c r="AA86" s="2" t="s">
        <v>47</v>
      </c>
      <c r="AB86" s="2">
        <v>10</v>
      </c>
      <c r="AC86" s="2" t="s">
        <v>48</v>
      </c>
      <c r="AD86" s="2">
        <v>2</v>
      </c>
    </row>
    <row r="87" spans="1:30" ht="30" x14ac:dyDescent="0.25">
      <c r="A87" s="2">
        <v>5</v>
      </c>
      <c r="B87" s="2" t="s">
        <v>37</v>
      </c>
      <c r="C87" s="2">
        <v>13691</v>
      </c>
      <c r="D87" s="3">
        <v>44226</v>
      </c>
      <c r="E87" s="2" t="s">
        <v>417</v>
      </c>
      <c r="F87" s="2"/>
      <c r="G87" s="2" t="s">
        <v>418</v>
      </c>
      <c r="H87" s="2" t="s">
        <v>419</v>
      </c>
      <c r="I87" s="2" t="s">
        <v>52</v>
      </c>
      <c r="J87" s="3">
        <v>40877</v>
      </c>
      <c r="K87" s="2"/>
      <c r="L87" s="2"/>
      <c r="M87" s="2">
        <v>4</v>
      </c>
      <c r="N87" s="2">
        <v>4</v>
      </c>
      <c r="O87" s="2" t="s">
        <v>53</v>
      </c>
      <c r="P87" s="2" t="s">
        <v>43</v>
      </c>
      <c r="Q87" s="2"/>
      <c r="R87" s="2" t="s">
        <v>44</v>
      </c>
      <c r="S87" s="2">
        <v>8250215703</v>
      </c>
      <c r="T87" s="2"/>
      <c r="U87" s="2"/>
      <c r="V87" s="2">
        <v>9166607143</v>
      </c>
      <c r="W87" s="2" t="s">
        <v>420</v>
      </c>
      <c r="X87" s="2">
        <v>0</v>
      </c>
      <c r="Y87" s="2" t="s">
        <v>46</v>
      </c>
      <c r="Z87" s="2" t="s">
        <v>46</v>
      </c>
      <c r="AA87" s="2" t="s">
        <v>47</v>
      </c>
      <c r="AB87" s="2">
        <v>10</v>
      </c>
      <c r="AC87" s="2" t="s">
        <v>48</v>
      </c>
      <c r="AD87" s="2">
        <v>1</v>
      </c>
    </row>
    <row r="88" spans="1:30" ht="30" x14ac:dyDescent="0.25">
      <c r="A88" s="2">
        <v>5</v>
      </c>
      <c r="B88" s="2" t="s">
        <v>37</v>
      </c>
      <c r="C88" s="2">
        <v>12703</v>
      </c>
      <c r="D88" s="3">
        <v>42920</v>
      </c>
      <c r="E88" s="2" t="s">
        <v>421</v>
      </c>
      <c r="F88" s="2"/>
      <c r="G88" s="2" t="s">
        <v>422</v>
      </c>
      <c r="H88" s="2" t="s">
        <v>423</v>
      </c>
      <c r="I88" s="2" t="s">
        <v>52</v>
      </c>
      <c r="J88" s="3">
        <v>40794</v>
      </c>
      <c r="K88" s="2"/>
      <c r="L88" s="2"/>
      <c r="M88" s="2">
        <v>4</v>
      </c>
      <c r="N88" s="2">
        <v>4</v>
      </c>
      <c r="O88" s="2" t="s">
        <v>53</v>
      </c>
      <c r="P88" s="2" t="s">
        <v>43</v>
      </c>
      <c r="Q88" s="2"/>
      <c r="R88" s="2" t="s">
        <v>44</v>
      </c>
      <c r="S88" s="2">
        <v>8250215703</v>
      </c>
      <c r="T88" s="2" t="s">
        <v>424</v>
      </c>
      <c r="U88" s="2" t="s">
        <v>425</v>
      </c>
      <c r="V88" s="2">
        <v>9784791411</v>
      </c>
      <c r="W88" s="2" t="s">
        <v>426</v>
      </c>
      <c r="X88" s="2">
        <v>20000</v>
      </c>
      <c r="Y88" s="2" t="s">
        <v>46</v>
      </c>
      <c r="Z88" s="2" t="s">
        <v>240</v>
      </c>
      <c r="AA88" s="2" t="s">
        <v>47</v>
      </c>
      <c r="AB88" s="2">
        <v>10</v>
      </c>
      <c r="AC88" s="2" t="s">
        <v>48</v>
      </c>
      <c r="AD88" s="2">
        <v>1</v>
      </c>
    </row>
    <row r="89" spans="1:30" ht="30" x14ac:dyDescent="0.25">
      <c r="A89" s="2">
        <v>5</v>
      </c>
      <c r="B89" s="2" t="s">
        <v>37</v>
      </c>
      <c r="C89" s="2">
        <v>13267</v>
      </c>
      <c r="D89" s="3">
        <v>43655</v>
      </c>
      <c r="E89" s="2" t="s">
        <v>427</v>
      </c>
      <c r="F89" s="2"/>
      <c r="G89" s="2" t="s">
        <v>428</v>
      </c>
      <c r="H89" s="2" t="s">
        <v>429</v>
      </c>
      <c r="I89" s="2" t="s">
        <v>52</v>
      </c>
      <c r="J89" s="3">
        <v>40179</v>
      </c>
      <c r="K89" s="2"/>
      <c r="L89" s="2"/>
      <c r="M89" s="2">
        <v>4</v>
      </c>
      <c r="N89" s="2">
        <v>2</v>
      </c>
      <c r="O89" s="2" t="s">
        <v>53</v>
      </c>
      <c r="P89" s="2" t="s">
        <v>43</v>
      </c>
      <c r="Q89" s="2"/>
      <c r="R89" s="2" t="s">
        <v>44</v>
      </c>
      <c r="S89" s="2">
        <v>8250215703</v>
      </c>
      <c r="T89" s="2" t="s">
        <v>430</v>
      </c>
      <c r="U89" s="2" t="s">
        <v>431</v>
      </c>
      <c r="V89" s="2">
        <v>9587679880</v>
      </c>
      <c r="W89" s="2" t="s">
        <v>432</v>
      </c>
      <c r="X89" s="2">
        <v>50000</v>
      </c>
      <c r="Y89" s="2" t="s">
        <v>46</v>
      </c>
      <c r="Z89" s="2" t="s">
        <v>46</v>
      </c>
      <c r="AA89" s="2" t="s">
        <v>47</v>
      </c>
      <c r="AB89" s="2">
        <v>11</v>
      </c>
      <c r="AC89" s="2" t="s">
        <v>48</v>
      </c>
      <c r="AD89" s="2">
        <v>1</v>
      </c>
    </row>
    <row r="90" spans="1:30" ht="30" x14ac:dyDescent="0.25">
      <c r="A90" s="2">
        <v>5</v>
      </c>
      <c r="B90" s="2" t="s">
        <v>37</v>
      </c>
      <c r="C90" s="2">
        <v>12707</v>
      </c>
      <c r="D90" s="3">
        <v>42920</v>
      </c>
      <c r="E90" s="2" t="s">
        <v>433</v>
      </c>
      <c r="F90" s="2"/>
      <c r="G90" s="2" t="s">
        <v>434</v>
      </c>
      <c r="H90" s="2" t="s">
        <v>435</v>
      </c>
      <c r="I90" s="2" t="s">
        <v>52</v>
      </c>
      <c r="J90" s="3">
        <v>41167</v>
      </c>
      <c r="K90" s="2"/>
      <c r="L90" s="2"/>
      <c r="M90" s="2">
        <v>4</v>
      </c>
      <c r="N90" s="2">
        <v>3</v>
      </c>
      <c r="O90" s="2" t="s">
        <v>53</v>
      </c>
      <c r="P90" s="2" t="s">
        <v>43</v>
      </c>
      <c r="Q90" s="2"/>
      <c r="R90" s="2" t="s">
        <v>44</v>
      </c>
      <c r="S90" s="2">
        <v>8250215703</v>
      </c>
      <c r="T90" s="2"/>
      <c r="U90" s="2"/>
      <c r="V90" s="2">
        <v>9983870043</v>
      </c>
      <c r="W90" s="2" t="s">
        <v>371</v>
      </c>
      <c r="X90" s="2">
        <v>25000</v>
      </c>
      <c r="Y90" s="2" t="s">
        <v>46</v>
      </c>
      <c r="Z90" s="2" t="s">
        <v>46</v>
      </c>
      <c r="AA90" s="2" t="s">
        <v>47</v>
      </c>
      <c r="AB90" s="2">
        <v>9</v>
      </c>
      <c r="AC90" s="2" t="s">
        <v>48</v>
      </c>
      <c r="AD90" s="2">
        <v>1</v>
      </c>
    </row>
    <row r="91" spans="1:30" ht="30" x14ac:dyDescent="0.25">
      <c r="A91" s="2">
        <v>5</v>
      </c>
      <c r="B91" s="2" t="s">
        <v>37</v>
      </c>
      <c r="C91" s="2">
        <v>13688</v>
      </c>
      <c r="D91" s="3">
        <v>44226</v>
      </c>
      <c r="E91" s="2" t="s">
        <v>436</v>
      </c>
      <c r="F91" s="2"/>
      <c r="G91" s="2" t="s">
        <v>437</v>
      </c>
      <c r="H91" s="2" t="s">
        <v>103</v>
      </c>
      <c r="I91" s="2" t="s">
        <v>41</v>
      </c>
      <c r="J91" s="3">
        <v>40841</v>
      </c>
      <c r="K91" s="2"/>
      <c r="L91" s="2"/>
      <c r="M91" s="2">
        <v>4</v>
      </c>
      <c r="N91" s="2">
        <v>4</v>
      </c>
      <c r="O91" s="2" t="s">
        <v>53</v>
      </c>
      <c r="P91" s="2" t="s">
        <v>43</v>
      </c>
      <c r="Q91" s="2"/>
      <c r="R91" s="2" t="s">
        <v>44</v>
      </c>
      <c r="S91" s="2">
        <v>8250215703</v>
      </c>
      <c r="T91" s="2" t="s">
        <v>438</v>
      </c>
      <c r="U91" s="2"/>
      <c r="V91" s="2">
        <v>9993377122</v>
      </c>
      <c r="W91" s="2" t="s">
        <v>334</v>
      </c>
      <c r="X91" s="2">
        <v>48000</v>
      </c>
      <c r="Y91" s="2" t="s">
        <v>46</v>
      </c>
      <c r="Z91" s="2" t="s">
        <v>46</v>
      </c>
      <c r="AA91" s="2" t="s">
        <v>47</v>
      </c>
      <c r="AB91" s="2">
        <v>10</v>
      </c>
      <c r="AC91" s="2" t="s">
        <v>48</v>
      </c>
      <c r="AD91" s="2">
        <v>1</v>
      </c>
    </row>
    <row r="92" spans="1:30" ht="30" x14ac:dyDescent="0.25">
      <c r="A92" s="2">
        <v>5</v>
      </c>
      <c r="B92" s="2" t="s">
        <v>37</v>
      </c>
      <c r="C92" s="2">
        <v>13014</v>
      </c>
      <c r="D92" s="3">
        <v>43283</v>
      </c>
      <c r="E92" s="2" t="s">
        <v>439</v>
      </c>
      <c r="F92" s="2"/>
      <c r="G92" s="2" t="s">
        <v>290</v>
      </c>
      <c r="H92" s="2" t="s">
        <v>291</v>
      </c>
      <c r="I92" s="2" t="s">
        <v>52</v>
      </c>
      <c r="J92" s="3">
        <v>40179</v>
      </c>
      <c r="K92" s="2"/>
      <c r="L92" s="2"/>
      <c r="M92" s="2">
        <v>4</v>
      </c>
      <c r="N92" s="2">
        <v>4</v>
      </c>
      <c r="O92" s="2" t="s">
        <v>53</v>
      </c>
      <c r="P92" s="2" t="s">
        <v>43</v>
      </c>
      <c r="Q92" s="2"/>
      <c r="R92" s="2" t="s">
        <v>44</v>
      </c>
      <c r="S92" s="2">
        <v>8250215703</v>
      </c>
      <c r="T92" s="2" t="s">
        <v>440</v>
      </c>
      <c r="U92" s="2"/>
      <c r="V92" s="2">
        <v>9660659609</v>
      </c>
      <c r="W92" s="2" t="s">
        <v>292</v>
      </c>
      <c r="X92" s="2">
        <v>40000</v>
      </c>
      <c r="Y92" s="2" t="s">
        <v>46</v>
      </c>
      <c r="Z92" s="2" t="s">
        <v>46</v>
      </c>
      <c r="AA92" s="2" t="s">
        <v>47</v>
      </c>
      <c r="AB92" s="2">
        <v>11</v>
      </c>
      <c r="AC92" s="2" t="s">
        <v>48</v>
      </c>
      <c r="AD92" s="2">
        <v>1</v>
      </c>
    </row>
    <row r="93" spans="1:30" ht="30" x14ac:dyDescent="0.25">
      <c r="A93" s="2">
        <v>5</v>
      </c>
      <c r="B93" s="2" t="s">
        <v>37</v>
      </c>
      <c r="C93" s="2">
        <v>14005</v>
      </c>
      <c r="D93" s="3">
        <v>44474</v>
      </c>
      <c r="E93" s="2" t="s">
        <v>441</v>
      </c>
      <c r="F93" s="2"/>
      <c r="G93" s="2" t="s">
        <v>442</v>
      </c>
      <c r="H93" s="2" t="s">
        <v>107</v>
      </c>
      <c r="I93" s="2" t="s">
        <v>41</v>
      </c>
      <c r="J93" s="3">
        <v>40204</v>
      </c>
      <c r="K93" s="2"/>
      <c r="L93" s="2"/>
      <c r="M93" s="2">
        <v>4</v>
      </c>
      <c r="N93" s="2">
        <v>1</v>
      </c>
      <c r="O93" s="2" t="s">
        <v>53</v>
      </c>
      <c r="P93" s="2" t="s">
        <v>43</v>
      </c>
      <c r="Q93" s="2"/>
      <c r="R93" s="2" t="s">
        <v>44</v>
      </c>
      <c r="S93" s="2">
        <v>8250215703</v>
      </c>
      <c r="T93" s="2"/>
      <c r="U93" s="2"/>
      <c r="V93" s="2">
        <v>9725763495</v>
      </c>
      <c r="W93" s="2" t="s">
        <v>334</v>
      </c>
      <c r="X93" s="2">
        <v>30000</v>
      </c>
      <c r="Y93" s="2" t="s">
        <v>46</v>
      </c>
      <c r="Z93" s="2" t="s">
        <v>46</v>
      </c>
      <c r="AA93" s="2" t="s">
        <v>47</v>
      </c>
      <c r="AB93" s="2">
        <v>11</v>
      </c>
      <c r="AC93" s="2" t="s">
        <v>48</v>
      </c>
      <c r="AD93" s="2">
        <v>0</v>
      </c>
    </row>
    <row r="94" spans="1:30" ht="30" x14ac:dyDescent="0.25">
      <c r="A94" s="2">
        <v>5</v>
      </c>
      <c r="B94" s="2" t="s">
        <v>37</v>
      </c>
      <c r="C94" s="2">
        <v>13946</v>
      </c>
      <c r="D94" s="3">
        <v>44426</v>
      </c>
      <c r="E94" s="2" t="s">
        <v>443</v>
      </c>
      <c r="F94" s="2"/>
      <c r="G94" s="2" t="s">
        <v>444</v>
      </c>
      <c r="H94" s="2" t="s">
        <v>139</v>
      </c>
      <c r="I94" s="2" t="s">
        <v>52</v>
      </c>
      <c r="J94" s="3">
        <v>40409</v>
      </c>
      <c r="K94" s="2"/>
      <c r="L94" s="2"/>
      <c r="M94" s="2">
        <v>4</v>
      </c>
      <c r="N94" s="2">
        <v>2</v>
      </c>
      <c r="O94" s="2" t="s">
        <v>78</v>
      </c>
      <c r="P94" s="2" t="s">
        <v>43</v>
      </c>
      <c r="Q94" s="2"/>
      <c r="R94" s="2" t="s">
        <v>44</v>
      </c>
      <c r="S94" s="2">
        <v>8250215703</v>
      </c>
      <c r="T94" s="2" t="s">
        <v>445</v>
      </c>
      <c r="U94" s="2"/>
      <c r="V94" s="2">
        <v>9929327242</v>
      </c>
      <c r="W94" s="2" t="s">
        <v>141</v>
      </c>
      <c r="X94" s="2">
        <v>36000</v>
      </c>
      <c r="Y94" s="2" t="s">
        <v>46</v>
      </c>
      <c r="Z94" s="2" t="s">
        <v>46</v>
      </c>
      <c r="AA94" s="2" t="s">
        <v>47</v>
      </c>
      <c r="AB94" s="2">
        <v>11</v>
      </c>
      <c r="AC94" s="2" t="s">
        <v>48</v>
      </c>
      <c r="AD94" s="2">
        <v>1</v>
      </c>
    </row>
    <row r="95" spans="1:30" ht="30" x14ac:dyDescent="0.25">
      <c r="A95" s="2">
        <v>6</v>
      </c>
      <c r="B95" s="2" t="s">
        <v>37</v>
      </c>
      <c r="C95" s="2">
        <v>13410</v>
      </c>
      <c r="D95" s="3">
        <v>43048</v>
      </c>
      <c r="E95" s="2" t="s">
        <v>446</v>
      </c>
      <c r="F95" s="2"/>
      <c r="G95" s="2" t="s">
        <v>323</v>
      </c>
      <c r="H95" s="2" t="s">
        <v>324</v>
      </c>
      <c r="I95" s="2" t="s">
        <v>52</v>
      </c>
      <c r="J95" s="3">
        <v>40146</v>
      </c>
      <c r="K95" s="2"/>
      <c r="L95" s="2"/>
      <c r="M95" s="2">
        <v>10</v>
      </c>
      <c r="N95" s="2">
        <v>0</v>
      </c>
      <c r="O95" s="2" t="s">
        <v>42</v>
      </c>
      <c r="P95" s="2" t="s">
        <v>54</v>
      </c>
      <c r="Q95" s="2"/>
      <c r="R95" s="2" t="s">
        <v>44</v>
      </c>
      <c r="S95" s="2">
        <v>8250215703</v>
      </c>
      <c r="T95" s="2" t="s">
        <v>447</v>
      </c>
      <c r="U95" s="2"/>
      <c r="V95" s="2">
        <v>6375738469</v>
      </c>
      <c r="W95" s="2" t="s">
        <v>334</v>
      </c>
      <c r="X95" s="2">
        <v>50000</v>
      </c>
      <c r="Y95" s="2" t="s">
        <v>46</v>
      </c>
      <c r="Z95" s="2" t="s">
        <v>46</v>
      </c>
      <c r="AA95" s="2" t="s">
        <v>57</v>
      </c>
      <c r="AB95" s="2">
        <v>12</v>
      </c>
      <c r="AC95" s="2" t="s">
        <v>48</v>
      </c>
      <c r="AD95" s="2">
        <v>2</v>
      </c>
    </row>
    <row r="96" spans="1:30" ht="30" x14ac:dyDescent="0.25">
      <c r="A96" s="2">
        <v>6</v>
      </c>
      <c r="B96" s="2" t="s">
        <v>37</v>
      </c>
      <c r="C96" s="2">
        <v>12224</v>
      </c>
      <c r="D96" s="3">
        <v>42548</v>
      </c>
      <c r="E96" s="2" t="s">
        <v>448</v>
      </c>
      <c r="F96" s="2"/>
      <c r="G96" s="2" t="s">
        <v>449</v>
      </c>
      <c r="H96" s="2" t="s">
        <v>450</v>
      </c>
      <c r="I96" s="2" t="s">
        <v>52</v>
      </c>
      <c r="J96" s="3">
        <v>40649</v>
      </c>
      <c r="K96" s="2"/>
      <c r="L96" s="2"/>
      <c r="M96" s="2">
        <v>10</v>
      </c>
      <c r="N96" s="2">
        <v>10</v>
      </c>
      <c r="O96" s="2" t="s">
        <v>42</v>
      </c>
      <c r="P96" s="2" t="s">
        <v>54</v>
      </c>
      <c r="Q96" s="2"/>
      <c r="R96" s="2" t="s">
        <v>44</v>
      </c>
      <c r="S96" s="2">
        <v>8250215703</v>
      </c>
      <c r="T96" s="2" t="s">
        <v>451</v>
      </c>
      <c r="U96" s="2" t="s">
        <v>452</v>
      </c>
      <c r="V96" s="2">
        <v>9782461886</v>
      </c>
      <c r="W96" s="2" t="s">
        <v>453</v>
      </c>
      <c r="X96" s="2">
        <v>24000</v>
      </c>
      <c r="Y96" s="2" t="s">
        <v>46</v>
      </c>
      <c r="Z96" s="2" t="s">
        <v>46</v>
      </c>
      <c r="AA96" s="2" t="s">
        <v>57</v>
      </c>
      <c r="AB96" s="2">
        <v>10</v>
      </c>
      <c r="AC96" s="2" t="s">
        <v>48</v>
      </c>
      <c r="AD96" s="2">
        <v>1</v>
      </c>
    </row>
    <row r="97" spans="1:30" ht="30" x14ac:dyDescent="0.25">
      <c r="A97" s="2">
        <v>6</v>
      </c>
      <c r="B97" s="2" t="s">
        <v>37</v>
      </c>
      <c r="C97" s="2">
        <v>13805</v>
      </c>
      <c r="D97" s="3">
        <v>44399</v>
      </c>
      <c r="E97" s="2" t="s">
        <v>454</v>
      </c>
      <c r="F97" s="2"/>
      <c r="G97" s="2" t="s">
        <v>455</v>
      </c>
      <c r="H97" s="2" t="s">
        <v>210</v>
      </c>
      <c r="I97" s="2" t="s">
        <v>41</v>
      </c>
      <c r="J97" s="3">
        <v>40200</v>
      </c>
      <c r="K97" s="2"/>
      <c r="L97" s="2"/>
      <c r="M97" s="2">
        <v>10</v>
      </c>
      <c r="N97" s="2">
        <v>1</v>
      </c>
      <c r="O97" s="2" t="s">
        <v>53</v>
      </c>
      <c r="P97" s="2" t="s">
        <v>43</v>
      </c>
      <c r="Q97" s="2"/>
      <c r="R97" s="2" t="s">
        <v>44</v>
      </c>
      <c r="S97" s="2">
        <v>8250215703</v>
      </c>
      <c r="T97" s="2" t="s">
        <v>456</v>
      </c>
      <c r="U97" s="2" t="s">
        <v>457</v>
      </c>
      <c r="V97" s="2">
        <v>9024300710</v>
      </c>
      <c r="W97" s="2" t="s">
        <v>458</v>
      </c>
      <c r="X97" s="2">
        <v>100000</v>
      </c>
      <c r="Y97" s="2" t="s">
        <v>46</v>
      </c>
      <c r="Z97" s="2" t="s">
        <v>46</v>
      </c>
      <c r="AA97" s="2" t="s">
        <v>47</v>
      </c>
      <c r="AB97" s="2">
        <v>11</v>
      </c>
      <c r="AC97" s="2" t="s">
        <v>48</v>
      </c>
      <c r="AD97" s="2">
        <v>0</v>
      </c>
    </row>
    <row r="98" spans="1:30" ht="30" x14ac:dyDescent="0.25">
      <c r="A98" s="2">
        <v>6</v>
      </c>
      <c r="B98" s="2" t="s">
        <v>37</v>
      </c>
      <c r="C98" s="2">
        <v>12706</v>
      </c>
      <c r="D98" s="3">
        <v>42920</v>
      </c>
      <c r="E98" s="2" t="s">
        <v>459</v>
      </c>
      <c r="F98" s="2"/>
      <c r="G98" s="2" t="s">
        <v>434</v>
      </c>
      <c r="H98" s="2" t="s">
        <v>435</v>
      </c>
      <c r="I98" s="2" t="s">
        <v>52</v>
      </c>
      <c r="J98" s="3">
        <v>40738</v>
      </c>
      <c r="K98" s="2"/>
      <c r="L98" s="2"/>
      <c r="M98" s="2">
        <v>10</v>
      </c>
      <c r="N98" s="2">
        <v>9</v>
      </c>
      <c r="O98" s="2" t="s">
        <v>53</v>
      </c>
      <c r="P98" s="2" t="s">
        <v>43</v>
      </c>
      <c r="Q98" s="2"/>
      <c r="R98" s="2" t="s">
        <v>44</v>
      </c>
      <c r="S98" s="2">
        <v>8250215703</v>
      </c>
      <c r="T98" s="2"/>
      <c r="U98" s="2"/>
      <c r="V98" s="2">
        <v>9983870043</v>
      </c>
      <c r="W98" s="2" t="s">
        <v>371</v>
      </c>
      <c r="X98" s="2">
        <v>25000</v>
      </c>
      <c r="Y98" s="2" t="s">
        <v>46</v>
      </c>
      <c r="Z98" s="2" t="s">
        <v>46</v>
      </c>
      <c r="AA98" s="2" t="s">
        <v>47</v>
      </c>
      <c r="AB98" s="2">
        <v>10</v>
      </c>
      <c r="AC98" s="2" t="s">
        <v>48</v>
      </c>
      <c r="AD98" s="2">
        <v>1</v>
      </c>
    </row>
    <row r="99" spans="1:30" ht="30" x14ac:dyDescent="0.25">
      <c r="A99" s="2">
        <v>6</v>
      </c>
      <c r="B99" s="2" t="s">
        <v>37</v>
      </c>
      <c r="C99" s="2">
        <v>13105</v>
      </c>
      <c r="D99" s="3">
        <v>43286</v>
      </c>
      <c r="E99" s="2" t="s">
        <v>460</v>
      </c>
      <c r="F99" s="2"/>
      <c r="G99" s="2" t="s">
        <v>461</v>
      </c>
      <c r="H99" s="2" t="s">
        <v>210</v>
      </c>
      <c r="I99" s="2" t="s">
        <v>41</v>
      </c>
      <c r="J99" s="3">
        <v>40909</v>
      </c>
      <c r="K99" s="2"/>
      <c r="L99" s="2"/>
      <c r="M99" s="2">
        <v>10</v>
      </c>
      <c r="N99" s="2">
        <v>10</v>
      </c>
      <c r="O99" s="2" t="s">
        <v>53</v>
      </c>
      <c r="P99" s="2" t="s">
        <v>43</v>
      </c>
      <c r="Q99" s="2"/>
      <c r="R99" s="2" t="s">
        <v>44</v>
      </c>
      <c r="S99" s="2">
        <v>8250215703</v>
      </c>
      <c r="T99" s="2"/>
      <c r="U99" s="2"/>
      <c r="V99" s="2">
        <v>8107511520</v>
      </c>
      <c r="W99" s="2" t="s">
        <v>462</v>
      </c>
      <c r="X99" s="2">
        <v>25000</v>
      </c>
      <c r="Y99" s="2" t="s">
        <v>46</v>
      </c>
      <c r="Z99" s="2" t="s">
        <v>46</v>
      </c>
      <c r="AA99" s="2" t="s">
        <v>47</v>
      </c>
      <c r="AB99" s="2">
        <v>9</v>
      </c>
      <c r="AC99" s="2" t="s">
        <v>48</v>
      </c>
      <c r="AD99" s="2">
        <v>1</v>
      </c>
    </row>
    <row r="100" spans="1:30" ht="30" x14ac:dyDescent="0.25">
      <c r="A100" s="2">
        <v>6</v>
      </c>
      <c r="B100" s="2" t="s">
        <v>37</v>
      </c>
      <c r="C100" s="2">
        <v>13663</v>
      </c>
      <c r="D100" s="3">
        <v>44124</v>
      </c>
      <c r="E100" s="2" t="s">
        <v>463</v>
      </c>
      <c r="F100" s="2" t="s">
        <v>229</v>
      </c>
      <c r="G100" s="2" t="s">
        <v>230</v>
      </c>
      <c r="H100" s="2" t="s">
        <v>231</v>
      </c>
      <c r="I100" s="2" t="s">
        <v>52</v>
      </c>
      <c r="J100" s="3">
        <v>40224</v>
      </c>
      <c r="K100" s="2"/>
      <c r="L100" s="2"/>
      <c r="M100" s="2">
        <v>10</v>
      </c>
      <c r="N100" s="2">
        <v>0</v>
      </c>
      <c r="O100" s="2" t="s">
        <v>53</v>
      </c>
      <c r="P100" s="2" t="s">
        <v>43</v>
      </c>
      <c r="Q100" s="2"/>
      <c r="R100" s="2" t="s">
        <v>44</v>
      </c>
      <c r="S100" s="2">
        <v>8250215703</v>
      </c>
      <c r="T100" s="2" t="s">
        <v>464</v>
      </c>
      <c r="U100" s="2"/>
      <c r="V100" s="2">
        <v>7850839251</v>
      </c>
      <c r="W100" s="2" t="s">
        <v>233</v>
      </c>
      <c r="X100" s="2">
        <v>36000</v>
      </c>
      <c r="Y100" s="2" t="s">
        <v>46</v>
      </c>
      <c r="Z100" s="2" t="s">
        <v>46</v>
      </c>
      <c r="AA100" s="2" t="s">
        <v>47</v>
      </c>
      <c r="AB100" s="2">
        <v>11</v>
      </c>
      <c r="AC100" s="2" t="s">
        <v>48</v>
      </c>
      <c r="AD100" s="2">
        <v>1</v>
      </c>
    </row>
    <row r="101" spans="1:30" ht="30" x14ac:dyDescent="0.25">
      <c r="A101" s="2">
        <v>6</v>
      </c>
      <c r="B101" s="2" t="s">
        <v>37</v>
      </c>
      <c r="C101" s="2">
        <v>13426</v>
      </c>
      <c r="D101" s="3">
        <v>43687</v>
      </c>
      <c r="E101" s="2" t="s">
        <v>465</v>
      </c>
      <c r="F101" s="2"/>
      <c r="G101" s="2" t="s">
        <v>466</v>
      </c>
      <c r="H101" s="2" t="s">
        <v>467</v>
      </c>
      <c r="I101" s="2" t="s">
        <v>41</v>
      </c>
      <c r="J101" s="3">
        <v>40698</v>
      </c>
      <c r="K101" s="2"/>
      <c r="L101" s="2"/>
      <c r="M101" s="2">
        <v>10</v>
      </c>
      <c r="N101" s="2">
        <v>7</v>
      </c>
      <c r="O101" s="2" t="s">
        <v>53</v>
      </c>
      <c r="P101" s="2" t="s">
        <v>43</v>
      </c>
      <c r="Q101" s="2"/>
      <c r="R101" s="2" t="s">
        <v>44</v>
      </c>
      <c r="S101" s="2">
        <v>8250215703</v>
      </c>
      <c r="T101" s="2"/>
      <c r="U101" s="2"/>
      <c r="V101" s="2">
        <v>9829838312</v>
      </c>
      <c r="W101" s="2" t="s">
        <v>371</v>
      </c>
      <c r="X101" s="2">
        <v>40000</v>
      </c>
      <c r="Y101" s="2" t="s">
        <v>240</v>
      </c>
      <c r="Z101" s="2" t="s">
        <v>46</v>
      </c>
      <c r="AA101" s="2" t="s">
        <v>47</v>
      </c>
      <c r="AB101" s="2">
        <v>10</v>
      </c>
      <c r="AC101" s="2" t="s">
        <v>48</v>
      </c>
      <c r="AD101" s="2">
        <v>1</v>
      </c>
    </row>
    <row r="102" spans="1:30" ht="30" x14ac:dyDescent="0.25">
      <c r="A102" s="2">
        <v>6</v>
      </c>
      <c r="B102" s="2" t="s">
        <v>37</v>
      </c>
      <c r="C102" s="2">
        <v>13340</v>
      </c>
      <c r="D102" s="3">
        <v>43659</v>
      </c>
      <c r="E102" s="2" t="s">
        <v>468</v>
      </c>
      <c r="F102" s="2"/>
      <c r="G102" s="2" t="s">
        <v>87</v>
      </c>
      <c r="H102" s="2" t="s">
        <v>469</v>
      </c>
      <c r="I102" s="2" t="s">
        <v>41</v>
      </c>
      <c r="J102" s="3">
        <v>40506</v>
      </c>
      <c r="K102" s="2"/>
      <c r="L102" s="2"/>
      <c r="M102" s="2">
        <v>10</v>
      </c>
      <c r="N102" s="2">
        <v>10</v>
      </c>
      <c r="O102" s="2" t="s">
        <v>53</v>
      </c>
      <c r="P102" s="2" t="s">
        <v>43</v>
      </c>
      <c r="Q102" s="2"/>
      <c r="R102" s="2" t="s">
        <v>44</v>
      </c>
      <c r="S102" s="2">
        <v>8250215703</v>
      </c>
      <c r="T102" s="2" t="s">
        <v>470</v>
      </c>
      <c r="U102" s="2"/>
      <c r="V102" s="2">
        <v>9913070009</v>
      </c>
      <c r="W102" s="2" t="s">
        <v>471</v>
      </c>
      <c r="X102" s="2">
        <v>140000</v>
      </c>
      <c r="Y102" s="2" t="s">
        <v>46</v>
      </c>
      <c r="Z102" s="2" t="s">
        <v>46</v>
      </c>
      <c r="AA102" s="2" t="s">
        <v>47</v>
      </c>
      <c r="AB102" s="2">
        <v>11</v>
      </c>
      <c r="AC102" s="2" t="s">
        <v>48</v>
      </c>
      <c r="AD102" s="2">
        <v>1</v>
      </c>
    </row>
    <row r="103" spans="1:30" ht="30" x14ac:dyDescent="0.25">
      <c r="A103" s="2">
        <v>6</v>
      </c>
      <c r="B103" s="2" t="s">
        <v>37</v>
      </c>
      <c r="C103" s="2">
        <v>12225</v>
      </c>
      <c r="D103" s="3">
        <v>42548</v>
      </c>
      <c r="E103" s="2" t="s">
        <v>472</v>
      </c>
      <c r="F103" s="2"/>
      <c r="G103" s="2" t="s">
        <v>473</v>
      </c>
      <c r="H103" s="2" t="s">
        <v>474</v>
      </c>
      <c r="I103" s="2" t="s">
        <v>52</v>
      </c>
      <c r="J103" s="3">
        <v>40909</v>
      </c>
      <c r="K103" s="2"/>
      <c r="L103" s="2"/>
      <c r="M103" s="2">
        <v>10</v>
      </c>
      <c r="N103" s="2">
        <v>7</v>
      </c>
      <c r="O103" s="2" t="s">
        <v>53</v>
      </c>
      <c r="P103" s="2" t="s">
        <v>43</v>
      </c>
      <c r="Q103" s="2"/>
      <c r="R103" s="2" t="s">
        <v>44</v>
      </c>
      <c r="S103" s="2">
        <v>8250215703</v>
      </c>
      <c r="T103" s="2" t="s">
        <v>475</v>
      </c>
      <c r="U103" s="2"/>
      <c r="V103" s="2">
        <v>9950573922</v>
      </c>
      <c r="W103" s="2" t="s">
        <v>476</v>
      </c>
      <c r="X103" s="2">
        <v>60000</v>
      </c>
      <c r="Y103" s="2" t="s">
        <v>46</v>
      </c>
      <c r="Z103" s="2" t="s">
        <v>46</v>
      </c>
      <c r="AA103" s="2" t="s">
        <v>47</v>
      </c>
      <c r="AB103" s="2">
        <v>9</v>
      </c>
      <c r="AC103" s="2" t="s">
        <v>48</v>
      </c>
      <c r="AD103" s="2">
        <v>1</v>
      </c>
    </row>
    <row r="104" spans="1:30" ht="30" x14ac:dyDescent="0.25">
      <c r="A104" s="2">
        <v>6</v>
      </c>
      <c r="B104" s="2" t="s">
        <v>37</v>
      </c>
      <c r="C104" s="2">
        <v>12233</v>
      </c>
      <c r="D104" s="3">
        <v>42548</v>
      </c>
      <c r="E104" s="2" t="s">
        <v>477</v>
      </c>
      <c r="F104" s="2"/>
      <c r="G104" s="2" t="s">
        <v>478</v>
      </c>
      <c r="H104" s="2" t="s">
        <v>479</v>
      </c>
      <c r="I104" s="2" t="s">
        <v>52</v>
      </c>
      <c r="J104" s="3">
        <v>40395</v>
      </c>
      <c r="K104" s="2"/>
      <c r="L104" s="2"/>
      <c r="M104" s="2">
        <v>10</v>
      </c>
      <c r="N104" s="2">
        <v>6</v>
      </c>
      <c r="O104" s="2" t="s">
        <v>42</v>
      </c>
      <c r="P104" s="2" t="s">
        <v>54</v>
      </c>
      <c r="Q104" s="2"/>
      <c r="R104" s="2" t="s">
        <v>44</v>
      </c>
      <c r="S104" s="2">
        <v>8250215703</v>
      </c>
      <c r="T104" s="2" t="s">
        <v>480</v>
      </c>
      <c r="U104" s="2"/>
      <c r="V104" s="2">
        <v>8689201430</v>
      </c>
      <c r="W104" s="2" t="s">
        <v>481</v>
      </c>
      <c r="X104" s="2">
        <v>30000</v>
      </c>
      <c r="Y104" s="2" t="s">
        <v>240</v>
      </c>
      <c r="Z104" s="2" t="s">
        <v>46</v>
      </c>
      <c r="AA104" s="2" t="s">
        <v>57</v>
      </c>
      <c r="AB104" s="2">
        <v>11</v>
      </c>
      <c r="AC104" s="2" t="s">
        <v>48</v>
      </c>
      <c r="AD104" s="2">
        <v>0</v>
      </c>
    </row>
    <row r="105" spans="1:30" ht="30" x14ac:dyDescent="0.25">
      <c r="A105" s="2">
        <v>6</v>
      </c>
      <c r="B105" s="2" t="s">
        <v>37</v>
      </c>
      <c r="C105" s="2">
        <v>12630</v>
      </c>
      <c r="D105" s="3">
        <v>42548</v>
      </c>
      <c r="E105" s="2" t="s">
        <v>482</v>
      </c>
      <c r="F105" s="2"/>
      <c r="G105" s="2" t="s">
        <v>483</v>
      </c>
      <c r="H105" s="2" t="s">
        <v>484</v>
      </c>
      <c r="I105" s="2" t="s">
        <v>52</v>
      </c>
      <c r="J105" s="3">
        <v>39869</v>
      </c>
      <c r="K105" s="2"/>
      <c r="L105" s="2"/>
      <c r="M105" s="2">
        <v>10</v>
      </c>
      <c r="N105" s="2">
        <v>10</v>
      </c>
      <c r="O105" s="2" t="s">
        <v>53</v>
      </c>
      <c r="P105" s="2" t="s">
        <v>43</v>
      </c>
      <c r="Q105" s="2"/>
      <c r="R105" s="2" t="s">
        <v>44</v>
      </c>
      <c r="S105" s="2">
        <v>8250215703</v>
      </c>
      <c r="T105" s="2" t="s">
        <v>485</v>
      </c>
      <c r="U105" s="2"/>
      <c r="V105" s="2">
        <v>8696801574</v>
      </c>
      <c r="W105" s="2" t="s">
        <v>486</v>
      </c>
      <c r="X105" s="2">
        <v>36000</v>
      </c>
      <c r="Y105" s="2" t="s">
        <v>240</v>
      </c>
      <c r="Z105" s="2" t="s">
        <v>46</v>
      </c>
      <c r="AA105" s="2" t="s">
        <v>47</v>
      </c>
      <c r="AB105" s="2">
        <v>12</v>
      </c>
      <c r="AC105" s="2" t="s">
        <v>48</v>
      </c>
      <c r="AD105" s="2">
        <v>0</v>
      </c>
    </row>
    <row r="106" spans="1:30" ht="30" x14ac:dyDescent="0.25">
      <c r="A106" s="2">
        <v>6</v>
      </c>
      <c r="B106" s="2" t="s">
        <v>37</v>
      </c>
      <c r="C106" s="2">
        <v>12220</v>
      </c>
      <c r="D106" s="3">
        <v>42548</v>
      </c>
      <c r="E106" s="2" t="s">
        <v>487</v>
      </c>
      <c r="F106" s="2"/>
      <c r="G106" s="2" t="s">
        <v>488</v>
      </c>
      <c r="H106" s="2" t="s">
        <v>489</v>
      </c>
      <c r="I106" s="2" t="s">
        <v>41</v>
      </c>
      <c r="J106" s="3">
        <v>40510</v>
      </c>
      <c r="K106" s="2"/>
      <c r="L106" s="2"/>
      <c r="M106" s="2">
        <v>10</v>
      </c>
      <c r="N106" s="2">
        <v>10</v>
      </c>
      <c r="O106" s="2" t="s">
        <v>53</v>
      </c>
      <c r="P106" s="2" t="s">
        <v>54</v>
      </c>
      <c r="Q106" s="2"/>
      <c r="R106" s="2" t="s">
        <v>44</v>
      </c>
      <c r="S106" s="2">
        <v>8250215703</v>
      </c>
      <c r="T106" s="2" t="s">
        <v>490</v>
      </c>
      <c r="U106" s="2"/>
      <c r="V106" s="2">
        <v>9983556319</v>
      </c>
      <c r="W106" s="2" t="s">
        <v>491</v>
      </c>
      <c r="X106" s="2">
        <v>260000</v>
      </c>
      <c r="Y106" s="2" t="s">
        <v>46</v>
      </c>
      <c r="Z106" s="2" t="s">
        <v>46</v>
      </c>
      <c r="AA106" s="2" t="s">
        <v>57</v>
      </c>
      <c r="AB106" s="2">
        <v>11</v>
      </c>
      <c r="AC106" s="2" t="s">
        <v>48</v>
      </c>
      <c r="AD106" s="2">
        <v>1</v>
      </c>
    </row>
    <row r="107" spans="1:30" ht="30" x14ac:dyDescent="0.25">
      <c r="A107" s="2">
        <v>6</v>
      </c>
      <c r="B107" s="2" t="s">
        <v>37</v>
      </c>
      <c r="C107" s="2">
        <v>13804</v>
      </c>
      <c r="D107" s="3">
        <v>44399</v>
      </c>
      <c r="E107" s="2" t="s">
        <v>492</v>
      </c>
      <c r="F107" s="2"/>
      <c r="G107" s="2" t="s">
        <v>493</v>
      </c>
      <c r="H107" s="2" t="s">
        <v>494</v>
      </c>
      <c r="I107" s="2" t="s">
        <v>41</v>
      </c>
      <c r="J107" s="3">
        <v>40074</v>
      </c>
      <c r="K107" s="2"/>
      <c r="L107" s="2"/>
      <c r="M107" s="2">
        <v>10</v>
      </c>
      <c r="N107" s="2">
        <v>10</v>
      </c>
      <c r="O107" s="2" t="s">
        <v>42</v>
      </c>
      <c r="P107" s="2" t="s">
        <v>43</v>
      </c>
      <c r="Q107" s="2"/>
      <c r="R107" s="2" t="s">
        <v>44</v>
      </c>
      <c r="S107" s="2">
        <v>8250215703</v>
      </c>
      <c r="T107" s="2" t="s">
        <v>495</v>
      </c>
      <c r="U107" s="2"/>
      <c r="V107" s="2">
        <v>9772405063</v>
      </c>
      <c r="W107" s="2" t="s">
        <v>496</v>
      </c>
      <c r="X107" s="2">
        <v>70000</v>
      </c>
      <c r="Y107" s="2" t="s">
        <v>46</v>
      </c>
      <c r="Z107" s="2" t="s">
        <v>46</v>
      </c>
      <c r="AA107" s="2" t="s">
        <v>47</v>
      </c>
      <c r="AB107" s="2">
        <v>12</v>
      </c>
      <c r="AC107" s="2" t="s">
        <v>48</v>
      </c>
      <c r="AD107" s="2">
        <v>1</v>
      </c>
    </row>
    <row r="108" spans="1:30" ht="30" x14ac:dyDescent="0.25">
      <c r="A108" s="2">
        <v>6</v>
      </c>
      <c r="B108" s="2" t="s">
        <v>37</v>
      </c>
      <c r="C108" s="2">
        <v>13058</v>
      </c>
      <c r="D108" s="3">
        <v>43285</v>
      </c>
      <c r="E108" s="2" t="s">
        <v>497</v>
      </c>
      <c r="F108" s="2"/>
      <c r="G108" s="2" t="s">
        <v>498</v>
      </c>
      <c r="H108" s="2" t="s">
        <v>286</v>
      </c>
      <c r="I108" s="2" t="s">
        <v>52</v>
      </c>
      <c r="J108" s="3">
        <v>40766</v>
      </c>
      <c r="K108" s="2"/>
      <c r="L108" s="2"/>
      <c r="M108" s="2">
        <v>10</v>
      </c>
      <c r="N108" s="2">
        <v>10</v>
      </c>
      <c r="O108" s="2" t="s">
        <v>78</v>
      </c>
      <c r="P108" s="2" t="s">
        <v>43</v>
      </c>
      <c r="Q108" s="2"/>
      <c r="R108" s="2" t="s">
        <v>44</v>
      </c>
      <c r="S108" s="2">
        <v>8250215703</v>
      </c>
      <c r="T108" s="2" t="s">
        <v>499</v>
      </c>
      <c r="U108" s="2" t="s">
        <v>500</v>
      </c>
      <c r="V108" s="2">
        <v>8094502439</v>
      </c>
      <c r="W108" s="2" t="s">
        <v>501</v>
      </c>
      <c r="X108" s="2">
        <v>36000</v>
      </c>
      <c r="Y108" s="2" t="s">
        <v>46</v>
      </c>
      <c r="Z108" s="2" t="s">
        <v>46</v>
      </c>
      <c r="AA108" s="2" t="s">
        <v>47</v>
      </c>
      <c r="AB108" s="2">
        <v>10</v>
      </c>
      <c r="AC108" s="2" t="s">
        <v>48</v>
      </c>
      <c r="AD108" s="2">
        <v>2</v>
      </c>
    </row>
    <row r="109" spans="1:30" ht="30" x14ac:dyDescent="0.25">
      <c r="A109" s="2">
        <v>6</v>
      </c>
      <c r="B109" s="2" t="s">
        <v>37</v>
      </c>
      <c r="C109" s="2">
        <v>13802</v>
      </c>
      <c r="D109" s="3">
        <v>44399</v>
      </c>
      <c r="E109" s="2" t="s">
        <v>502</v>
      </c>
      <c r="F109" s="2"/>
      <c r="G109" s="2" t="s">
        <v>310</v>
      </c>
      <c r="H109" s="2" t="s">
        <v>311</v>
      </c>
      <c r="I109" s="2" t="s">
        <v>41</v>
      </c>
      <c r="J109" s="3">
        <v>40595</v>
      </c>
      <c r="K109" s="2"/>
      <c r="L109" s="2"/>
      <c r="M109" s="2">
        <v>10</v>
      </c>
      <c r="N109" s="2">
        <v>10</v>
      </c>
      <c r="O109" s="2" t="s">
        <v>53</v>
      </c>
      <c r="P109" s="2" t="s">
        <v>43</v>
      </c>
      <c r="Q109" s="2"/>
      <c r="R109" s="2" t="s">
        <v>44</v>
      </c>
      <c r="S109" s="2">
        <v>8250215703</v>
      </c>
      <c r="T109" s="2" t="s">
        <v>503</v>
      </c>
      <c r="U109" s="2" t="s">
        <v>313</v>
      </c>
      <c r="V109" s="2">
        <v>9602997577</v>
      </c>
      <c r="W109" s="2" t="s">
        <v>504</v>
      </c>
      <c r="X109" s="2">
        <v>70000</v>
      </c>
      <c r="Y109" s="2" t="s">
        <v>46</v>
      </c>
      <c r="Z109" s="2" t="s">
        <v>46</v>
      </c>
      <c r="AA109" s="2" t="s">
        <v>47</v>
      </c>
      <c r="AB109" s="2">
        <v>10</v>
      </c>
      <c r="AC109" s="2" t="s">
        <v>48</v>
      </c>
      <c r="AD109" s="2">
        <v>2</v>
      </c>
    </row>
    <row r="110" spans="1:30" ht="30" x14ac:dyDescent="0.25">
      <c r="A110" s="2">
        <v>6</v>
      </c>
      <c r="B110" s="2" t="s">
        <v>37</v>
      </c>
      <c r="C110" s="2">
        <v>12227</v>
      </c>
      <c r="D110" s="3">
        <v>42548</v>
      </c>
      <c r="E110" s="2" t="s">
        <v>505</v>
      </c>
      <c r="F110" s="2"/>
      <c r="G110" s="2" t="s">
        <v>506</v>
      </c>
      <c r="H110" s="2" t="s">
        <v>507</v>
      </c>
      <c r="I110" s="2" t="s">
        <v>52</v>
      </c>
      <c r="J110" s="3">
        <v>39895</v>
      </c>
      <c r="K110" s="2"/>
      <c r="L110" s="2"/>
      <c r="M110" s="2">
        <v>10</v>
      </c>
      <c r="N110" s="2">
        <v>9</v>
      </c>
      <c r="O110" s="2" t="s">
        <v>53</v>
      </c>
      <c r="P110" s="2" t="s">
        <v>43</v>
      </c>
      <c r="Q110" s="2"/>
      <c r="R110" s="2" t="s">
        <v>44</v>
      </c>
      <c r="S110" s="2">
        <v>8250215703</v>
      </c>
      <c r="T110" s="2" t="s">
        <v>508</v>
      </c>
      <c r="U110" s="2"/>
      <c r="V110" s="2">
        <v>9001775536</v>
      </c>
      <c r="W110" s="2" t="s">
        <v>509</v>
      </c>
      <c r="X110" s="2">
        <v>36000</v>
      </c>
      <c r="Y110" s="2" t="s">
        <v>46</v>
      </c>
      <c r="Z110" s="2" t="s">
        <v>46</v>
      </c>
      <c r="AA110" s="2" t="s">
        <v>47</v>
      </c>
      <c r="AB110" s="2">
        <v>12</v>
      </c>
      <c r="AC110" s="2" t="s">
        <v>48</v>
      </c>
      <c r="AD110" s="2">
        <v>1</v>
      </c>
    </row>
    <row r="111" spans="1:30" ht="30" x14ac:dyDescent="0.25">
      <c r="A111" s="2">
        <v>6</v>
      </c>
      <c r="B111" s="2" t="s">
        <v>37</v>
      </c>
      <c r="C111" s="2">
        <v>13630</v>
      </c>
      <c r="D111" s="3">
        <v>44119</v>
      </c>
      <c r="E111" s="2" t="s">
        <v>510</v>
      </c>
      <c r="F111" s="2"/>
      <c r="G111" s="2" t="s">
        <v>511</v>
      </c>
      <c r="H111" s="2" t="s">
        <v>512</v>
      </c>
      <c r="I111" s="2" t="s">
        <v>41</v>
      </c>
      <c r="J111" s="3">
        <v>40179</v>
      </c>
      <c r="K111" s="2"/>
      <c r="L111" s="2"/>
      <c r="M111" s="2">
        <v>10</v>
      </c>
      <c r="N111" s="2">
        <v>8</v>
      </c>
      <c r="O111" s="2" t="s">
        <v>53</v>
      </c>
      <c r="P111" s="2" t="s">
        <v>43</v>
      </c>
      <c r="Q111" s="2"/>
      <c r="R111" s="2" t="s">
        <v>44</v>
      </c>
      <c r="S111" s="2">
        <v>8250215703</v>
      </c>
      <c r="T111" s="2" t="s">
        <v>513</v>
      </c>
      <c r="U111" s="2"/>
      <c r="V111" s="2">
        <v>6352850071</v>
      </c>
      <c r="W111" s="2" t="s">
        <v>125</v>
      </c>
      <c r="X111" s="2">
        <v>24000</v>
      </c>
      <c r="Y111" s="2" t="s">
        <v>46</v>
      </c>
      <c r="Z111" s="2" t="s">
        <v>46</v>
      </c>
      <c r="AA111" s="2" t="s">
        <v>47</v>
      </c>
      <c r="AB111" s="2">
        <v>11</v>
      </c>
      <c r="AC111" s="2" t="s">
        <v>48</v>
      </c>
      <c r="AD111" s="2">
        <v>1</v>
      </c>
    </row>
    <row r="112" spans="1:30" ht="30" x14ac:dyDescent="0.25">
      <c r="A112" s="2">
        <v>6</v>
      </c>
      <c r="B112" s="2" t="s">
        <v>37</v>
      </c>
      <c r="C112" s="2">
        <v>13669</v>
      </c>
      <c r="D112" s="3">
        <v>44183</v>
      </c>
      <c r="E112" s="2" t="s">
        <v>514</v>
      </c>
      <c r="F112" s="2"/>
      <c r="G112" s="2" t="s">
        <v>515</v>
      </c>
      <c r="H112" s="2" t="s">
        <v>516</v>
      </c>
      <c r="I112" s="2" t="s">
        <v>41</v>
      </c>
      <c r="J112" s="3">
        <v>39815</v>
      </c>
      <c r="K112" s="2"/>
      <c r="L112" s="2"/>
      <c r="M112" s="2">
        <v>10</v>
      </c>
      <c r="N112" s="2">
        <v>10</v>
      </c>
      <c r="O112" s="2" t="s">
        <v>53</v>
      </c>
      <c r="P112" s="2" t="s">
        <v>43</v>
      </c>
      <c r="Q112" s="2"/>
      <c r="R112" s="2" t="s">
        <v>44</v>
      </c>
      <c r="S112" s="2">
        <v>8250215703</v>
      </c>
      <c r="T112" s="2"/>
      <c r="U112" s="2"/>
      <c r="V112" s="2">
        <v>8278620992</v>
      </c>
      <c r="W112" s="2" t="s">
        <v>517</v>
      </c>
      <c r="X112" s="2">
        <v>30000</v>
      </c>
      <c r="Y112" s="2" t="s">
        <v>46</v>
      </c>
      <c r="Z112" s="2" t="s">
        <v>46</v>
      </c>
      <c r="AA112" s="2" t="s">
        <v>47</v>
      </c>
      <c r="AB112" s="2">
        <v>12</v>
      </c>
      <c r="AC112" s="2" t="s">
        <v>48</v>
      </c>
      <c r="AD112" s="2">
        <v>1</v>
      </c>
    </row>
    <row r="113" spans="1:30" ht="30" x14ac:dyDescent="0.25">
      <c r="A113" s="2">
        <v>6</v>
      </c>
      <c r="B113" s="2" t="s">
        <v>37</v>
      </c>
      <c r="C113" s="2">
        <v>13269</v>
      </c>
      <c r="D113" s="3">
        <v>43655</v>
      </c>
      <c r="E113" s="2" t="s">
        <v>518</v>
      </c>
      <c r="F113" s="2"/>
      <c r="G113" s="2" t="s">
        <v>214</v>
      </c>
      <c r="H113" s="2" t="s">
        <v>215</v>
      </c>
      <c r="I113" s="2" t="s">
        <v>52</v>
      </c>
      <c r="J113" s="3">
        <v>39854</v>
      </c>
      <c r="K113" s="2"/>
      <c r="L113" s="2"/>
      <c r="M113" s="2">
        <v>10</v>
      </c>
      <c r="N113" s="2">
        <v>9</v>
      </c>
      <c r="O113" s="2" t="s">
        <v>53</v>
      </c>
      <c r="P113" s="2" t="s">
        <v>43</v>
      </c>
      <c r="Q113" s="2"/>
      <c r="R113" s="2" t="s">
        <v>44</v>
      </c>
      <c r="S113" s="2">
        <v>8250215703</v>
      </c>
      <c r="T113" s="2" t="s">
        <v>519</v>
      </c>
      <c r="U113" s="2" t="s">
        <v>217</v>
      </c>
      <c r="V113" s="2">
        <v>9920624521</v>
      </c>
      <c r="W113" s="2" t="s">
        <v>118</v>
      </c>
      <c r="X113" s="2">
        <v>30000</v>
      </c>
      <c r="Y113" s="2" t="s">
        <v>46</v>
      </c>
      <c r="Z113" s="2" t="s">
        <v>46</v>
      </c>
      <c r="AA113" s="2" t="s">
        <v>47</v>
      </c>
      <c r="AB113" s="2">
        <v>12</v>
      </c>
      <c r="AC113" s="2" t="s">
        <v>48</v>
      </c>
      <c r="AD113" s="2">
        <v>1</v>
      </c>
    </row>
    <row r="114" spans="1:30" ht="30" x14ac:dyDescent="0.25">
      <c r="A114" s="2">
        <v>6</v>
      </c>
      <c r="B114" s="2" t="s">
        <v>37</v>
      </c>
      <c r="C114" s="2">
        <v>12223</v>
      </c>
      <c r="D114" s="3">
        <v>42548</v>
      </c>
      <c r="E114" s="2" t="s">
        <v>520</v>
      </c>
      <c r="F114" s="2"/>
      <c r="G114" s="2" t="s">
        <v>502</v>
      </c>
      <c r="H114" s="2" t="s">
        <v>521</v>
      </c>
      <c r="I114" s="2" t="s">
        <v>52</v>
      </c>
      <c r="J114" s="3">
        <v>40475</v>
      </c>
      <c r="K114" s="2"/>
      <c r="L114" s="2"/>
      <c r="M114" s="2">
        <v>10</v>
      </c>
      <c r="N114" s="2">
        <v>9</v>
      </c>
      <c r="O114" s="2" t="s">
        <v>53</v>
      </c>
      <c r="P114" s="2" t="s">
        <v>43</v>
      </c>
      <c r="Q114" s="2"/>
      <c r="R114" s="2" t="s">
        <v>44</v>
      </c>
      <c r="S114" s="2">
        <v>8250215703</v>
      </c>
      <c r="T114" s="2" t="s">
        <v>522</v>
      </c>
      <c r="U114" s="2"/>
      <c r="V114" s="2">
        <v>7665987599</v>
      </c>
      <c r="W114" s="2" t="s">
        <v>523</v>
      </c>
      <c r="X114" s="2">
        <v>12000</v>
      </c>
      <c r="Y114" s="2" t="s">
        <v>46</v>
      </c>
      <c r="Z114" s="2" t="s">
        <v>46</v>
      </c>
      <c r="AA114" s="2" t="s">
        <v>47</v>
      </c>
      <c r="AB114" s="2">
        <v>11</v>
      </c>
      <c r="AC114" s="2" t="s">
        <v>48</v>
      </c>
      <c r="AD114" s="2">
        <v>1</v>
      </c>
    </row>
    <row r="115" spans="1:30" ht="30" x14ac:dyDescent="0.25">
      <c r="A115" s="2">
        <v>6</v>
      </c>
      <c r="B115" s="2" t="s">
        <v>37</v>
      </c>
      <c r="C115" s="2">
        <v>13643</v>
      </c>
      <c r="D115" s="3">
        <v>44120</v>
      </c>
      <c r="E115" s="2" t="s">
        <v>524</v>
      </c>
      <c r="F115" s="2"/>
      <c r="G115" s="2" t="s">
        <v>413</v>
      </c>
      <c r="H115" s="2" t="s">
        <v>414</v>
      </c>
      <c r="I115" s="2" t="s">
        <v>41</v>
      </c>
      <c r="J115" s="3">
        <v>39867</v>
      </c>
      <c r="K115" s="2"/>
      <c r="L115" s="2"/>
      <c r="M115" s="2">
        <v>10</v>
      </c>
      <c r="N115" s="2">
        <v>10</v>
      </c>
      <c r="O115" s="2" t="s">
        <v>53</v>
      </c>
      <c r="P115" s="2" t="s">
        <v>43</v>
      </c>
      <c r="Q115" s="2"/>
      <c r="R115" s="2" t="s">
        <v>44</v>
      </c>
      <c r="S115" s="2">
        <v>8250215703</v>
      </c>
      <c r="T115" s="2" t="s">
        <v>525</v>
      </c>
      <c r="U115" s="2"/>
      <c r="V115" s="2">
        <v>9680904102</v>
      </c>
      <c r="W115" s="2" t="s">
        <v>416</v>
      </c>
      <c r="X115" s="2">
        <v>60000</v>
      </c>
      <c r="Y115" s="2" t="s">
        <v>46</v>
      </c>
      <c r="Z115" s="2" t="s">
        <v>46</v>
      </c>
      <c r="AA115" s="2" t="s">
        <v>47</v>
      </c>
      <c r="AB115" s="2">
        <v>12</v>
      </c>
      <c r="AC115" s="2" t="s">
        <v>48</v>
      </c>
      <c r="AD115" s="2">
        <v>2</v>
      </c>
    </row>
    <row r="116" spans="1:30" ht="30" x14ac:dyDescent="0.25">
      <c r="A116" s="2">
        <v>7</v>
      </c>
      <c r="B116" s="2" t="s">
        <v>37</v>
      </c>
      <c r="C116" s="2">
        <v>13717</v>
      </c>
      <c r="D116" s="3">
        <v>44389</v>
      </c>
      <c r="E116" s="2" t="s">
        <v>526</v>
      </c>
      <c r="F116" s="2"/>
      <c r="G116" s="2" t="s">
        <v>336</v>
      </c>
      <c r="H116" s="2" t="s">
        <v>337</v>
      </c>
      <c r="I116" s="2" t="s">
        <v>41</v>
      </c>
      <c r="J116" s="3">
        <v>40052</v>
      </c>
      <c r="K116" s="2"/>
      <c r="L116" s="2"/>
      <c r="M116" s="2">
        <v>10</v>
      </c>
      <c r="N116" s="2">
        <v>8</v>
      </c>
      <c r="O116" s="2" t="s">
        <v>53</v>
      </c>
      <c r="P116" s="2" t="s">
        <v>43</v>
      </c>
      <c r="Q116" s="2"/>
      <c r="R116" s="2" t="s">
        <v>44</v>
      </c>
      <c r="S116" s="2">
        <v>8250215703</v>
      </c>
      <c r="T116" s="2" t="s">
        <v>527</v>
      </c>
      <c r="U116" s="2"/>
      <c r="V116" s="2">
        <v>7976756197</v>
      </c>
      <c r="W116" s="2" t="s">
        <v>338</v>
      </c>
      <c r="X116" s="2">
        <v>60000</v>
      </c>
      <c r="Y116" s="2" t="s">
        <v>46</v>
      </c>
      <c r="Z116" s="2" t="s">
        <v>46</v>
      </c>
      <c r="AA116" s="2" t="s">
        <v>47</v>
      </c>
      <c r="AB116" s="2">
        <v>12</v>
      </c>
      <c r="AC116" s="2" t="s">
        <v>48</v>
      </c>
      <c r="AD116" s="2">
        <v>1</v>
      </c>
    </row>
    <row r="117" spans="1:30" ht="30" x14ac:dyDescent="0.25">
      <c r="A117" s="2">
        <v>7</v>
      </c>
      <c r="B117" s="2" t="s">
        <v>37</v>
      </c>
      <c r="C117" s="2">
        <v>13436</v>
      </c>
      <c r="D117" s="3">
        <v>43295</v>
      </c>
      <c r="E117" s="2" t="s">
        <v>528</v>
      </c>
      <c r="F117" s="2"/>
      <c r="G117" s="2" t="s">
        <v>529</v>
      </c>
      <c r="H117" s="2" t="s">
        <v>479</v>
      </c>
      <c r="I117" s="2" t="s">
        <v>52</v>
      </c>
      <c r="J117" s="3">
        <v>40091</v>
      </c>
      <c r="K117" s="2"/>
      <c r="L117" s="2"/>
      <c r="M117" s="2">
        <v>10</v>
      </c>
      <c r="N117" s="2">
        <v>0</v>
      </c>
      <c r="O117" s="2" t="s">
        <v>53</v>
      </c>
      <c r="P117" s="2" t="s">
        <v>54</v>
      </c>
      <c r="Q117" s="2"/>
      <c r="R117" s="2" t="s">
        <v>44</v>
      </c>
      <c r="S117" s="2">
        <v>8250215703</v>
      </c>
      <c r="T117" s="2" t="s">
        <v>530</v>
      </c>
      <c r="U117" s="2" t="s">
        <v>531</v>
      </c>
      <c r="V117" s="2">
        <v>7791956656</v>
      </c>
      <c r="W117" s="2" t="s">
        <v>532</v>
      </c>
      <c r="X117" s="2">
        <v>0</v>
      </c>
      <c r="Y117" s="2" t="s">
        <v>46</v>
      </c>
      <c r="Z117" s="2" t="s">
        <v>46</v>
      </c>
      <c r="AA117" s="2" t="s">
        <v>57</v>
      </c>
      <c r="AB117" s="2">
        <v>12</v>
      </c>
      <c r="AC117" s="2" t="s">
        <v>48</v>
      </c>
      <c r="AD117" s="2">
        <v>0</v>
      </c>
    </row>
    <row r="118" spans="1:30" ht="30" x14ac:dyDescent="0.25">
      <c r="A118" s="2">
        <v>7</v>
      </c>
      <c r="B118" s="2" t="s">
        <v>37</v>
      </c>
      <c r="C118" s="2">
        <v>13915</v>
      </c>
      <c r="D118" s="3">
        <v>44420</v>
      </c>
      <c r="E118" s="2" t="s">
        <v>533</v>
      </c>
      <c r="F118" s="2"/>
      <c r="G118" s="2" t="s">
        <v>534</v>
      </c>
      <c r="H118" s="2" t="s">
        <v>535</v>
      </c>
      <c r="I118" s="2" t="s">
        <v>41</v>
      </c>
      <c r="J118" s="3">
        <v>39873</v>
      </c>
      <c r="K118" s="2"/>
      <c r="L118" s="2"/>
      <c r="M118" s="2">
        <v>10</v>
      </c>
      <c r="N118" s="2">
        <v>10</v>
      </c>
      <c r="O118" s="2" t="s">
        <v>53</v>
      </c>
      <c r="P118" s="2" t="s">
        <v>43</v>
      </c>
      <c r="Q118" s="2"/>
      <c r="R118" s="2" t="s">
        <v>44</v>
      </c>
      <c r="S118" s="2">
        <v>8250215703</v>
      </c>
      <c r="T118" s="2" t="s">
        <v>536</v>
      </c>
      <c r="U118" s="2"/>
      <c r="V118" s="2">
        <v>9828963466</v>
      </c>
      <c r="W118" s="2" t="s">
        <v>537</v>
      </c>
      <c r="X118" s="2">
        <v>45000</v>
      </c>
      <c r="Y118" s="2" t="s">
        <v>46</v>
      </c>
      <c r="Z118" s="2" t="s">
        <v>46</v>
      </c>
      <c r="AA118" s="2" t="s">
        <v>47</v>
      </c>
      <c r="AB118" s="2">
        <v>12</v>
      </c>
      <c r="AC118" s="2" t="s">
        <v>48</v>
      </c>
      <c r="AD118" s="2">
        <v>1</v>
      </c>
    </row>
    <row r="119" spans="1:30" ht="30" x14ac:dyDescent="0.25">
      <c r="A119" s="2">
        <v>7</v>
      </c>
      <c r="B119" s="2" t="s">
        <v>37</v>
      </c>
      <c r="C119" s="2">
        <v>13379</v>
      </c>
      <c r="D119" s="3">
        <v>43662</v>
      </c>
      <c r="E119" s="2" t="s">
        <v>538</v>
      </c>
      <c r="F119" s="2"/>
      <c r="G119" s="2" t="s">
        <v>539</v>
      </c>
      <c r="H119" s="2" t="s">
        <v>540</v>
      </c>
      <c r="I119" s="2" t="s">
        <v>41</v>
      </c>
      <c r="J119" s="3">
        <v>39837</v>
      </c>
      <c r="K119" s="2"/>
      <c r="L119" s="2"/>
      <c r="M119" s="2">
        <v>10</v>
      </c>
      <c r="N119" s="2">
        <v>0</v>
      </c>
      <c r="O119" s="2" t="s">
        <v>78</v>
      </c>
      <c r="P119" s="2" t="s">
        <v>43</v>
      </c>
      <c r="Q119" s="2"/>
      <c r="R119" s="2" t="s">
        <v>44</v>
      </c>
      <c r="S119" s="2">
        <v>8250215703</v>
      </c>
      <c r="T119" s="2" t="s">
        <v>541</v>
      </c>
      <c r="U119" s="2" t="s">
        <v>542</v>
      </c>
      <c r="V119" s="2">
        <v>7737180331</v>
      </c>
      <c r="W119" s="2" t="s">
        <v>265</v>
      </c>
      <c r="X119" s="2">
        <v>60000</v>
      </c>
      <c r="Y119" s="2" t="s">
        <v>46</v>
      </c>
      <c r="Z119" s="2" t="s">
        <v>46</v>
      </c>
      <c r="AA119" s="2" t="s">
        <v>47</v>
      </c>
      <c r="AB119" s="2">
        <v>12</v>
      </c>
      <c r="AC119" s="2" t="s">
        <v>48</v>
      </c>
      <c r="AD119" s="2">
        <v>1</v>
      </c>
    </row>
    <row r="120" spans="1:30" ht="30" x14ac:dyDescent="0.25">
      <c r="A120" s="2">
        <v>7</v>
      </c>
      <c r="B120" s="2" t="s">
        <v>37</v>
      </c>
      <c r="C120" s="2">
        <v>13438</v>
      </c>
      <c r="D120" s="3">
        <v>44041</v>
      </c>
      <c r="E120" s="2" t="s">
        <v>543</v>
      </c>
      <c r="F120" s="2"/>
      <c r="G120" s="2" t="s">
        <v>544</v>
      </c>
      <c r="H120" s="2" t="s">
        <v>545</v>
      </c>
      <c r="I120" s="2" t="s">
        <v>41</v>
      </c>
      <c r="J120" s="3">
        <v>39651</v>
      </c>
      <c r="K120" s="2"/>
      <c r="L120" s="2"/>
      <c r="M120" s="2">
        <v>10</v>
      </c>
      <c r="N120" s="2">
        <v>0</v>
      </c>
      <c r="O120" s="2" t="s">
        <v>78</v>
      </c>
      <c r="P120" s="2" t="s">
        <v>43</v>
      </c>
      <c r="Q120" s="2"/>
      <c r="R120" s="2" t="s">
        <v>44</v>
      </c>
      <c r="S120" s="2">
        <v>8250215703</v>
      </c>
      <c r="T120" s="2" t="s">
        <v>546</v>
      </c>
      <c r="U120" s="2"/>
      <c r="V120" s="2">
        <v>8696150957</v>
      </c>
      <c r="W120" s="2" t="s">
        <v>547</v>
      </c>
      <c r="X120" s="2">
        <v>36000</v>
      </c>
      <c r="Y120" s="2" t="s">
        <v>46</v>
      </c>
      <c r="Z120" s="2" t="s">
        <v>46</v>
      </c>
      <c r="AA120" s="2" t="s">
        <v>47</v>
      </c>
      <c r="AB120" s="2">
        <v>13</v>
      </c>
      <c r="AC120" s="2" t="s">
        <v>48</v>
      </c>
      <c r="AD120" s="2">
        <v>1</v>
      </c>
    </row>
    <row r="121" spans="1:30" ht="30" x14ac:dyDescent="0.25">
      <c r="A121" s="2">
        <v>7</v>
      </c>
      <c r="B121" s="2" t="s">
        <v>37</v>
      </c>
      <c r="C121" s="2">
        <v>13016</v>
      </c>
      <c r="D121" s="3">
        <v>43283</v>
      </c>
      <c r="E121" s="2" t="s">
        <v>548</v>
      </c>
      <c r="F121" s="2"/>
      <c r="G121" s="2" t="s">
        <v>290</v>
      </c>
      <c r="H121" s="2" t="s">
        <v>291</v>
      </c>
      <c r="I121" s="2" t="s">
        <v>52</v>
      </c>
      <c r="J121" s="3">
        <v>39448</v>
      </c>
      <c r="K121" s="2"/>
      <c r="L121" s="2"/>
      <c r="M121" s="2">
        <v>10</v>
      </c>
      <c r="N121" s="2">
        <v>10</v>
      </c>
      <c r="O121" s="2" t="s">
        <v>53</v>
      </c>
      <c r="P121" s="2" t="s">
        <v>43</v>
      </c>
      <c r="Q121" s="2"/>
      <c r="R121" s="2" t="s">
        <v>44</v>
      </c>
      <c r="S121" s="2">
        <v>8250215703</v>
      </c>
      <c r="T121" s="2" t="s">
        <v>549</v>
      </c>
      <c r="U121" s="2"/>
      <c r="V121" s="2">
        <v>9660659609</v>
      </c>
      <c r="W121" s="2" t="s">
        <v>292</v>
      </c>
      <c r="X121" s="2">
        <v>36000</v>
      </c>
      <c r="Y121" s="2" t="s">
        <v>46</v>
      </c>
      <c r="Z121" s="2" t="s">
        <v>46</v>
      </c>
      <c r="AA121" s="2" t="s">
        <v>47</v>
      </c>
      <c r="AB121" s="2">
        <v>13</v>
      </c>
      <c r="AC121" s="2" t="s">
        <v>48</v>
      </c>
      <c r="AD121" s="2">
        <v>1</v>
      </c>
    </row>
    <row r="122" spans="1:30" ht="30" x14ac:dyDescent="0.25">
      <c r="A122" s="2">
        <v>7</v>
      </c>
      <c r="B122" s="2" t="s">
        <v>37</v>
      </c>
      <c r="C122" s="2">
        <v>13059</v>
      </c>
      <c r="D122" s="3">
        <v>43285</v>
      </c>
      <c r="E122" s="2" t="s">
        <v>550</v>
      </c>
      <c r="F122" s="2"/>
      <c r="G122" s="2" t="s">
        <v>551</v>
      </c>
      <c r="H122" s="2" t="s">
        <v>286</v>
      </c>
      <c r="I122" s="2" t="s">
        <v>52</v>
      </c>
      <c r="J122" s="3">
        <v>39622</v>
      </c>
      <c r="K122" s="2"/>
      <c r="L122" s="2"/>
      <c r="M122" s="2">
        <v>10</v>
      </c>
      <c r="N122" s="2">
        <v>10</v>
      </c>
      <c r="O122" s="2" t="s">
        <v>78</v>
      </c>
      <c r="P122" s="2" t="s">
        <v>43</v>
      </c>
      <c r="Q122" s="2"/>
      <c r="R122" s="2" t="s">
        <v>44</v>
      </c>
      <c r="S122" s="2">
        <v>8250215703</v>
      </c>
      <c r="T122" s="2" t="s">
        <v>552</v>
      </c>
      <c r="U122" s="2" t="s">
        <v>553</v>
      </c>
      <c r="V122" s="2">
        <v>8094502439</v>
      </c>
      <c r="W122" s="2" t="s">
        <v>501</v>
      </c>
      <c r="X122" s="2">
        <v>36000</v>
      </c>
      <c r="Y122" s="2" t="s">
        <v>46</v>
      </c>
      <c r="Z122" s="2" t="s">
        <v>46</v>
      </c>
      <c r="AA122" s="2" t="s">
        <v>47</v>
      </c>
      <c r="AB122" s="2">
        <v>13</v>
      </c>
      <c r="AC122" s="2" t="s">
        <v>48</v>
      </c>
      <c r="AD122" s="2">
        <v>1</v>
      </c>
    </row>
    <row r="123" spans="1:30" ht="30" x14ac:dyDescent="0.25">
      <c r="A123" s="2">
        <v>7</v>
      </c>
      <c r="B123" s="2" t="s">
        <v>37</v>
      </c>
      <c r="C123" s="2">
        <v>13631</v>
      </c>
      <c r="D123" s="3">
        <v>44119</v>
      </c>
      <c r="E123" s="2" t="s">
        <v>554</v>
      </c>
      <c r="F123" s="2"/>
      <c r="G123" s="2" t="s">
        <v>281</v>
      </c>
      <c r="H123" s="2" t="s">
        <v>282</v>
      </c>
      <c r="I123" s="2" t="s">
        <v>52</v>
      </c>
      <c r="J123" s="3">
        <v>39874</v>
      </c>
      <c r="K123" s="2"/>
      <c r="L123" s="2"/>
      <c r="M123" s="2">
        <v>10</v>
      </c>
      <c r="N123" s="2">
        <v>0</v>
      </c>
      <c r="O123" s="2" t="s">
        <v>53</v>
      </c>
      <c r="P123" s="2" t="s">
        <v>43</v>
      </c>
      <c r="Q123" s="2"/>
      <c r="R123" s="2" t="s">
        <v>44</v>
      </c>
      <c r="S123" s="2">
        <v>8250215703</v>
      </c>
      <c r="T123" s="2"/>
      <c r="U123" s="2" t="s">
        <v>555</v>
      </c>
      <c r="V123" s="2">
        <v>9636119522</v>
      </c>
      <c r="W123" s="2" t="s">
        <v>283</v>
      </c>
      <c r="X123" s="2">
        <v>20000</v>
      </c>
      <c r="Y123" s="2" t="s">
        <v>46</v>
      </c>
      <c r="Z123" s="2" t="s">
        <v>46</v>
      </c>
      <c r="AA123" s="2" t="s">
        <v>47</v>
      </c>
      <c r="AB123" s="2">
        <v>12</v>
      </c>
      <c r="AC123" s="2" t="s">
        <v>48</v>
      </c>
      <c r="AD123" s="2">
        <v>1</v>
      </c>
    </row>
    <row r="124" spans="1:30" ht="30" x14ac:dyDescent="0.25">
      <c r="A124" s="2">
        <v>7</v>
      </c>
      <c r="B124" s="2" t="s">
        <v>37</v>
      </c>
      <c r="C124" s="2">
        <v>12241</v>
      </c>
      <c r="D124" s="3">
        <v>42548</v>
      </c>
      <c r="E124" s="2" t="s">
        <v>556</v>
      </c>
      <c r="F124" s="2"/>
      <c r="G124" s="2" t="s">
        <v>557</v>
      </c>
      <c r="H124" s="2" t="s">
        <v>507</v>
      </c>
      <c r="I124" s="2" t="s">
        <v>52</v>
      </c>
      <c r="J124" s="3">
        <v>39478</v>
      </c>
      <c r="K124" s="2"/>
      <c r="L124" s="2"/>
      <c r="M124" s="2">
        <v>10</v>
      </c>
      <c r="N124" s="2">
        <v>0</v>
      </c>
      <c r="O124" s="2" t="s">
        <v>53</v>
      </c>
      <c r="P124" s="2" t="s">
        <v>43</v>
      </c>
      <c r="Q124" s="2"/>
      <c r="R124" s="2" t="s">
        <v>44</v>
      </c>
      <c r="S124" s="2">
        <v>8250215703</v>
      </c>
      <c r="T124" s="2" t="s">
        <v>558</v>
      </c>
      <c r="U124" s="2"/>
      <c r="V124" s="2">
        <v>9001775536</v>
      </c>
      <c r="W124" s="2" t="s">
        <v>509</v>
      </c>
      <c r="X124" s="2">
        <v>28000</v>
      </c>
      <c r="Y124" s="2" t="s">
        <v>46</v>
      </c>
      <c r="Z124" s="2" t="s">
        <v>46</v>
      </c>
      <c r="AA124" s="2" t="s">
        <v>47</v>
      </c>
      <c r="AB124" s="2">
        <v>13</v>
      </c>
      <c r="AC124" s="2" t="s">
        <v>48</v>
      </c>
      <c r="AD124" s="2">
        <v>0</v>
      </c>
    </row>
    <row r="125" spans="1:30" ht="30" x14ac:dyDescent="0.25">
      <c r="A125" s="2">
        <v>7</v>
      </c>
      <c r="B125" s="2" t="s">
        <v>37</v>
      </c>
      <c r="C125" s="2">
        <v>13425</v>
      </c>
      <c r="D125" s="3">
        <v>43687</v>
      </c>
      <c r="E125" s="2" t="s">
        <v>559</v>
      </c>
      <c r="F125" s="2"/>
      <c r="G125" s="2" t="s">
        <v>560</v>
      </c>
      <c r="H125" s="2" t="s">
        <v>467</v>
      </c>
      <c r="I125" s="2" t="s">
        <v>41</v>
      </c>
      <c r="J125" s="3">
        <v>40706</v>
      </c>
      <c r="K125" s="2"/>
      <c r="L125" s="2"/>
      <c r="M125" s="2">
        <v>10</v>
      </c>
      <c r="N125" s="2">
        <v>10</v>
      </c>
      <c r="O125" s="2" t="s">
        <v>53</v>
      </c>
      <c r="P125" s="2" t="s">
        <v>43</v>
      </c>
      <c r="Q125" s="2"/>
      <c r="R125" s="2" t="s">
        <v>44</v>
      </c>
      <c r="S125" s="2">
        <v>8250215703</v>
      </c>
      <c r="T125" s="2" t="s">
        <v>561</v>
      </c>
      <c r="U125" s="2"/>
      <c r="V125" s="2">
        <v>9829838312</v>
      </c>
      <c r="W125" s="2" t="s">
        <v>562</v>
      </c>
      <c r="X125" s="2">
        <v>28000</v>
      </c>
      <c r="Y125" s="2" t="s">
        <v>240</v>
      </c>
      <c r="Z125" s="2" t="s">
        <v>46</v>
      </c>
      <c r="AA125" s="2" t="s">
        <v>47</v>
      </c>
      <c r="AB125" s="2">
        <v>10</v>
      </c>
      <c r="AC125" s="2" t="s">
        <v>48</v>
      </c>
      <c r="AD125" s="2">
        <v>1</v>
      </c>
    </row>
    <row r="126" spans="1:30" ht="30" x14ac:dyDescent="0.25">
      <c r="A126" s="2">
        <v>7</v>
      </c>
      <c r="B126" s="2" t="s">
        <v>37</v>
      </c>
      <c r="C126" s="2">
        <v>12445</v>
      </c>
      <c r="D126" s="3">
        <v>42552</v>
      </c>
      <c r="E126" s="2" t="s">
        <v>563</v>
      </c>
      <c r="F126" s="2"/>
      <c r="G126" s="2" t="s">
        <v>564</v>
      </c>
      <c r="H126" s="2" t="s">
        <v>565</v>
      </c>
      <c r="I126" s="2" t="s">
        <v>52</v>
      </c>
      <c r="J126" s="3">
        <v>39355</v>
      </c>
      <c r="K126" s="2"/>
      <c r="L126" s="2"/>
      <c r="M126" s="2">
        <v>10</v>
      </c>
      <c r="N126" s="2">
        <v>0</v>
      </c>
      <c r="O126" s="2" t="s">
        <v>53</v>
      </c>
      <c r="P126" s="2" t="s">
        <v>43</v>
      </c>
      <c r="Q126" s="2"/>
      <c r="R126" s="2" t="s">
        <v>44</v>
      </c>
      <c r="S126" s="2">
        <v>8250215703</v>
      </c>
      <c r="T126" s="2" t="s">
        <v>566</v>
      </c>
      <c r="U126" s="2"/>
      <c r="V126" s="2">
        <v>9460224329</v>
      </c>
      <c r="W126" s="2" t="s">
        <v>567</v>
      </c>
      <c r="X126" s="2">
        <v>45000</v>
      </c>
      <c r="Y126" s="2" t="s">
        <v>46</v>
      </c>
      <c r="Z126" s="2" t="s">
        <v>46</v>
      </c>
      <c r="AA126" s="2" t="s">
        <v>47</v>
      </c>
      <c r="AB126" s="2">
        <v>14</v>
      </c>
      <c r="AC126" s="2" t="s">
        <v>48</v>
      </c>
      <c r="AD126" s="2">
        <v>1</v>
      </c>
    </row>
    <row r="127" spans="1:30" ht="30" x14ac:dyDescent="0.25">
      <c r="A127" s="2">
        <v>7</v>
      </c>
      <c r="B127" s="2" t="s">
        <v>37</v>
      </c>
      <c r="C127" s="2">
        <v>13970</v>
      </c>
      <c r="D127" s="3">
        <v>44446</v>
      </c>
      <c r="E127" s="2" t="s">
        <v>568</v>
      </c>
      <c r="F127" s="2"/>
      <c r="G127" s="2" t="s">
        <v>569</v>
      </c>
      <c r="H127" s="2" t="s">
        <v>570</v>
      </c>
      <c r="I127" s="2" t="s">
        <v>52</v>
      </c>
      <c r="J127" s="3">
        <v>40021</v>
      </c>
      <c r="K127" s="2"/>
      <c r="L127" s="2"/>
      <c r="M127" s="2">
        <v>10</v>
      </c>
      <c r="N127" s="2">
        <v>10</v>
      </c>
      <c r="O127" s="2" t="s">
        <v>42</v>
      </c>
      <c r="P127" s="2" t="s">
        <v>54</v>
      </c>
      <c r="Q127" s="2"/>
      <c r="R127" s="2" t="s">
        <v>44</v>
      </c>
      <c r="S127" s="2">
        <v>8250215703</v>
      </c>
      <c r="T127" s="2" t="s">
        <v>571</v>
      </c>
      <c r="U127" s="2"/>
      <c r="V127" s="2">
        <v>8809441454</v>
      </c>
      <c r="W127" s="2" t="s">
        <v>572</v>
      </c>
      <c r="X127" s="2">
        <v>0</v>
      </c>
      <c r="Y127" s="2" t="s">
        <v>46</v>
      </c>
      <c r="Z127" s="2" t="s">
        <v>46</v>
      </c>
      <c r="AA127" s="2" t="s">
        <v>57</v>
      </c>
      <c r="AB127" s="2">
        <v>12</v>
      </c>
      <c r="AC127" s="2" t="s">
        <v>48</v>
      </c>
      <c r="AD127" s="2">
        <v>0</v>
      </c>
    </row>
    <row r="128" spans="1:30" ht="30" x14ac:dyDescent="0.25">
      <c r="A128" s="2">
        <v>7</v>
      </c>
      <c r="B128" s="2" t="s">
        <v>37</v>
      </c>
      <c r="C128" s="2">
        <v>13690</v>
      </c>
      <c r="D128" s="3">
        <v>44226</v>
      </c>
      <c r="E128" s="2" t="s">
        <v>573</v>
      </c>
      <c r="F128" s="2"/>
      <c r="G128" s="2" t="s">
        <v>574</v>
      </c>
      <c r="H128" s="2" t="s">
        <v>575</v>
      </c>
      <c r="I128" s="2" t="s">
        <v>41</v>
      </c>
      <c r="J128" s="3">
        <v>40380</v>
      </c>
      <c r="K128" s="2"/>
      <c r="L128" s="2"/>
      <c r="M128" s="2">
        <v>10</v>
      </c>
      <c r="N128" s="2">
        <v>9</v>
      </c>
      <c r="O128" s="2" t="s">
        <v>42</v>
      </c>
      <c r="P128" s="2" t="s">
        <v>43</v>
      </c>
      <c r="Q128" s="2"/>
      <c r="R128" s="2" t="s">
        <v>44</v>
      </c>
      <c r="S128" s="2">
        <v>8250215703</v>
      </c>
      <c r="T128" s="2" t="s">
        <v>576</v>
      </c>
      <c r="U128" s="2"/>
      <c r="V128" s="2">
        <v>9001915600</v>
      </c>
      <c r="W128" s="2" t="s">
        <v>577</v>
      </c>
      <c r="X128" s="2">
        <v>70000</v>
      </c>
      <c r="Y128" s="2" t="s">
        <v>46</v>
      </c>
      <c r="Z128" s="2" t="s">
        <v>46</v>
      </c>
      <c r="AA128" s="2" t="s">
        <v>47</v>
      </c>
      <c r="AB128" s="2">
        <v>11</v>
      </c>
      <c r="AC128" s="2" t="s">
        <v>48</v>
      </c>
      <c r="AD128" s="2">
        <v>1</v>
      </c>
    </row>
    <row r="129" spans="1:30" ht="30" x14ac:dyDescent="0.25">
      <c r="A129" s="2">
        <v>7</v>
      </c>
      <c r="B129" s="2" t="s">
        <v>37</v>
      </c>
      <c r="C129" s="2">
        <v>13117</v>
      </c>
      <c r="D129" s="3">
        <v>43291</v>
      </c>
      <c r="E129" s="2" t="s">
        <v>578</v>
      </c>
      <c r="F129" s="2"/>
      <c r="G129" s="2" t="s">
        <v>579</v>
      </c>
      <c r="H129" s="2" t="s">
        <v>580</v>
      </c>
      <c r="I129" s="2" t="s">
        <v>41</v>
      </c>
      <c r="J129" s="3">
        <v>39217</v>
      </c>
      <c r="K129" s="2"/>
      <c r="L129" s="2"/>
      <c r="M129" s="2">
        <v>10</v>
      </c>
      <c r="N129" s="2">
        <v>0</v>
      </c>
      <c r="O129" s="2" t="s">
        <v>42</v>
      </c>
      <c r="P129" s="2" t="s">
        <v>43</v>
      </c>
      <c r="Q129" s="2"/>
      <c r="R129" s="2" t="s">
        <v>44</v>
      </c>
      <c r="S129" s="2">
        <v>8250215703</v>
      </c>
      <c r="T129" s="2"/>
      <c r="U129" s="2" t="s">
        <v>581</v>
      </c>
      <c r="V129" s="2">
        <v>9680834707</v>
      </c>
      <c r="W129" s="2" t="s">
        <v>582</v>
      </c>
      <c r="X129" s="2">
        <v>36000</v>
      </c>
      <c r="Y129" s="2" t="s">
        <v>240</v>
      </c>
      <c r="Z129" s="2" t="s">
        <v>46</v>
      </c>
      <c r="AA129" s="2" t="s">
        <v>47</v>
      </c>
      <c r="AB129" s="2">
        <v>14</v>
      </c>
      <c r="AC129" s="2" t="s">
        <v>48</v>
      </c>
      <c r="AD129" s="2">
        <v>1</v>
      </c>
    </row>
    <row r="130" spans="1:30" ht="30" x14ac:dyDescent="0.25">
      <c r="A130" s="2">
        <v>7</v>
      </c>
      <c r="B130" s="2" t="s">
        <v>37</v>
      </c>
      <c r="C130" s="2">
        <v>12235</v>
      </c>
      <c r="D130" s="3">
        <v>42548</v>
      </c>
      <c r="E130" s="2" t="s">
        <v>583</v>
      </c>
      <c r="F130" s="2"/>
      <c r="G130" s="2" t="s">
        <v>449</v>
      </c>
      <c r="H130" s="2" t="s">
        <v>450</v>
      </c>
      <c r="I130" s="2" t="s">
        <v>52</v>
      </c>
      <c r="J130" s="3">
        <v>39497</v>
      </c>
      <c r="K130" s="2"/>
      <c r="L130" s="2"/>
      <c r="M130" s="2">
        <v>10</v>
      </c>
      <c r="N130" s="2">
        <v>0</v>
      </c>
      <c r="O130" s="2" t="s">
        <v>42</v>
      </c>
      <c r="P130" s="2" t="s">
        <v>54</v>
      </c>
      <c r="Q130" s="2"/>
      <c r="R130" s="2" t="s">
        <v>44</v>
      </c>
      <c r="S130" s="2">
        <v>8250215703</v>
      </c>
      <c r="T130" s="2" t="s">
        <v>584</v>
      </c>
      <c r="U130" s="2"/>
      <c r="V130" s="2">
        <v>7891352401</v>
      </c>
      <c r="W130" s="2" t="s">
        <v>453</v>
      </c>
      <c r="X130" s="2">
        <v>100000</v>
      </c>
      <c r="Y130" s="2" t="s">
        <v>46</v>
      </c>
      <c r="Z130" s="2" t="s">
        <v>46</v>
      </c>
      <c r="AA130" s="2" t="s">
        <v>57</v>
      </c>
      <c r="AB130" s="2">
        <v>13</v>
      </c>
      <c r="AC130" s="2" t="s">
        <v>48</v>
      </c>
      <c r="AD130" s="2">
        <v>0</v>
      </c>
    </row>
    <row r="131" spans="1:30" ht="30" x14ac:dyDescent="0.25">
      <c r="A131" s="2">
        <v>7</v>
      </c>
      <c r="B131" s="2" t="s">
        <v>37</v>
      </c>
      <c r="C131" s="2">
        <v>13378</v>
      </c>
      <c r="D131" s="3">
        <v>43662</v>
      </c>
      <c r="E131" s="2" t="s">
        <v>585</v>
      </c>
      <c r="F131" s="2"/>
      <c r="G131" s="2" t="s">
        <v>273</v>
      </c>
      <c r="H131" s="2" t="s">
        <v>274</v>
      </c>
      <c r="I131" s="2" t="s">
        <v>52</v>
      </c>
      <c r="J131" s="3">
        <v>39628</v>
      </c>
      <c r="K131" s="2"/>
      <c r="L131" s="2"/>
      <c r="M131" s="2">
        <v>10</v>
      </c>
      <c r="N131" s="2">
        <v>8</v>
      </c>
      <c r="O131" s="2" t="s">
        <v>53</v>
      </c>
      <c r="P131" s="2" t="s">
        <v>43</v>
      </c>
      <c r="Q131" s="2"/>
      <c r="R131" s="2" t="s">
        <v>44</v>
      </c>
      <c r="S131" s="2">
        <v>8250215703</v>
      </c>
      <c r="T131" s="2" t="s">
        <v>586</v>
      </c>
      <c r="U131" s="2" t="s">
        <v>587</v>
      </c>
      <c r="V131" s="2">
        <v>7727922108</v>
      </c>
      <c r="W131" s="2" t="s">
        <v>588</v>
      </c>
      <c r="X131" s="2">
        <v>20000</v>
      </c>
      <c r="Y131" s="2" t="s">
        <v>46</v>
      </c>
      <c r="Z131" s="2" t="s">
        <v>46</v>
      </c>
      <c r="AA131" s="2" t="s">
        <v>47</v>
      </c>
      <c r="AB131" s="2">
        <v>13</v>
      </c>
      <c r="AC131" s="2" t="s">
        <v>48</v>
      </c>
      <c r="AD131" s="2">
        <v>1</v>
      </c>
    </row>
    <row r="132" spans="1:30" ht="30" x14ac:dyDescent="0.25">
      <c r="A132" s="2">
        <v>7</v>
      </c>
      <c r="B132" s="2" t="s">
        <v>37</v>
      </c>
      <c r="C132" s="2">
        <v>13689</v>
      </c>
      <c r="D132" s="3">
        <v>44226</v>
      </c>
      <c r="E132" s="2" t="s">
        <v>589</v>
      </c>
      <c r="F132" s="2"/>
      <c r="G132" s="2" t="s">
        <v>590</v>
      </c>
      <c r="H132" s="2" t="s">
        <v>591</v>
      </c>
      <c r="I132" s="2" t="s">
        <v>41</v>
      </c>
      <c r="J132" s="3">
        <v>39802</v>
      </c>
      <c r="K132" s="2"/>
      <c r="L132" s="2"/>
      <c r="M132" s="2">
        <v>10</v>
      </c>
      <c r="N132" s="2">
        <v>0</v>
      </c>
      <c r="O132" s="2" t="s">
        <v>53</v>
      </c>
      <c r="P132" s="2" t="s">
        <v>43</v>
      </c>
      <c r="Q132" s="2"/>
      <c r="R132" s="2" t="s">
        <v>44</v>
      </c>
      <c r="S132" s="2">
        <v>8250215703</v>
      </c>
      <c r="T132" s="2" t="s">
        <v>592</v>
      </c>
      <c r="U132" s="2" t="s">
        <v>593</v>
      </c>
      <c r="V132" s="2">
        <v>8290004046</v>
      </c>
      <c r="W132" s="2" t="s">
        <v>239</v>
      </c>
      <c r="X132" s="2">
        <v>36000</v>
      </c>
      <c r="Y132" s="2" t="s">
        <v>46</v>
      </c>
      <c r="Z132" s="2" t="s">
        <v>240</v>
      </c>
      <c r="AA132" s="2" t="s">
        <v>47</v>
      </c>
      <c r="AB132" s="2">
        <v>13</v>
      </c>
      <c r="AC132" s="2" t="s">
        <v>48</v>
      </c>
      <c r="AD132" s="2">
        <v>0</v>
      </c>
    </row>
    <row r="133" spans="1:30" ht="45" x14ac:dyDescent="0.25">
      <c r="A133" s="2">
        <v>7</v>
      </c>
      <c r="B133" s="2" t="s">
        <v>37</v>
      </c>
      <c r="C133" s="2">
        <v>13015</v>
      </c>
      <c r="D133" s="3">
        <v>43283</v>
      </c>
      <c r="E133" s="2" t="s">
        <v>594</v>
      </c>
      <c r="F133" s="2"/>
      <c r="G133" s="2" t="s">
        <v>363</v>
      </c>
      <c r="H133" s="2" t="s">
        <v>595</v>
      </c>
      <c r="I133" s="2" t="s">
        <v>52</v>
      </c>
      <c r="J133" s="3">
        <v>40059</v>
      </c>
      <c r="K133" s="2"/>
      <c r="L133" s="2"/>
      <c r="M133" s="2">
        <v>10</v>
      </c>
      <c r="N133" s="2">
        <v>9</v>
      </c>
      <c r="O133" s="2" t="s">
        <v>53</v>
      </c>
      <c r="P133" s="2" t="s">
        <v>43</v>
      </c>
      <c r="Q133" s="2"/>
      <c r="R133" s="2" t="s">
        <v>44</v>
      </c>
      <c r="S133" s="2">
        <v>8250215703</v>
      </c>
      <c r="T133" s="2" t="s">
        <v>596</v>
      </c>
      <c r="U133" s="2" t="s">
        <v>245</v>
      </c>
      <c r="V133" s="2">
        <v>9799216069</v>
      </c>
      <c r="W133" s="2" t="s">
        <v>352</v>
      </c>
      <c r="X133" s="2">
        <v>36000</v>
      </c>
      <c r="Y133" s="2" t="s">
        <v>46</v>
      </c>
      <c r="Z133" s="2" t="s">
        <v>46</v>
      </c>
      <c r="AA133" s="2" t="s">
        <v>47</v>
      </c>
      <c r="AB133" s="2">
        <v>12</v>
      </c>
      <c r="AC133" s="2" t="s">
        <v>48</v>
      </c>
      <c r="AD133" s="2">
        <v>1</v>
      </c>
    </row>
    <row r="134" spans="1:30" ht="30" x14ac:dyDescent="0.25">
      <c r="A134" s="2">
        <v>7</v>
      </c>
      <c r="B134" s="2" t="s">
        <v>37</v>
      </c>
      <c r="C134" s="2">
        <v>13913</v>
      </c>
      <c r="D134" s="3">
        <v>44420</v>
      </c>
      <c r="E134" s="2" t="s">
        <v>597</v>
      </c>
      <c r="F134" s="2"/>
      <c r="G134" s="2" t="s">
        <v>598</v>
      </c>
      <c r="H134" s="2" t="s">
        <v>599</v>
      </c>
      <c r="I134" s="2" t="s">
        <v>41</v>
      </c>
      <c r="J134" s="3">
        <v>39828</v>
      </c>
      <c r="K134" s="2"/>
      <c r="L134" s="2"/>
      <c r="M134" s="2">
        <v>10</v>
      </c>
      <c r="N134" s="2">
        <v>0</v>
      </c>
      <c r="O134" s="2" t="s">
        <v>53</v>
      </c>
      <c r="P134" s="2" t="s">
        <v>43</v>
      </c>
      <c r="Q134" s="2"/>
      <c r="R134" s="2" t="s">
        <v>44</v>
      </c>
      <c r="S134" s="2">
        <v>8250215703</v>
      </c>
      <c r="T134" s="2" t="s">
        <v>600</v>
      </c>
      <c r="U134" s="2"/>
      <c r="V134" s="2">
        <v>9664090540</v>
      </c>
      <c r="W134" s="2" t="s">
        <v>601</v>
      </c>
      <c r="X134" s="2">
        <v>0</v>
      </c>
      <c r="Y134" s="2" t="s">
        <v>46</v>
      </c>
      <c r="Z134" s="2" t="s">
        <v>46</v>
      </c>
      <c r="AA134" s="2" t="s">
        <v>47</v>
      </c>
      <c r="AB134" s="2">
        <v>12</v>
      </c>
      <c r="AC134" s="2" t="s">
        <v>48</v>
      </c>
      <c r="AD134" s="2">
        <v>1</v>
      </c>
    </row>
    <row r="135" spans="1:30" ht="60" x14ac:dyDescent="0.25">
      <c r="A135" s="2">
        <v>7</v>
      </c>
      <c r="B135" s="2" t="s">
        <v>37</v>
      </c>
      <c r="C135" s="2">
        <v>13500</v>
      </c>
      <c r="D135" s="3">
        <v>44069</v>
      </c>
      <c r="E135" s="2" t="s">
        <v>602</v>
      </c>
      <c r="F135" s="2"/>
      <c r="G135" s="2" t="s">
        <v>603</v>
      </c>
      <c r="H135" s="2" t="s">
        <v>604</v>
      </c>
      <c r="I135" s="2" t="s">
        <v>41</v>
      </c>
      <c r="J135" s="3">
        <v>39543</v>
      </c>
      <c r="K135" s="2"/>
      <c r="L135" s="2"/>
      <c r="M135" s="2">
        <v>10</v>
      </c>
      <c r="N135" s="2">
        <v>0</v>
      </c>
      <c r="O135" s="2" t="s">
        <v>78</v>
      </c>
      <c r="P135" s="2" t="s">
        <v>43</v>
      </c>
      <c r="Q135" s="2"/>
      <c r="R135" s="2" t="s">
        <v>44</v>
      </c>
      <c r="S135" s="2">
        <v>8250215703</v>
      </c>
      <c r="T135" s="2" t="s">
        <v>605</v>
      </c>
      <c r="U135" s="2" t="s">
        <v>606</v>
      </c>
      <c r="V135" s="2">
        <v>8824736055</v>
      </c>
      <c r="W135" s="2" t="s">
        <v>607</v>
      </c>
      <c r="X135" s="2">
        <v>41000</v>
      </c>
      <c r="Y135" s="2" t="s">
        <v>46</v>
      </c>
      <c r="Z135" s="2" t="s">
        <v>46</v>
      </c>
      <c r="AA135" s="2" t="s">
        <v>47</v>
      </c>
      <c r="AB135" s="2">
        <v>13</v>
      </c>
      <c r="AC135" s="2" t="s">
        <v>48</v>
      </c>
      <c r="AD135" s="2">
        <v>1</v>
      </c>
    </row>
    <row r="136" spans="1:30" ht="30" x14ac:dyDescent="0.25">
      <c r="A136" s="2">
        <v>7</v>
      </c>
      <c r="B136" s="2" t="s">
        <v>37</v>
      </c>
      <c r="C136" s="2">
        <v>13687</v>
      </c>
      <c r="D136" s="3">
        <v>44226</v>
      </c>
      <c r="E136" s="2" t="s">
        <v>608</v>
      </c>
      <c r="F136" s="2"/>
      <c r="G136" s="2" t="s">
        <v>609</v>
      </c>
      <c r="H136" s="2" t="s">
        <v>610</v>
      </c>
      <c r="I136" s="2" t="s">
        <v>41</v>
      </c>
      <c r="J136" s="3">
        <v>40487</v>
      </c>
      <c r="K136" s="2"/>
      <c r="L136" s="2"/>
      <c r="M136" s="2">
        <v>10</v>
      </c>
      <c r="N136" s="2">
        <v>8</v>
      </c>
      <c r="O136" s="2" t="s">
        <v>78</v>
      </c>
      <c r="P136" s="2" t="s">
        <v>43</v>
      </c>
      <c r="Q136" s="2"/>
      <c r="R136" s="2" t="s">
        <v>44</v>
      </c>
      <c r="S136" s="2">
        <v>8250215703</v>
      </c>
      <c r="T136" s="2" t="s">
        <v>611</v>
      </c>
      <c r="U136" s="2"/>
      <c r="V136" s="2">
        <v>9587375836</v>
      </c>
      <c r="W136" s="2" t="s">
        <v>612</v>
      </c>
      <c r="X136" s="2">
        <v>60000</v>
      </c>
      <c r="Y136" s="2" t="s">
        <v>46</v>
      </c>
      <c r="Z136" s="2" t="s">
        <v>46</v>
      </c>
      <c r="AA136" s="2" t="s">
        <v>47</v>
      </c>
      <c r="AB136" s="2">
        <v>11</v>
      </c>
      <c r="AC136" s="2" t="s">
        <v>48</v>
      </c>
      <c r="AD136" s="2">
        <v>1</v>
      </c>
    </row>
    <row r="137" spans="1:30" ht="30" x14ac:dyDescent="0.25">
      <c r="A137" s="2">
        <v>7</v>
      </c>
      <c r="B137" s="2" t="s">
        <v>37</v>
      </c>
      <c r="C137" s="2">
        <v>12234</v>
      </c>
      <c r="D137" s="3">
        <v>42548</v>
      </c>
      <c r="E137" s="2" t="s">
        <v>613</v>
      </c>
      <c r="F137" s="2"/>
      <c r="G137" s="2" t="s">
        <v>614</v>
      </c>
      <c r="H137" s="2" t="s">
        <v>615</v>
      </c>
      <c r="I137" s="2" t="s">
        <v>52</v>
      </c>
      <c r="J137" s="3">
        <v>40073</v>
      </c>
      <c r="K137" s="2"/>
      <c r="L137" s="2"/>
      <c r="M137" s="2">
        <v>10</v>
      </c>
      <c r="N137" s="2">
        <v>9</v>
      </c>
      <c r="O137" s="2" t="s">
        <v>53</v>
      </c>
      <c r="P137" s="2" t="s">
        <v>54</v>
      </c>
      <c r="Q137" s="2"/>
      <c r="R137" s="2" t="s">
        <v>44</v>
      </c>
      <c r="S137" s="2">
        <v>8250215703</v>
      </c>
      <c r="T137" s="2" t="s">
        <v>616</v>
      </c>
      <c r="U137" s="2"/>
      <c r="V137" s="2">
        <v>9983556319</v>
      </c>
      <c r="W137" s="2" t="s">
        <v>491</v>
      </c>
      <c r="X137" s="2">
        <v>260000</v>
      </c>
      <c r="Y137" s="2" t="s">
        <v>46</v>
      </c>
      <c r="Z137" s="2" t="s">
        <v>240</v>
      </c>
      <c r="AA137" s="2" t="s">
        <v>57</v>
      </c>
      <c r="AB137" s="2">
        <v>12</v>
      </c>
      <c r="AC137" s="2" t="s">
        <v>48</v>
      </c>
      <c r="AD137" s="2">
        <v>1</v>
      </c>
    </row>
    <row r="138" spans="1:30" ht="30" x14ac:dyDescent="0.25">
      <c r="A138" s="2">
        <v>7</v>
      </c>
      <c r="B138" s="2" t="s">
        <v>37</v>
      </c>
      <c r="C138" s="2">
        <v>12226</v>
      </c>
      <c r="D138" s="3">
        <v>42548</v>
      </c>
      <c r="E138" s="2" t="s">
        <v>617</v>
      </c>
      <c r="F138" s="2"/>
      <c r="G138" s="2" t="s">
        <v>502</v>
      </c>
      <c r="H138" s="2" t="s">
        <v>521</v>
      </c>
      <c r="I138" s="2" t="s">
        <v>41</v>
      </c>
      <c r="J138" s="3">
        <v>39377</v>
      </c>
      <c r="K138" s="2"/>
      <c r="L138" s="2"/>
      <c r="M138" s="2">
        <v>10</v>
      </c>
      <c r="N138" s="2">
        <v>0</v>
      </c>
      <c r="O138" s="2" t="s">
        <v>53</v>
      </c>
      <c r="P138" s="2" t="s">
        <v>43</v>
      </c>
      <c r="Q138" s="2"/>
      <c r="R138" s="2" t="s">
        <v>44</v>
      </c>
      <c r="S138" s="2">
        <v>8250215703</v>
      </c>
      <c r="T138" s="2"/>
      <c r="U138" s="2"/>
      <c r="V138" s="2">
        <v>7665987599</v>
      </c>
      <c r="W138" s="2" t="s">
        <v>523</v>
      </c>
      <c r="X138" s="2">
        <v>72000</v>
      </c>
      <c r="Y138" s="2" t="s">
        <v>46</v>
      </c>
      <c r="Z138" s="2" t="s">
        <v>46</v>
      </c>
      <c r="AA138" s="2" t="s">
        <v>47</v>
      </c>
      <c r="AB138" s="2">
        <v>14</v>
      </c>
      <c r="AC138" s="2" t="s">
        <v>48</v>
      </c>
      <c r="AD138" s="2">
        <v>1</v>
      </c>
    </row>
    <row r="139" spans="1:30" ht="30" x14ac:dyDescent="0.25">
      <c r="A139" s="2">
        <v>7</v>
      </c>
      <c r="B139" s="2" t="s">
        <v>37</v>
      </c>
      <c r="C139" s="2">
        <v>13914</v>
      </c>
      <c r="D139" s="3">
        <v>44420</v>
      </c>
      <c r="E139" s="2" t="s">
        <v>618</v>
      </c>
      <c r="F139" s="2" t="s">
        <v>229</v>
      </c>
      <c r="G139" s="2" t="s">
        <v>598</v>
      </c>
      <c r="H139" s="2" t="s">
        <v>599</v>
      </c>
      <c r="I139" s="2" t="s">
        <v>41</v>
      </c>
      <c r="J139" s="3">
        <v>39298</v>
      </c>
      <c r="K139" s="2"/>
      <c r="L139" s="2"/>
      <c r="M139" s="2">
        <v>10</v>
      </c>
      <c r="N139" s="2">
        <v>0</v>
      </c>
      <c r="O139" s="2" t="s">
        <v>53</v>
      </c>
      <c r="P139" s="2" t="s">
        <v>43</v>
      </c>
      <c r="Q139" s="2"/>
      <c r="R139" s="2" t="s">
        <v>44</v>
      </c>
      <c r="S139" s="2">
        <v>8250215703</v>
      </c>
      <c r="T139" s="2" t="s">
        <v>619</v>
      </c>
      <c r="U139" s="2" t="s">
        <v>620</v>
      </c>
      <c r="V139" s="2">
        <v>9358467838</v>
      </c>
      <c r="W139" s="2" t="s">
        <v>621</v>
      </c>
      <c r="X139" s="2">
        <v>60000</v>
      </c>
      <c r="Y139" s="2" t="s">
        <v>46</v>
      </c>
      <c r="Z139" s="2" t="s">
        <v>46</v>
      </c>
      <c r="AA139" s="2" t="s">
        <v>47</v>
      </c>
      <c r="AB139" s="2">
        <v>14</v>
      </c>
      <c r="AC139" s="2" t="s">
        <v>48</v>
      </c>
      <c r="AD139" s="2">
        <v>1</v>
      </c>
    </row>
    <row r="140" spans="1:30" ht="30" x14ac:dyDescent="0.25">
      <c r="A140" s="2">
        <v>7</v>
      </c>
      <c r="B140" s="2" t="s">
        <v>37</v>
      </c>
      <c r="C140" s="2">
        <v>14003</v>
      </c>
      <c r="D140" s="3">
        <v>44484</v>
      </c>
      <c r="E140" s="2" t="s">
        <v>622</v>
      </c>
      <c r="F140" s="2"/>
      <c r="G140" s="2" t="s">
        <v>623</v>
      </c>
      <c r="H140" s="2" t="s">
        <v>624</v>
      </c>
      <c r="I140" s="2" t="s">
        <v>52</v>
      </c>
      <c r="J140" s="3">
        <v>39978</v>
      </c>
      <c r="K140" s="2"/>
      <c r="L140" s="2"/>
      <c r="M140" s="2">
        <v>10</v>
      </c>
      <c r="N140" s="2"/>
      <c r="O140" s="2" t="s">
        <v>42</v>
      </c>
      <c r="P140" s="2" t="s">
        <v>43</v>
      </c>
      <c r="Q140" s="2"/>
      <c r="R140" s="2" t="s">
        <v>44</v>
      </c>
      <c r="S140" s="2">
        <v>8250215703</v>
      </c>
      <c r="T140" s="2" t="s">
        <v>625</v>
      </c>
      <c r="U140" s="2"/>
      <c r="V140" s="2">
        <v>9636714415</v>
      </c>
      <c r="W140" s="2" t="s">
        <v>626</v>
      </c>
      <c r="X140" s="2">
        <v>36000</v>
      </c>
      <c r="Y140" s="2" t="s">
        <v>46</v>
      </c>
      <c r="Z140" s="2" t="s">
        <v>46</v>
      </c>
      <c r="AA140" s="2" t="s">
        <v>47</v>
      </c>
      <c r="AB140" s="2">
        <v>12</v>
      </c>
      <c r="AC140" s="2" t="s">
        <v>48</v>
      </c>
      <c r="AD140" s="2">
        <v>1</v>
      </c>
    </row>
    <row r="141" spans="1:30" ht="30" x14ac:dyDescent="0.25">
      <c r="A141" s="2">
        <v>7</v>
      </c>
      <c r="B141" s="2" t="s">
        <v>37</v>
      </c>
      <c r="C141" s="2">
        <v>13157</v>
      </c>
      <c r="D141" s="3">
        <v>42986</v>
      </c>
      <c r="E141" s="2" t="s">
        <v>627</v>
      </c>
      <c r="F141" s="2" t="s">
        <v>229</v>
      </c>
      <c r="G141" s="2" t="s">
        <v>628</v>
      </c>
      <c r="H141" s="2" t="s">
        <v>629</v>
      </c>
      <c r="I141" s="2" t="s">
        <v>52</v>
      </c>
      <c r="J141" s="3">
        <v>39809</v>
      </c>
      <c r="K141" s="2"/>
      <c r="L141" s="2"/>
      <c r="M141" s="2">
        <v>10</v>
      </c>
      <c r="N141" s="2">
        <v>0</v>
      </c>
      <c r="O141" s="2" t="s">
        <v>53</v>
      </c>
      <c r="P141" s="2" t="s">
        <v>43</v>
      </c>
      <c r="Q141" s="2"/>
      <c r="R141" s="2" t="s">
        <v>44</v>
      </c>
      <c r="S141" s="2">
        <v>8250215703</v>
      </c>
      <c r="T141" s="2" t="s">
        <v>630</v>
      </c>
      <c r="U141" s="2"/>
      <c r="V141" s="2">
        <v>8094502439</v>
      </c>
      <c r="W141" s="2" t="s">
        <v>631</v>
      </c>
      <c r="X141" s="2">
        <v>0</v>
      </c>
      <c r="Y141" s="2" t="s">
        <v>46</v>
      </c>
      <c r="Z141" s="2" t="s">
        <v>46</v>
      </c>
      <c r="AA141" s="2" t="s">
        <v>47</v>
      </c>
      <c r="AB141" s="2">
        <v>13</v>
      </c>
      <c r="AC141" s="2" t="s">
        <v>48</v>
      </c>
      <c r="AD141" s="2">
        <v>1</v>
      </c>
    </row>
    <row r="142" spans="1:30" ht="45" x14ac:dyDescent="0.25">
      <c r="A142" s="2">
        <v>8</v>
      </c>
      <c r="B142" s="2" t="s">
        <v>37</v>
      </c>
      <c r="C142" s="2">
        <v>13437</v>
      </c>
      <c r="D142" s="3">
        <v>43295</v>
      </c>
      <c r="E142" s="2" t="s">
        <v>632</v>
      </c>
      <c r="F142" s="2"/>
      <c r="G142" s="2" t="s">
        <v>633</v>
      </c>
      <c r="H142" s="2" t="s">
        <v>479</v>
      </c>
      <c r="I142" s="2" t="s">
        <v>41</v>
      </c>
      <c r="J142" s="3">
        <v>39203</v>
      </c>
      <c r="K142" s="2"/>
      <c r="L142" s="2"/>
      <c r="M142" s="2">
        <v>10</v>
      </c>
      <c r="N142" s="2">
        <v>1</v>
      </c>
      <c r="O142" s="2" t="s">
        <v>53</v>
      </c>
      <c r="P142" s="2" t="s">
        <v>54</v>
      </c>
      <c r="Q142" s="2"/>
      <c r="R142" s="2" t="s">
        <v>44</v>
      </c>
      <c r="S142" s="2">
        <v>8250215703</v>
      </c>
      <c r="T142" s="2" t="s">
        <v>634</v>
      </c>
      <c r="U142" s="2"/>
      <c r="V142" s="2">
        <v>8107970785</v>
      </c>
      <c r="W142" s="2" t="s">
        <v>635</v>
      </c>
      <c r="X142" s="2">
        <v>60000</v>
      </c>
      <c r="Y142" s="2" t="s">
        <v>46</v>
      </c>
      <c r="Z142" s="2" t="s">
        <v>46</v>
      </c>
      <c r="AA142" s="2" t="s">
        <v>57</v>
      </c>
      <c r="AB142" s="2">
        <v>14</v>
      </c>
      <c r="AC142" s="2" t="s">
        <v>48</v>
      </c>
      <c r="AD142" s="2">
        <v>0</v>
      </c>
    </row>
    <row r="143" spans="1:30" ht="30" x14ac:dyDescent="0.25">
      <c r="A143" s="2">
        <v>8</v>
      </c>
      <c r="B143" s="2" t="s">
        <v>37</v>
      </c>
      <c r="C143" s="2">
        <v>13345</v>
      </c>
      <c r="D143" s="3">
        <v>43659</v>
      </c>
      <c r="E143" s="2" t="s">
        <v>636</v>
      </c>
      <c r="F143" s="2"/>
      <c r="G143" s="2" t="s">
        <v>87</v>
      </c>
      <c r="H143" s="2" t="s">
        <v>469</v>
      </c>
      <c r="I143" s="2" t="s">
        <v>41</v>
      </c>
      <c r="J143" s="3">
        <v>39491</v>
      </c>
      <c r="K143" s="2"/>
      <c r="L143" s="2"/>
      <c r="M143" s="2">
        <v>10</v>
      </c>
      <c r="N143" s="2">
        <v>8</v>
      </c>
      <c r="O143" s="2" t="s">
        <v>53</v>
      </c>
      <c r="P143" s="2" t="s">
        <v>43</v>
      </c>
      <c r="Q143" s="2"/>
      <c r="R143" s="2" t="s">
        <v>44</v>
      </c>
      <c r="S143" s="2">
        <v>8250215703</v>
      </c>
      <c r="T143" s="2" t="s">
        <v>637</v>
      </c>
      <c r="U143" s="2"/>
      <c r="V143" s="2">
        <v>9913070009</v>
      </c>
      <c r="W143" s="2" t="s">
        <v>471</v>
      </c>
      <c r="X143" s="2">
        <v>140000</v>
      </c>
      <c r="Y143" s="2" t="s">
        <v>46</v>
      </c>
      <c r="Z143" s="2" t="s">
        <v>46</v>
      </c>
      <c r="AA143" s="2" t="s">
        <v>47</v>
      </c>
      <c r="AB143" s="2">
        <v>13</v>
      </c>
      <c r="AC143" s="2" t="s">
        <v>48</v>
      </c>
      <c r="AD143" s="2">
        <v>2</v>
      </c>
    </row>
    <row r="144" spans="1:30" ht="30" x14ac:dyDescent="0.25">
      <c r="A144" s="2">
        <v>8</v>
      </c>
      <c r="B144" s="2" t="s">
        <v>37</v>
      </c>
      <c r="C144" s="2">
        <v>13739</v>
      </c>
      <c r="D144" s="3">
        <v>44390</v>
      </c>
      <c r="E144" s="2" t="s">
        <v>638</v>
      </c>
      <c r="F144" s="2"/>
      <c r="G144" s="2" t="s">
        <v>639</v>
      </c>
      <c r="H144" s="2" t="s">
        <v>640</v>
      </c>
      <c r="I144" s="2" t="s">
        <v>41</v>
      </c>
      <c r="J144" s="3">
        <v>38979</v>
      </c>
      <c r="K144" s="2"/>
      <c r="L144" s="2"/>
      <c r="M144" s="2">
        <v>10</v>
      </c>
      <c r="N144" s="2">
        <v>9</v>
      </c>
      <c r="O144" s="2" t="s">
        <v>42</v>
      </c>
      <c r="P144" s="2" t="s">
        <v>43</v>
      </c>
      <c r="Q144" s="2"/>
      <c r="R144" s="2" t="s">
        <v>44</v>
      </c>
      <c r="S144" s="2">
        <v>8250215703</v>
      </c>
      <c r="T144" s="2" t="s">
        <v>641</v>
      </c>
      <c r="U144" s="2"/>
      <c r="V144" s="2">
        <v>9414785974</v>
      </c>
      <c r="W144" s="2" t="s">
        <v>642</v>
      </c>
      <c r="X144" s="2">
        <v>100000</v>
      </c>
      <c r="Y144" s="2" t="s">
        <v>46</v>
      </c>
      <c r="Z144" s="2" t="s">
        <v>46</v>
      </c>
      <c r="AA144" s="2" t="s">
        <v>47</v>
      </c>
      <c r="AB144" s="2">
        <v>15</v>
      </c>
      <c r="AC144" s="2" t="s">
        <v>48</v>
      </c>
      <c r="AD144" s="2">
        <v>2</v>
      </c>
    </row>
    <row r="145" spans="1:30" ht="30" x14ac:dyDescent="0.25">
      <c r="A145" s="2">
        <v>8</v>
      </c>
      <c r="B145" s="2" t="s">
        <v>37</v>
      </c>
      <c r="C145" s="2">
        <v>13656</v>
      </c>
      <c r="D145" s="3">
        <v>44124</v>
      </c>
      <c r="E145" s="2" t="s">
        <v>119</v>
      </c>
      <c r="F145" s="2"/>
      <c r="G145" s="2" t="s">
        <v>643</v>
      </c>
      <c r="H145" s="2" t="s">
        <v>644</v>
      </c>
      <c r="I145" s="2" t="s">
        <v>41</v>
      </c>
      <c r="J145" s="3">
        <v>39504</v>
      </c>
      <c r="K145" s="2"/>
      <c r="L145" s="2"/>
      <c r="M145" s="2">
        <v>10</v>
      </c>
      <c r="N145" s="2">
        <v>6</v>
      </c>
      <c r="O145" s="2" t="s">
        <v>53</v>
      </c>
      <c r="P145" s="2" t="s">
        <v>43</v>
      </c>
      <c r="Q145" s="2"/>
      <c r="R145" s="2" t="s">
        <v>44</v>
      </c>
      <c r="S145" s="2">
        <v>8250215703</v>
      </c>
      <c r="T145" s="2" t="s">
        <v>645</v>
      </c>
      <c r="U145" s="2" t="s">
        <v>646</v>
      </c>
      <c r="V145" s="2">
        <v>8108006180</v>
      </c>
      <c r="W145" s="2" t="s">
        <v>647</v>
      </c>
      <c r="X145" s="2">
        <v>25000</v>
      </c>
      <c r="Y145" s="2" t="s">
        <v>46</v>
      </c>
      <c r="Z145" s="2" t="s">
        <v>46</v>
      </c>
      <c r="AA145" s="2" t="s">
        <v>47</v>
      </c>
      <c r="AB145" s="2">
        <v>13</v>
      </c>
      <c r="AC145" s="2" t="s">
        <v>48</v>
      </c>
      <c r="AD145" s="2">
        <v>1</v>
      </c>
    </row>
    <row r="146" spans="1:30" ht="30" x14ac:dyDescent="0.25">
      <c r="A146" s="2">
        <v>8</v>
      </c>
      <c r="B146" s="2" t="s">
        <v>37</v>
      </c>
      <c r="C146" s="2">
        <v>13328</v>
      </c>
      <c r="D146" s="3">
        <v>43658</v>
      </c>
      <c r="E146" s="2" t="s">
        <v>648</v>
      </c>
      <c r="F146" s="2"/>
      <c r="G146" s="2" t="s">
        <v>649</v>
      </c>
      <c r="H146" s="2" t="s">
        <v>650</v>
      </c>
      <c r="I146" s="2" t="s">
        <v>41</v>
      </c>
      <c r="J146" s="3">
        <v>39846</v>
      </c>
      <c r="K146" s="2"/>
      <c r="L146" s="2"/>
      <c r="M146" s="2">
        <v>10</v>
      </c>
      <c r="N146" s="2">
        <v>7</v>
      </c>
      <c r="O146" s="2" t="s">
        <v>53</v>
      </c>
      <c r="P146" s="2" t="s">
        <v>43</v>
      </c>
      <c r="Q146" s="2"/>
      <c r="R146" s="2" t="s">
        <v>44</v>
      </c>
      <c r="S146" s="2">
        <v>8250215703</v>
      </c>
      <c r="T146" s="2" t="s">
        <v>651</v>
      </c>
      <c r="U146" s="2"/>
      <c r="V146" s="2">
        <v>7665313847</v>
      </c>
      <c r="W146" s="2" t="s">
        <v>265</v>
      </c>
      <c r="X146" s="2">
        <v>60000</v>
      </c>
      <c r="Y146" s="2" t="s">
        <v>46</v>
      </c>
      <c r="Z146" s="2" t="s">
        <v>46</v>
      </c>
      <c r="AA146" s="2" t="s">
        <v>47</v>
      </c>
      <c r="AB146" s="2">
        <v>12</v>
      </c>
      <c r="AC146" s="2" t="s">
        <v>48</v>
      </c>
      <c r="AD146" s="2">
        <v>2</v>
      </c>
    </row>
    <row r="147" spans="1:30" ht="30" x14ac:dyDescent="0.25">
      <c r="A147" s="2">
        <v>8</v>
      </c>
      <c r="B147" s="2" t="s">
        <v>37</v>
      </c>
      <c r="C147" s="2">
        <v>12240</v>
      </c>
      <c r="D147" s="3">
        <v>42548</v>
      </c>
      <c r="E147" s="2" t="s">
        <v>652</v>
      </c>
      <c r="F147" s="2"/>
      <c r="G147" s="2" t="s">
        <v>653</v>
      </c>
      <c r="H147" s="2" t="s">
        <v>210</v>
      </c>
      <c r="I147" s="2" t="s">
        <v>41</v>
      </c>
      <c r="J147" s="3">
        <v>39914</v>
      </c>
      <c r="K147" s="2"/>
      <c r="L147" s="2"/>
      <c r="M147" s="2">
        <v>10</v>
      </c>
      <c r="N147" s="2">
        <v>7</v>
      </c>
      <c r="O147" s="2" t="s">
        <v>78</v>
      </c>
      <c r="P147" s="2" t="s">
        <v>43</v>
      </c>
      <c r="Q147" s="2"/>
      <c r="R147" s="2" t="s">
        <v>44</v>
      </c>
      <c r="S147" s="2">
        <v>8250215703</v>
      </c>
      <c r="T147" s="2" t="s">
        <v>654</v>
      </c>
      <c r="U147" s="2"/>
      <c r="V147" s="2">
        <v>7073681201</v>
      </c>
      <c r="W147" s="2" t="s">
        <v>655</v>
      </c>
      <c r="X147" s="2">
        <v>20000</v>
      </c>
      <c r="Y147" s="2" t="s">
        <v>240</v>
      </c>
      <c r="Z147" s="2" t="s">
        <v>46</v>
      </c>
      <c r="AA147" s="2" t="s">
        <v>47</v>
      </c>
      <c r="AB147" s="2">
        <v>12</v>
      </c>
      <c r="AC147" s="2" t="s">
        <v>48</v>
      </c>
      <c r="AD147" s="2">
        <v>1</v>
      </c>
    </row>
    <row r="148" spans="1:30" ht="30" x14ac:dyDescent="0.25">
      <c r="A148" s="2">
        <v>8</v>
      </c>
      <c r="B148" s="2" t="s">
        <v>37</v>
      </c>
      <c r="C148" s="2">
        <v>12255</v>
      </c>
      <c r="D148" s="3">
        <v>42548</v>
      </c>
      <c r="E148" s="2" t="s">
        <v>656</v>
      </c>
      <c r="F148" s="2"/>
      <c r="G148" s="2" t="s">
        <v>657</v>
      </c>
      <c r="H148" s="2" t="s">
        <v>658</v>
      </c>
      <c r="I148" s="2" t="s">
        <v>52</v>
      </c>
      <c r="J148" s="3">
        <v>38754</v>
      </c>
      <c r="K148" s="2"/>
      <c r="L148" s="2"/>
      <c r="M148" s="2">
        <v>10</v>
      </c>
      <c r="N148" s="2">
        <v>0</v>
      </c>
      <c r="O148" s="2" t="s">
        <v>42</v>
      </c>
      <c r="P148" s="2" t="s">
        <v>43</v>
      </c>
      <c r="Q148" s="2"/>
      <c r="R148" s="2" t="s">
        <v>44</v>
      </c>
      <c r="S148" s="2">
        <v>8250215703</v>
      </c>
      <c r="T148" s="2" t="s">
        <v>659</v>
      </c>
      <c r="U148" s="2"/>
      <c r="V148" s="2">
        <v>9001008683</v>
      </c>
      <c r="W148" s="2" t="s">
        <v>660</v>
      </c>
      <c r="X148" s="2">
        <v>20000</v>
      </c>
      <c r="Y148" s="2" t="s">
        <v>46</v>
      </c>
      <c r="Z148" s="2" t="s">
        <v>46</v>
      </c>
      <c r="AA148" s="2" t="s">
        <v>47</v>
      </c>
      <c r="AB148" s="2">
        <v>15</v>
      </c>
      <c r="AC148" s="2" t="s">
        <v>48</v>
      </c>
      <c r="AD148" s="2">
        <v>1</v>
      </c>
    </row>
    <row r="149" spans="1:30" ht="30" x14ac:dyDescent="0.25">
      <c r="A149" s="2">
        <v>8</v>
      </c>
      <c r="B149" s="2" t="s">
        <v>37</v>
      </c>
      <c r="C149" s="2">
        <v>12252</v>
      </c>
      <c r="D149" s="3">
        <v>42548</v>
      </c>
      <c r="E149" s="2" t="s">
        <v>661</v>
      </c>
      <c r="F149" s="2"/>
      <c r="G149" s="2" t="s">
        <v>662</v>
      </c>
      <c r="H149" s="2" t="s">
        <v>663</v>
      </c>
      <c r="I149" s="2" t="s">
        <v>52</v>
      </c>
      <c r="J149" s="3">
        <v>39716</v>
      </c>
      <c r="K149" s="2"/>
      <c r="L149" s="2"/>
      <c r="M149" s="2">
        <v>10</v>
      </c>
      <c r="N149" s="2">
        <v>8</v>
      </c>
      <c r="O149" s="2" t="s">
        <v>53</v>
      </c>
      <c r="P149" s="2" t="s">
        <v>43</v>
      </c>
      <c r="Q149" s="2"/>
      <c r="R149" s="2" t="s">
        <v>44</v>
      </c>
      <c r="S149" s="2">
        <v>8250215703</v>
      </c>
      <c r="T149" s="2" t="s">
        <v>664</v>
      </c>
      <c r="U149" s="2"/>
      <c r="V149" s="2">
        <v>9509409573</v>
      </c>
      <c r="W149" s="2" t="s">
        <v>371</v>
      </c>
      <c r="X149" s="2">
        <v>40000</v>
      </c>
      <c r="Y149" s="2" t="s">
        <v>46</v>
      </c>
      <c r="Z149" s="2" t="s">
        <v>46</v>
      </c>
      <c r="AA149" s="2" t="s">
        <v>47</v>
      </c>
      <c r="AB149" s="2">
        <v>13</v>
      </c>
      <c r="AC149" s="2" t="s">
        <v>48</v>
      </c>
      <c r="AD149" s="2">
        <v>1</v>
      </c>
    </row>
    <row r="150" spans="1:30" ht="30" x14ac:dyDescent="0.25">
      <c r="A150" s="2">
        <v>8</v>
      </c>
      <c r="B150" s="2" t="s">
        <v>37</v>
      </c>
      <c r="C150" s="2">
        <v>13947</v>
      </c>
      <c r="D150" s="3">
        <v>44426</v>
      </c>
      <c r="E150" s="2" t="s">
        <v>665</v>
      </c>
      <c r="F150" s="2"/>
      <c r="G150" s="2" t="s">
        <v>666</v>
      </c>
      <c r="H150" s="2" t="s">
        <v>139</v>
      </c>
      <c r="I150" s="2" t="s">
        <v>41</v>
      </c>
      <c r="J150" s="3">
        <v>39404</v>
      </c>
      <c r="K150" s="2"/>
      <c r="L150" s="2"/>
      <c r="M150" s="2">
        <v>10</v>
      </c>
      <c r="N150" s="2">
        <v>7</v>
      </c>
      <c r="O150" s="2" t="s">
        <v>53</v>
      </c>
      <c r="P150" s="2" t="s">
        <v>43</v>
      </c>
      <c r="Q150" s="2"/>
      <c r="R150" s="2" t="s">
        <v>44</v>
      </c>
      <c r="S150" s="2">
        <v>8250215703</v>
      </c>
      <c r="T150" s="2" t="s">
        <v>667</v>
      </c>
      <c r="U150" s="2"/>
      <c r="V150" s="2">
        <v>9636098343</v>
      </c>
      <c r="W150" s="2" t="s">
        <v>668</v>
      </c>
      <c r="X150" s="2">
        <v>0</v>
      </c>
      <c r="Y150" s="2" t="s">
        <v>46</v>
      </c>
      <c r="Z150" s="2" t="s">
        <v>46</v>
      </c>
      <c r="AA150" s="2" t="s">
        <v>47</v>
      </c>
      <c r="AB150" s="2">
        <v>14</v>
      </c>
      <c r="AC150" s="2" t="s">
        <v>48</v>
      </c>
      <c r="AD150" s="2">
        <v>4</v>
      </c>
    </row>
    <row r="151" spans="1:30" ht="30" x14ac:dyDescent="0.25">
      <c r="A151" s="2">
        <v>8</v>
      </c>
      <c r="B151" s="2" t="s">
        <v>37</v>
      </c>
      <c r="C151" s="2">
        <v>12257</v>
      </c>
      <c r="D151" s="3">
        <v>42548</v>
      </c>
      <c r="E151" s="2" t="s">
        <v>669</v>
      </c>
      <c r="F151" s="2"/>
      <c r="G151" s="2" t="s">
        <v>670</v>
      </c>
      <c r="H151" s="2" t="s">
        <v>671</v>
      </c>
      <c r="I151" s="2" t="s">
        <v>41</v>
      </c>
      <c r="J151" s="3">
        <v>39514</v>
      </c>
      <c r="K151" s="2"/>
      <c r="L151" s="2"/>
      <c r="M151" s="2">
        <v>10</v>
      </c>
      <c r="N151" s="2">
        <v>9</v>
      </c>
      <c r="O151" s="2" t="s">
        <v>53</v>
      </c>
      <c r="P151" s="2" t="s">
        <v>43</v>
      </c>
      <c r="Q151" s="2"/>
      <c r="R151" s="2" t="s">
        <v>44</v>
      </c>
      <c r="S151" s="2">
        <v>8250215703</v>
      </c>
      <c r="T151" s="2" t="s">
        <v>672</v>
      </c>
      <c r="U151" s="2"/>
      <c r="V151" s="2">
        <v>9549722078</v>
      </c>
      <c r="W151" s="2" t="s">
        <v>673</v>
      </c>
      <c r="X151" s="2">
        <v>50000</v>
      </c>
      <c r="Y151" s="2" t="s">
        <v>46</v>
      </c>
      <c r="Z151" s="2" t="s">
        <v>46</v>
      </c>
      <c r="AA151" s="2" t="s">
        <v>47</v>
      </c>
      <c r="AB151" s="2">
        <v>13</v>
      </c>
      <c r="AC151" s="2" t="s">
        <v>48</v>
      </c>
      <c r="AD151" s="2">
        <v>1</v>
      </c>
    </row>
    <row r="152" spans="1:30" ht="30" x14ac:dyDescent="0.25">
      <c r="A152" s="2">
        <v>8</v>
      </c>
      <c r="B152" s="2" t="s">
        <v>37</v>
      </c>
      <c r="C152" s="2">
        <v>13956</v>
      </c>
      <c r="D152" s="3">
        <v>44436</v>
      </c>
      <c r="E152" s="2" t="s">
        <v>674</v>
      </c>
      <c r="F152" s="2"/>
      <c r="G152" s="2" t="s">
        <v>675</v>
      </c>
      <c r="H152" s="2" t="s">
        <v>676</v>
      </c>
      <c r="I152" s="2" t="s">
        <v>41</v>
      </c>
      <c r="J152" s="3">
        <v>39480</v>
      </c>
      <c r="K152" s="2"/>
      <c r="L152" s="2"/>
      <c r="M152" s="2">
        <v>10</v>
      </c>
      <c r="N152" s="2">
        <v>8</v>
      </c>
      <c r="O152" s="2" t="s">
        <v>78</v>
      </c>
      <c r="P152" s="2" t="s">
        <v>43</v>
      </c>
      <c r="Q152" s="2"/>
      <c r="R152" s="2" t="s">
        <v>44</v>
      </c>
      <c r="S152" s="2">
        <v>8250215703</v>
      </c>
      <c r="T152" s="2" t="s">
        <v>677</v>
      </c>
      <c r="U152" s="2" t="s">
        <v>678</v>
      </c>
      <c r="V152" s="2">
        <v>9460682073</v>
      </c>
      <c r="W152" s="2" t="s">
        <v>679</v>
      </c>
      <c r="X152" s="2">
        <v>30000</v>
      </c>
      <c r="Y152" s="2" t="s">
        <v>46</v>
      </c>
      <c r="Z152" s="2" t="s">
        <v>46</v>
      </c>
      <c r="AA152" s="2" t="s">
        <v>47</v>
      </c>
      <c r="AB152" s="2">
        <v>13</v>
      </c>
      <c r="AC152" s="2" t="s">
        <v>48</v>
      </c>
      <c r="AD152" s="2">
        <v>0.5</v>
      </c>
    </row>
    <row r="153" spans="1:30" ht="30" x14ac:dyDescent="0.25">
      <c r="A153" s="2">
        <v>8</v>
      </c>
      <c r="B153" s="2" t="s">
        <v>37</v>
      </c>
      <c r="C153" s="2">
        <v>13388</v>
      </c>
      <c r="D153" s="3">
        <v>43664</v>
      </c>
      <c r="E153" s="2" t="s">
        <v>680</v>
      </c>
      <c r="F153" s="2"/>
      <c r="G153" s="2" t="s">
        <v>681</v>
      </c>
      <c r="H153" s="2" t="s">
        <v>682</v>
      </c>
      <c r="I153" s="2" t="s">
        <v>41</v>
      </c>
      <c r="J153" s="3">
        <v>39417</v>
      </c>
      <c r="K153" s="2"/>
      <c r="L153" s="2"/>
      <c r="M153" s="2">
        <v>10</v>
      </c>
      <c r="N153" s="2">
        <v>6</v>
      </c>
      <c r="O153" s="2" t="s">
        <v>42</v>
      </c>
      <c r="P153" s="2" t="s">
        <v>43</v>
      </c>
      <c r="Q153" s="2"/>
      <c r="R153" s="2" t="s">
        <v>44</v>
      </c>
      <c r="S153" s="2">
        <v>8250215703</v>
      </c>
      <c r="T153" s="2" t="s">
        <v>683</v>
      </c>
      <c r="U153" s="2"/>
      <c r="V153" s="2">
        <v>9602109621</v>
      </c>
      <c r="W153" s="2" t="s">
        <v>420</v>
      </c>
      <c r="X153" s="2">
        <v>36000</v>
      </c>
      <c r="Y153" s="2" t="s">
        <v>46</v>
      </c>
      <c r="Z153" s="2" t="s">
        <v>46</v>
      </c>
      <c r="AA153" s="2" t="s">
        <v>47</v>
      </c>
      <c r="AB153" s="2">
        <v>14</v>
      </c>
      <c r="AC153" s="2" t="s">
        <v>48</v>
      </c>
      <c r="AD153" s="2">
        <v>1</v>
      </c>
    </row>
    <row r="154" spans="1:30" ht="30" x14ac:dyDescent="0.25">
      <c r="A154" s="2">
        <v>8</v>
      </c>
      <c r="B154" s="2" t="s">
        <v>37</v>
      </c>
      <c r="C154" s="2">
        <v>13022</v>
      </c>
      <c r="D154" s="3">
        <v>43284</v>
      </c>
      <c r="E154" s="2" t="s">
        <v>684</v>
      </c>
      <c r="F154" s="2"/>
      <c r="G154" s="2" t="s">
        <v>685</v>
      </c>
      <c r="H154" s="2" t="s">
        <v>686</v>
      </c>
      <c r="I154" s="2" t="s">
        <v>41</v>
      </c>
      <c r="J154" s="3">
        <v>39619</v>
      </c>
      <c r="K154" s="2"/>
      <c r="L154" s="2"/>
      <c r="M154" s="2">
        <v>10</v>
      </c>
      <c r="N154" s="2">
        <v>6</v>
      </c>
      <c r="O154" s="2" t="s">
        <v>53</v>
      </c>
      <c r="P154" s="2" t="s">
        <v>43</v>
      </c>
      <c r="Q154" s="2"/>
      <c r="R154" s="2" t="s">
        <v>44</v>
      </c>
      <c r="S154" s="2">
        <v>8250215703</v>
      </c>
      <c r="T154" s="2" t="s">
        <v>687</v>
      </c>
      <c r="U154" s="2" t="s">
        <v>688</v>
      </c>
      <c r="V154" s="2">
        <v>9672419981</v>
      </c>
      <c r="W154" s="2" t="s">
        <v>689</v>
      </c>
      <c r="X154" s="2">
        <v>36000</v>
      </c>
      <c r="Y154" s="2" t="s">
        <v>46</v>
      </c>
      <c r="Z154" s="2" t="s">
        <v>46</v>
      </c>
      <c r="AA154" s="2" t="s">
        <v>47</v>
      </c>
      <c r="AB154" s="2">
        <v>13</v>
      </c>
      <c r="AC154" s="2" t="s">
        <v>48</v>
      </c>
      <c r="AD154" s="2">
        <v>1</v>
      </c>
    </row>
    <row r="155" spans="1:30" ht="30" x14ac:dyDescent="0.25">
      <c r="A155" s="2">
        <v>8</v>
      </c>
      <c r="B155" s="2" t="s">
        <v>37</v>
      </c>
      <c r="C155" s="2">
        <v>12243</v>
      </c>
      <c r="D155" s="3">
        <v>42548</v>
      </c>
      <c r="E155" s="2" t="s">
        <v>690</v>
      </c>
      <c r="F155" s="2"/>
      <c r="G155" s="2" t="s">
        <v>691</v>
      </c>
      <c r="H155" s="2" t="s">
        <v>231</v>
      </c>
      <c r="I155" s="2" t="s">
        <v>52</v>
      </c>
      <c r="J155" s="3">
        <v>40179</v>
      </c>
      <c r="K155" s="2"/>
      <c r="L155" s="2"/>
      <c r="M155" s="2">
        <v>10</v>
      </c>
      <c r="N155" s="2">
        <v>7</v>
      </c>
      <c r="O155" s="2" t="s">
        <v>78</v>
      </c>
      <c r="P155" s="2" t="s">
        <v>43</v>
      </c>
      <c r="Q155" s="2"/>
      <c r="R155" s="2" t="s">
        <v>44</v>
      </c>
      <c r="S155" s="2">
        <v>8250215703</v>
      </c>
      <c r="T155" s="2" t="s">
        <v>692</v>
      </c>
      <c r="U155" s="2"/>
      <c r="V155" s="2">
        <v>9784881014</v>
      </c>
      <c r="W155" s="2" t="s">
        <v>655</v>
      </c>
      <c r="X155" s="2">
        <v>36000</v>
      </c>
      <c r="Y155" s="2" t="s">
        <v>46</v>
      </c>
      <c r="Z155" s="2" t="s">
        <v>46</v>
      </c>
      <c r="AA155" s="2" t="s">
        <v>47</v>
      </c>
      <c r="AB155" s="2">
        <v>11</v>
      </c>
      <c r="AC155" s="2" t="s">
        <v>48</v>
      </c>
      <c r="AD155" s="2">
        <v>1</v>
      </c>
    </row>
    <row r="156" spans="1:30" ht="30" x14ac:dyDescent="0.25">
      <c r="A156" s="2">
        <v>8</v>
      </c>
      <c r="B156" s="2" t="s">
        <v>37</v>
      </c>
      <c r="C156" s="2">
        <v>12681</v>
      </c>
      <c r="D156" s="3">
        <v>42914</v>
      </c>
      <c r="E156" s="2" t="s">
        <v>693</v>
      </c>
      <c r="F156" s="2"/>
      <c r="G156" s="2" t="s">
        <v>694</v>
      </c>
      <c r="H156" s="2" t="s">
        <v>695</v>
      </c>
      <c r="I156" s="2" t="s">
        <v>52</v>
      </c>
      <c r="J156" s="3">
        <v>39735</v>
      </c>
      <c r="K156" s="2"/>
      <c r="L156" s="2"/>
      <c r="M156" s="2">
        <v>10</v>
      </c>
      <c r="N156" s="2">
        <v>4</v>
      </c>
      <c r="O156" s="2" t="s">
        <v>53</v>
      </c>
      <c r="P156" s="2" t="s">
        <v>43</v>
      </c>
      <c r="Q156" s="2"/>
      <c r="R156" s="2" t="s">
        <v>44</v>
      </c>
      <c r="S156" s="2">
        <v>8250215703</v>
      </c>
      <c r="T156" s="2" t="s">
        <v>696</v>
      </c>
      <c r="U156" s="2"/>
      <c r="V156" s="2">
        <v>9660141411</v>
      </c>
      <c r="W156" s="2" t="s">
        <v>697</v>
      </c>
      <c r="X156" s="2">
        <v>50000</v>
      </c>
      <c r="Y156" s="2" t="s">
        <v>46</v>
      </c>
      <c r="Z156" s="2" t="s">
        <v>46</v>
      </c>
      <c r="AA156" s="2" t="s">
        <v>47</v>
      </c>
      <c r="AB156" s="2">
        <v>13</v>
      </c>
      <c r="AC156" s="2" t="s">
        <v>48</v>
      </c>
      <c r="AD156" s="2">
        <v>1</v>
      </c>
    </row>
    <row r="157" spans="1:30" ht="30" x14ac:dyDescent="0.25">
      <c r="A157" s="2">
        <v>8</v>
      </c>
      <c r="B157" s="2" t="s">
        <v>37</v>
      </c>
      <c r="C157" s="2">
        <v>12251</v>
      </c>
      <c r="D157" s="3">
        <v>42548</v>
      </c>
      <c r="E157" s="2" t="s">
        <v>698</v>
      </c>
      <c r="F157" s="2"/>
      <c r="G157" s="2" t="s">
        <v>699</v>
      </c>
      <c r="H157" s="2" t="s">
        <v>700</v>
      </c>
      <c r="I157" s="2" t="s">
        <v>41</v>
      </c>
      <c r="J157" s="3">
        <v>38758</v>
      </c>
      <c r="K157" s="2"/>
      <c r="L157" s="2"/>
      <c r="M157" s="2">
        <v>10</v>
      </c>
      <c r="N157" s="2">
        <v>0</v>
      </c>
      <c r="O157" s="2" t="s">
        <v>53</v>
      </c>
      <c r="P157" s="2" t="s">
        <v>43</v>
      </c>
      <c r="Q157" s="2"/>
      <c r="R157" s="2" t="s">
        <v>44</v>
      </c>
      <c r="S157" s="2">
        <v>8250215703</v>
      </c>
      <c r="T157" s="2" t="s">
        <v>701</v>
      </c>
      <c r="U157" s="2"/>
      <c r="V157" s="2">
        <v>9571998943</v>
      </c>
      <c r="W157" s="2" t="s">
        <v>509</v>
      </c>
      <c r="X157" s="2">
        <v>36000</v>
      </c>
      <c r="Y157" s="2" t="s">
        <v>46</v>
      </c>
      <c r="Z157" s="2" t="s">
        <v>46</v>
      </c>
      <c r="AA157" s="2" t="s">
        <v>47</v>
      </c>
      <c r="AB157" s="2">
        <v>15</v>
      </c>
      <c r="AC157" s="2" t="s">
        <v>48</v>
      </c>
      <c r="AD157" s="2">
        <v>0</v>
      </c>
    </row>
    <row r="158" spans="1:30" ht="30" x14ac:dyDescent="0.25">
      <c r="A158" s="2">
        <v>8</v>
      </c>
      <c r="B158" s="2" t="s">
        <v>37</v>
      </c>
      <c r="C158" s="2">
        <v>12242</v>
      </c>
      <c r="D158" s="3">
        <v>42548</v>
      </c>
      <c r="E158" s="2" t="s">
        <v>702</v>
      </c>
      <c r="F158" s="2"/>
      <c r="G158" s="2" t="s">
        <v>703</v>
      </c>
      <c r="H158" s="2" t="s">
        <v>700</v>
      </c>
      <c r="I158" s="2" t="s">
        <v>52</v>
      </c>
      <c r="J158" s="3">
        <v>39851</v>
      </c>
      <c r="K158" s="2"/>
      <c r="L158" s="2"/>
      <c r="M158" s="2">
        <v>10</v>
      </c>
      <c r="N158" s="2">
        <v>8</v>
      </c>
      <c r="O158" s="2" t="s">
        <v>53</v>
      </c>
      <c r="P158" s="2" t="s">
        <v>43</v>
      </c>
      <c r="Q158" s="2"/>
      <c r="R158" s="2" t="s">
        <v>44</v>
      </c>
      <c r="S158" s="2">
        <v>8250215703</v>
      </c>
      <c r="T158" s="2" t="s">
        <v>704</v>
      </c>
      <c r="U158" s="2"/>
      <c r="V158" s="2">
        <v>6378382563</v>
      </c>
      <c r="W158" s="2" t="s">
        <v>523</v>
      </c>
      <c r="X158" s="2">
        <v>36000</v>
      </c>
      <c r="Y158" s="2" t="s">
        <v>46</v>
      </c>
      <c r="Z158" s="2" t="s">
        <v>46</v>
      </c>
      <c r="AA158" s="2" t="s">
        <v>47</v>
      </c>
      <c r="AB158" s="2">
        <v>12</v>
      </c>
      <c r="AC158" s="2" t="s">
        <v>48</v>
      </c>
      <c r="AD158" s="2">
        <v>1</v>
      </c>
    </row>
    <row r="159" spans="1:30" ht="30" x14ac:dyDescent="0.25">
      <c r="A159" s="2">
        <v>8</v>
      </c>
      <c r="B159" s="2" t="s">
        <v>37</v>
      </c>
      <c r="C159" s="2">
        <v>12259</v>
      </c>
      <c r="D159" s="3">
        <v>42548</v>
      </c>
      <c r="E159" s="2" t="s">
        <v>705</v>
      </c>
      <c r="F159" s="2"/>
      <c r="G159" s="2" t="s">
        <v>706</v>
      </c>
      <c r="H159" s="2" t="s">
        <v>707</v>
      </c>
      <c r="I159" s="2" t="s">
        <v>52</v>
      </c>
      <c r="J159" s="3">
        <v>39924</v>
      </c>
      <c r="K159" s="2"/>
      <c r="L159" s="2"/>
      <c r="M159" s="2">
        <v>10</v>
      </c>
      <c r="N159" s="2">
        <v>0</v>
      </c>
      <c r="O159" s="2" t="s">
        <v>53</v>
      </c>
      <c r="P159" s="2" t="s">
        <v>43</v>
      </c>
      <c r="Q159" s="2"/>
      <c r="R159" s="2" t="s">
        <v>44</v>
      </c>
      <c r="S159" s="2">
        <v>8250215703</v>
      </c>
      <c r="T159" s="2" t="s">
        <v>708</v>
      </c>
      <c r="U159" s="2"/>
      <c r="V159" s="2">
        <v>9664460217</v>
      </c>
      <c r="W159" s="2" t="s">
        <v>69</v>
      </c>
      <c r="X159" s="2">
        <v>50000</v>
      </c>
      <c r="Y159" s="2" t="s">
        <v>46</v>
      </c>
      <c r="Z159" s="2" t="s">
        <v>46</v>
      </c>
      <c r="AA159" s="2" t="s">
        <v>47</v>
      </c>
      <c r="AB159" s="2">
        <v>12</v>
      </c>
      <c r="AC159" s="2" t="s">
        <v>48</v>
      </c>
      <c r="AD159" s="2">
        <v>0</v>
      </c>
    </row>
    <row r="160" spans="1:30" ht="30" x14ac:dyDescent="0.25">
      <c r="A160" s="2">
        <v>8</v>
      </c>
      <c r="B160" s="2" t="s">
        <v>37</v>
      </c>
      <c r="C160" s="2">
        <v>13412</v>
      </c>
      <c r="D160" s="3">
        <v>43669</v>
      </c>
      <c r="E160" s="2" t="s">
        <v>709</v>
      </c>
      <c r="F160" s="2"/>
      <c r="G160" s="2" t="s">
        <v>710</v>
      </c>
      <c r="H160" s="2" t="s">
        <v>711</v>
      </c>
      <c r="I160" s="2" t="s">
        <v>41</v>
      </c>
      <c r="J160" s="3">
        <v>39536</v>
      </c>
      <c r="K160" s="2"/>
      <c r="L160" s="2"/>
      <c r="M160" s="2">
        <v>10</v>
      </c>
      <c r="N160" s="2">
        <v>7</v>
      </c>
      <c r="O160" s="2" t="s">
        <v>53</v>
      </c>
      <c r="P160" s="2" t="s">
        <v>43</v>
      </c>
      <c r="Q160" s="2"/>
      <c r="R160" s="2" t="s">
        <v>44</v>
      </c>
      <c r="S160" s="2">
        <v>8250215703</v>
      </c>
      <c r="T160" s="2" t="s">
        <v>712</v>
      </c>
      <c r="U160" s="2" t="s">
        <v>713</v>
      </c>
      <c r="V160" s="2">
        <v>6378417480</v>
      </c>
      <c r="W160" s="2" t="s">
        <v>714</v>
      </c>
      <c r="X160" s="2">
        <v>60000</v>
      </c>
      <c r="Y160" s="2" t="s">
        <v>46</v>
      </c>
      <c r="Z160" s="2" t="s">
        <v>46</v>
      </c>
      <c r="AA160" s="2" t="s">
        <v>47</v>
      </c>
      <c r="AB160" s="2">
        <v>13</v>
      </c>
      <c r="AC160" s="2" t="s">
        <v>48</v>
      </c>
      <c r="AD160" s="2">
        <v>1</v>
      </c>
    </row>
    <row r="161" spans="1:30" ht="30" x14ac:dyDescent="0.25">
      <c r="A161" s="2">
        <v>8</v>
      </c>
      <c r="B161" s="2" t="s">
        <v>37</v>
      </c>
      <c r="C161" s="2">
        <v>13986</v>
      </c>
      <c r="D161" s="3">
        <v>44454</v>
      </c>
      <c r="E161" s="2" t="s">
        <v>715</v>
      </c>
      <c r="F161" s="2"/>
      <c r="G161" s="2" t="s">
        <v>403</v>
      </c>
      <c r="H161" s="2" t="s">
        <v>243</v>
      </c>
      <c r="I161" s="2" t="s">
        <v>41</v>
      </c>
      <c r="J161" s="3">
        <v>39744</v>
      </c>
      <c r="K161" s="2"/>
      <c r="L161" s="2"/>
      <c r="M161" s="2">
        <v>10</v>
      </c>
      <c r="N161" s="2">
        <v>7</v>
      </c>
      <c r="O161" s="2" t="s">
        <v>53</v>
      </c>
      <c r="P161" s="2" t="s">
        <v>43</v>
      </c>
      <c r="Q161" s="2"/>
      <c r="R161" s="2" t="s">
        <v>44</v>
      </c>
      <c r="S161" s="2">
        <v>8250215703</v>
      </c>
      <c r="T161" s="2" t="s">
        <v>716</v>
      </c>
      <c r="U161" s="2" t="s">
        <v>717</v>
      </c>
      <c r="V161" s="2">
        <v>9784199808</v>
      </c>
      <c r="W161" s="2" t="s">
        <v>718</v>
      </c>
      <c r="X161" s="2">
        <v>36000</v>
      </c>
      <c r="Y161" s="2" t="s">
        <v>46</v>
      </c>
      <c r="Z161" s="2" t="s">
        <v>46</v>
      </c>
      <c r="AA161" s="2" t="s">
        <v>47</v>
      </c>
      <c r="AB161" s="2">
        <v>13</v>
      </c>
      <c r="AC161" s="2" t="s">
        <v>48</v>
      </c>
      <c r="AD161" s="2">
        <v>2</v>
      </c>
    </row>
    <row r="162" spans="1:30" ht="30" x14ac:dyDescent="0.25">
      <c r="A162" s="2">
        <v>8</v>
      </c>
      <c r="B162" s="2" t="s">
        <v>37</v>
      </c>
      <c r="C162" s="2">
        <v>13680</v>
      </c>
      <c r="D162" s="3">
        <v>44226</v>
      </c>
      <c r="E162" s="2" t="s">
        <v>719</v>
      </c>
      <c r="F162" s="2"/>
      <c r="G162" s="2" t="s">
        <v>720</v>
      </c>
      <c r="H162" s="2" t="s">
        <v>253</v>
      </c>
      <c r="I162" s="2" t="s">
        <v>52</v>
      </c>
      <c r="J162" s="3">
        <v>39635</v>
      </c>
      <c r="K162" s="2"/>
      <c r="L162" s="2"/>
      <c r="M162" s="2">
        <v>10</v>
      </c>
      <c r="N162" s="2">
        <v>7</v>
      </c>
      <c r="O162" s="2" t="s">
        <v>78</v>
      </c>
      <c r="P162" s="2" t="s">
        <v>43</v>
      </c>
      <c r="Q162" s="2"/>
      <c r="R162" s="2" t="s">
        <v>44</v>
      </c>
      <c r="S162" s="2">
        <v>8250215703</v>
      </c>
      <c r="T162" s="2" t="s">
        <v>721</v>
      </c>
      <c r="U162" s="2"/>
      <c r="V162" s="2">
        <v>9680070181</v>
      </c>
      <c r="W162" s="2" t="s">
        <v>255</v>
      </c>
      <c r="X162" s="2">
        <v>134000</v>
      </c>
      <c r="Y162" s="2" t="s">
        <v>46</v>
      </c>
      <c r="Z162" s="2" t="s">
        <v>46</v>
      </c>
      <c r="AA162" s="2" t="s">
        <v>47</v>
      </c>
      <c r="AB162" s="2">
        <v>13</v>
      </c>
      <c r="AC162" s="2" t="s">
        <v>48</v>
      </c>
      <c r="AD162" s="2">
        <v>2</v>
      </c>
    </row>
    <row r="163" spans="1:30" ht="30" x14ac:dyDescent="0.25">
      <c r="A163" s="2">
        <v>8</v>
      </c>
      <c r="B163" s="2" t="s">
        <v>37</v>
      </c>
      <c r="C163" s="2">
        <v>13021</v>
      </c>
      <c r="D163" s="3">
        <v>43284</v>
      </c>
      <c r="E163" s="2" t="s">
        <v>722</v>
      </c>
      <c r="F163" s="2"/>
      <c r="G163" s="2" t="s">
        <v>723</v>
      </c>
      <c r="H163" s="2" t="s">
        <v>724</v>
      </c>
      <c r="I163" s="2" t="s">
        <v>41</v>
      </c>
      <c r="J163" s="3">
        <v>39638</v>
      </c>
      <c r="K163" s="2"/>
      <c r="L163" s="2"/>
      <c r="M163" s="2">
        <v>10</v>
      </c>
      <c r="N163" s="2">
        <v>8</v>
      </c>
      <c r="O163" s="2" t="s">
        <v>53</v>
      </c>
      <c r="P163" s="2" t="s">
        <v>43</v>
      </c>
      <c r="Q163" s="2"/>
      <c r="R163" s="2" t="s">
        <v>44</v>
      </c>
      <c r="S163" s="2">
        <v>8250215703</v>
      </c>
      <c r="T163" s="2" t="s">
        <v>725</v>
      </c>
      <c r="U163" s="2" t="s">
        <v>726</v>
      </c>
      <c r="V163" s="2">
        <v>7023206468</v>
      </c>
      <c r="W163" s="2" t="s">
        <v>689</v>
      </c>
      <c r="X163" s="2">
        <v>0</v>
      </c>
      <c r="Y163" s="2" t="s">
        <v>46</v>
      </c>
      <c r="Z163" s="2" t="s">
        <v>46</v>
      </c>
      <c r="AA163" s="2" t="s">
        <v>47</v>
      </c>
      <c r="AB163" s="2">
        <v>13</v>
      </c>
      <c r="AC163" s="2" t="s">
        <v>48</v>
      </c>
      <c r="AD163" s="2">
        <v>1</v>
      </c>
    </row>
    <row r="164" spans="1:30" ht="30" x14ac:dyDescent="0.25">
      <c r="A164" s="2">
        <v>8</v>
      </c>
      <c r="B164" s="2" t="s">
        <v>37</v>
      </c>
      <c r="C164" s="2">
        <v>13329</v>
      </c>
      <c r="D164" s="3">
        <v>43658</v>
      </c>
      <c r="E164" s="2" t="s">
        <v>727</v>
      </c>
      <c r="F164" s="2"/>
      <c r="G164" s="2" t="s">
        <v>728</v>
      </c>
      <c r="H164" s="2" t="s">
        <v>729</v>
      </c>
      <c r="I164" s="2" t="s">
        <v>41</v>
      </c>
      <c r="J164" s="3">
        <v>39727</v>
      </c>
      <c r="K164" s="2"/>
      <c r="L164" s="2"/>
      <c r="M164" s="2">
        <v>10</v>
      </c>
      <c r="N164" s="2">
        <v>1</v>
      </c>
      <c r="O164" s="2" t="s">
        <v>42</v>
      </c>
      <c r="P164" s="2" t="s">
        <v>54</v>
      </c>
      <c r="Q164" s="2"/>
      <c r="R164" s="2" t="s">
        <v>44</v>
      </c>
      <c r="S164" s="2">
        <v>8250215703</v>
      </c>
      <c r="T164" s="2" t="s">
        <v>730</v>
      </c>
      <c r="U164" s="2" t="s">
        <v>731</v>
      </c>
      <c r="V164" s="2">
        <v>9904063509</v>
      </c>
      <c r="W164" s="2" t="s">
        <v>732</v>
      </c>
      <c r="X164" s="2">
        <v>60000</v>
      </c>
      <c r="Y164" s="2" t="s">
        <v>46</v>
      </c>
      <c r="Z164" s="2" t="s">
        <v>46</v>
      </c>
      <c r="AA164" s="2" t="s">
        <v>57</v>
      </c>
      <c r="AB164" s="2">
        <v>13</v>
      </c>
      <c r="AC164" s="2" t="s">
        <v>48</v>
      </c>
      <c r="AD164" s="2">
        <v>1</v>
      </c>
    </row>
    <row r="165" spans="1:30" ht="45" x14ac:dyDescent="0.25">
      <c r="A165" s="2">
        <v>8</v>
      </c>
      <c r="B165" s="2" t="s">
        <v>37</v>
      </c>
      <c r="C165" s="2">
        <v>13110</v>
      </c>
      <c r="D165" s="3">
        <v>43288</v>
      </c>
      <c r="E165" s="2" t="s">
        <v>733</v>
      </c>
      <c r="F165" s="2"/>
      <c r="G165" s="2" t="s">
        <v>734</v>
      </c>
      <c r="H165" s="2" t="s">
        <v>735</v>
      </c>
      <c r="I165" s="2" t="s">
        <v>41</v>
      </c>
      <c r="J165" s="3">
        <v>39495</v>
      </c>
      <c r="K165" s="2"/>
      <c r="L165" s="2"/>
      <c r="M165" s="2">
        <v>10</v>
      </c>
      <c r="N165" s="2">
        <v>7</v>
      </c>
      <c r="O165" s="2" t="s">
        <v>53</v>
      </c>
      <c r="P165" s="2" t="s">
        <v>43</v>
      </c>
      <c r="Q165" s="2"/>
      <c r="R165" s="2" t="s">
        <v>44</v>
      </c>
      <c r="S165" s="2">
        <v>8250215703</v>
      </c>
      <c r="T165" s="2" t="s">
        <v>736</v>
      </c>
      <c r="U165" s="2"/>
      <c r="V165" s="2">
        <v>9680070654</v>
      </c>
      <c r="W165" s="2" t="s">
        <v>737</v>
      </c>
      <c r="X165" s="2">
        <v>36000</v>
      </c>
      <c r="Y165" s="2" t="s">
        <v>46</v>
      </c>
      <c r="Z165" s="2" t="s">
        <v>46</v>
      </c>
      <c r="AA165" s="2" t="s">
        <v>47</v>
      </c>
      <c r="AB165" s="2">
        <v>13</v>
      </c>
      <c r="AC165" s="2" t="s">
        <v>48</v>
      </c>
      <c r="AD165" s="2">
        <v>1</v>
      </c>
    </row>
    <row r="166" spans="1:30" ht="30" x14ac:dyDescent="0.25">
      <c r="A166" s="2">
        <v>8</v>
      </c>
      <c r="B166" s="2" t="s">
        <v>37</v>
      </c>
      <c r="C166" s="2">
        <v>13414</v>
      </c>
      <c r="D166" s="3">
        <v>43671</v>
      </c>
      <c r="E166" s="2" t="s">
        <v>738</v>
      </c>
      <c r="F166" s="2"/>
      <c r="G166" s="2" t="s">
        <v>739</v>
      </c>
      <c r="H166" s="2" t="s">
        <v>103</v>
      </c>
      <c r="I166" s="2" t="s">
        <v>41</v>
      </c>
      <c r="J166" s="3">
        <v>39491</v>
      </c>
      <c r="K166" s="2"/>
      <c r="L166" s="2"/>
      <c r="M166" s="2">
        <v>10</v>
      </c>
      <c r="N166" s="2">
        <v>2</v>
      </c>
      <c r="O166" s="2" t="s">
        <v>53</v>
      </c>
      <c r="P166" s="2" t="s">
        <v>43</v>
      </c>
      <c r="Q166" s="2"/>
      <c r="R166" s="2" t="s">
        <v>44</v>
      </c>
      <c r="S166" s="2">
        <v>8250215703</v>
      </c>
      <c r="T166" s="2" t="s">
        <v>740</v>
      </c>
      <c r="U166" s="2" t="s">
        <v>741</v>
      </c>
      <c r="V166" s="2">
        <v>8000583134</v>
      </c>
      <c r="W166" s="2" t="s">
        <v>742</v>
      </c>
      <c r="X166" s="2">
        <v>36000</v>
      </c>
      <c r="Y166" s="2" t="s">
        <v>46</v>
      </c>
      <c r="Z166" s="2" t="s">
        <v>46</v>
      </c>
      <c r="AA166" s="2" t="s">
        <v>47</v>
      </c>
      <c r="AB166" s="2">
        <v>13</v>
      </c>
      <c r="AC166" s="2" t="s">
        <v>48</v>
      </c>
      <c r="AD166" s="2">
        <v>1</v>
      </c>
    </row>
    <row r="167" spans="1:30" ht="30" x14ac:dyDescent="0.25">
      <c r="A167" s="2">
        <v>8</v>
      </c>
      <c r="B167" s="2" t="s">
        <v>37</v>
      </c>
      <c r="C167" s="2">
        <v>13415</v>
      </c>
      <c r="D167" s="3">
        <v>43672</v>
      </c>
      <c r="E167" s="2" t="s">
        <v>743</v>
      </c>
      <c r="F167" s="2"/>
      <c r="G167" s="2" t="s">
        <v>744</v>
      </c>
      <c r="H167" s="2" t="s">
        <v>231</v>
      </c>
      <c r="I167" s="2" t="s">
        <v>41</v>
      </c>
      <c r="J167" s="3">
        <v>39778</v>
      </c>
      <c r="K167" s="2"/>
      <c r="L167" s="2"/>
      <c r="M167" s="2">
        <v>10</v>
      </c>
      <c r="N167" s="2">
        <v>4</v>
      </c>
      <c r="O167" s="2" t="s">
        <v>78</v>
      </c>
      <c r="P167" s="2" t="s">
        <v>43</v>
      </c>
      <c r="Q167" s="2"/>
      <c r="R167" s="2" t="s">
        <v>44</v>
      </c>
      <c r="S167" s="2">
        <v>8250215703</v>
      </c>
      <c r="T167" s="2" t="s">
        <v>438</v>
      </c>
      <c r="U167" s="2"/>
      <c r="V167" s="2">
        <v>7742762972</v>
      </c>
      <c r="W167" s="2" t="s">
        <v>745</v>
      </c>
      <c r="X167" s="2">
        <v>25000</v>
      </c>
      <c r="Y167" s="2" t="s">
        <v>46</v>
      </c>
      <c r="Z167" s="2" t="s">
        <v>46</v>
      </c>
      <c r="AA167" s="2" t="s">
        <v>47</v>
      </c>
      <c r="AB167" s="2">
        <v>13</v>
      </c>
      <c r="AC167" s="2" t="s">
        <v>48</v>
      </c>
      <c r="AD167" s="2">
        <v>1</v>
      </c>
    </row>
    <row r="168" spans="1:30" ht="30" x14ac:dyDescent="0.25">
      <c r="A168" s="2">
        <v>8</v>
      </c>
      <c r="B168" s="2" t="s">
        <v>37</v>
      </c>
      <c r="C168" s="2">
        <v>13129</v>
      </c>
      <c r="D168" s="3">
        <v>43299</v>
      </c>
      <c r="E168" s="2" t="s">
        <v>746</v>
      </c>
      <c r="F168" s="2"/>
      <c r="G168" s="2" t="s">
        <v>747</v>
      </c>
      <c r="H168" s="2" t="s">
        <v>748</v>
      </c>
      <c r="I168" s="2" t="s">
        <v>41</v>
      </c>
      <c r="J168" s="3">
        <v>38875</v>
      </c>
      <c r="K168" s="2"/>
      <c r="L168" s="2"/>
      <c r="M168" s="2">
        <v>10</v>
      </c>
      <c r="N168" s="2">
        <v>0</v>
      </c>
      <c r="O168" s="2" t="s">
        <v>53</v>
      </c>
      <c r="P168" s="2" t="s">
        <v>43</v>
      </c>
      <c r="Q168" s="2"/>
      <c r="R168" s="2" t="s">
        <v>44</v>
      </c>
      <c r="S168" s="2">
        <v>8250215703</v>
      </c>
      <c r="T168" s="2" t="s">
        <v>749</v>
      </c>
      <c r="U168" s="2"/>
      <c r="V168" s="2">
        <v>8511713806</v>
      </c>
      <c r="W168" s="2" t="s">
        <v>750</v>
      </c>
      <c r="X168" s="2">
        <v>36000</v>
      </c>
      <c r="Y168" s="2" t="s">
        <v>46</v>
      </c>
      <c r="Z168" s="2" t="s">
        <v>46</v>
      </c>
      <c r="AA168" s="2" t="s">
        <v>47</v>
      </c>
      <c r="AB168" s="2">
        <v>15</v>
      </c>
      <c r="AC168" s="2" t="s">
        <v>48</v>
      </c>
      <c r="AD168" s="2">
        <v>45</v>
      </c>
    </row>
    <row r="169" spans="1:30" ht="30" x14ac:dyDescent="0.25">
      <c r="A169" s="2">
        <v>8</v>
      </c>
      <c r="B169" s="2" t="s">
        <v>37</v>
      </c>
      <c r="C169" s="2">
        <v>13719</v>
      </c>
      <c r="D169" s="3">
        <v>44389</v>
      </c>
      <c r="E169" s="2" t="s">
        <v>751</v>
      </c>
      <c r="F169" s="2"/>
      <c r="G169" s="2" t="s">
        <v>752</v>
      </c>
      <c r="H169" s="2" t="s">
        <v>753</v>
      </c>
      <c r="I169" s="2" t="s">
        <v>41</v>
      </c>
      <c r="J169" s="3">
        <v>38840</v>
      </c>
      <c r="K169" s="2"/>
      <c r="L169" s="2"/>
      <c r="M169" s="2">
        <v>10</v>
      </c>
      <c r="N169" s="2">
        <v>5</v>
      </c>
      <c r="O169" s="2" t="s">
        <v>42</v>
      </c>
      <c r="P169" s="2" t="s">
        <v>43</v>
      </c>
      <c r="Q169" s="2"/>
      <c r="R169" s="2" t="s">
        <v>44</v>
      </c>
      <c r="S169" s="2">
        <v>8250215703</v>
      </c>
      <c r="T169" s="2" t="s">
        <v>754</v>
      </c>
      <c r="U169" s="2"/>
      <c r="V169" s="2">
        <v>7976756197</v>
      </c>
      <c r="W169" s="2" t="s">
        <v>755</v>
      </c>
      <c r="X169" s="2">
        <v>60000</v>
      </c>
      <c r="Y169" s="2" t="s">
        <v>46</v>
      </c>
      <c r="Z169" s="2" t="s">
        <v>46</v>
      </c>
      <c r="AA169" s="2" t="s">
        <v>47</v>
      </c>
      <c r="AB169" s="2">
        <v>15</v>
      </c>
      <c r="AC169" s="2" t="s">
        <v>48</v>
      </c>
      <c r="AD169" s="2">
        <v>5</v>
      </c>
    </row>
    <row r="170" spans="1:30" ht="30" x14ac:dyDescent="0.25">
      <c r="A170" s="2">
        <v>8</v>
      </c>
      <c r="B170" s="2" t="s">
        <v>37</v>
      </c>
      <c r="C170" s="2">
        <v>12250</v>
      </c>
      <c r="D170" s="3">
        <v>42548</v>
      </c>
      <c r="E170" s="2" t="s">
        <v>756</v>
      </c>
      <c r="F170" s="2"/>
      <c r="G170" s="2" t="s">
        <v>699</v>
      </c>
      <c r="H170" s="2" t="s">
        <v>700</v>
      </c>
      <c r="I170" s="2" t="s">
        <v>41</v>
      </c>
      <c r="J170" s="3">
        <v>39126</v>
      </c>
      <c r="K170" s="2"/>
      <c r="L170" s="2"/>
      <c r="M170" s="2">
        <v>10</v>
      </c>
      <c r="N170" s="2">
        <v>0</v>
      </c>
      <c r="O170" s="2" t="s">
        <v>53</v>
      </c>
      <c r="P170" s="2" t="s">
        <v>43</v>
      </c>
      <c r="Q170" s="2"/>
      <c r="R170" s="2" t="s">
        <v>44</v>
      </c>
      <c r="S170" s="2">
        <v>8250215703</v>
      </c>
      <c r="T170" s="2" t="s">
        <v>757</v>
      </c>
      <c r="U170" s="2"/>
      <c r="V170" s="2">
        <v>9571998943</v>
      </c>
      <c r="W170" s="2" t="s">
        <v>509</v>
      </c>
      <c r="X170" s="2">
        <v>36000</v>
      </c>
      <c r="Y170" s="2" t="s">
        <v>46</v>
      </c>
      <c r="Z170" s="2" t="s">
        <v>46</v>
      </c>
      <c r="AA170" s="2" t="s">
        <v>47</v>
      </c>
      <c r="AB170" s="2">
        <v>14</v>
      </c>
      <c r="AC170" s="2" t="s">
        <v>48</v>
      </c>
      <c r="AD170" s="2">
        <v>0</v>
      </c>
    </row>
    <row r="171" spans="1:30" ht="30" x14ac:dyDescent="0.25">
      <c r="A171" s="2">
        <v>8</v>
      </c>
      <c r="B171" s="2" t="s">
        <v>37</v>
      </c>
      <c r="C171" s="2">
        <v>13344</v>
      </c>
      <c r="D171" s="3">
        <v>43659</v>
      </c>
      <c r="E171" s="2" t="s">
        <v>758</v>
      </c>
      <c r="F171" s="2"/>
      <c r="G171" s="2" t="s">
        <v>759</v>
      </c>
      <c r="H171" s="2" t="s">
        <v>595</v>
      </c>
      <c r="I171" s="2" t="s">
        <v>41</v>
      </c>
      <c r="J171" s="3">
        <v>39427</v>
      </c>
      <c r="K171" s="2"/>
      <c r="L171" s="2"/>
      <c r="M171" s="2">
        <v>10</v>
      </c>
      <c r="N171" s="2">
        <v>5</v>
      </c>
      <c r="O171" s="2" t="s">
        <v>53</v>
      </c>
      <c r="P171" s="2" t="s">
        <v>43</v>
      </c>
      <c r="Q171" s="2"/>
      <c r="R171" s="2" t="s">
        <v>44</v>
      </c>
      <c r="S171" s="2">
        <v>8250215703</v>
      </c>
      <c r="T171" s="2" t="s">
        <v>760</v>
      </c>
      <c r="U171" s="2" t="s">
        <v>761</v>
      </c>
      <c r="V171" s="2">
        <v>7877616055</v>
      </c>
      <c r="W171" s="2" t="s">
        <v>762</v>
      </c>
      <c r="X171" s="2">
        <v>36000</v>
      </c>
      <c r="Y171" s="2" t="s">
        <v>46</v>
      </c>
      <c r="Z171" s="2" t="s">
        <v>46</v>
      </c>
      <c r="AA171" s="2" t="s">
        <v>47</v>
      </c>
      <c r="AB171" s="2">
        <v>14</v>
      </c>
      <c r="AC171" s="2" t="s">
        <v>48</v>
      </c>
      <c r="AD171" s="2">
        <v>1</v>
      </c>
    </row>
    <row r="172" spans="1:30" ht="30" x14ac:dyDescent="0.25">
      <c r="A172" s="2">
        <v>8</v>
      </c>
      <c r="B172" s="2" t="s">
        <v>37</v>
      </c>
      <c r="C172" s="2">
        <v>13327</v>
      </c>
      <c r="D172" s="3">
        <v>43658</v>
      </c>
      <c r="E172" s="2" t="s">
        <v>763</v>
      </c>
      <c r="F172" s="2"/>
      <c r="G172" s="2" t="s">
        <v>455</v>
      </c>
      <c r="H172" s="2" t="s">
        <v>210</v>
      </c>
      <c r="I172" s="2" t="s">
        <v>41</v>
      </c>
      <c r="J172" s="3">
        <v>39165</v>
      </c>
      <c r="K172" s="2"/>
      <c r="L172" s="2"/>
      <c r="M172" s="2">
        <v>10</v>
      </c>
      <c r="N172" s="2">
        <v>6</v>
      </c>
      <c r="O172" s="2" t="s">
        <v>53</v>
      </c>
      <c r="P172" s="2" t="s">
        <v>43</v>
      </c>
      <c r="Q172" s="2"/>
      <c r="R172" s="2" t="s">
        <v>44</v>
      </c>
      <c r="S172" s="2">
        <v>8250215703</v>
      </c>
      <c r="T172" s="2" t="s">
        <v>764</v>
      </c>
      <c r="U172" s="2" t="s">
        <v>457</v>
      </c>
      <c r="V172" s="2">
        <v>9511584492</v>
      </c>
      <c r="W172" s="2" t="s">
        <v>765</v>
      </c>
      <c r="X172" s="2">
        <v>36000</v>
      </c>
      <c r="Y172" s="2" t="s">
        <v>46</v>
      </c>
      <c r="Z172" s="2" t="s">
        <v>46</v>
      </c>
      <c r="AA172" s="2" t="s">
        <v>47</v>
      </c>
      <c r="AB172" s="2">
        <v>14</v>
      </c>
      <c r="AC172" s="2" t="s">
        <v>48</v>
      </c>
      <c r="AD172" s="2">
        <v>5</v>
      </c>
    </row>
    <row r="173" spans="1:30" ht="30" x14ac:dyDescent="0.25">
      <c r="A173" s="2">
        <v>8</v>
      </c>
      <c r="B173" s="2" t="s">
        <v>37</v>
      </c>
      <c r="C173" s="2">
        <v>13348</v>
      </c>
      <c r="D173" s="3">
        <v>43661</v>
      </c>
      <c r="E173" s="2" t="s">
        <v>766</v>
      </c>
      <c r="F173" s="2"/>
      <c r="G173" s="2" t="s">
        <v>767</v>
      </c>
      <c r="H173" s="2" t="s">
        <v>429</v>
      </c>
      <c r="I173" s="2" t="s">
        <v>41</v>
      </c>
      <c r="J173" s="3">
        <v>39722</v>
      </c>
      <c r="K173" s="2"/>
      <c r="L173" s="2"/>
      <c r="M173" s="2">
        <v>10</v>
      </c>
      <c r="N173" s="2">
        <v>0</v>
      </c>
      <c r="O173" s="2" t="s">
        <v>78</v>
      </c>
      <c r="P173" s="2" t="s">
        <v>43</v>
      </c>
      <c r="Q173" s="2"/>
      <c r="R173" s="2" t="s">
        <v>44</v>
      </c>
      <c r="S173" s="2">
        <v>8250215703</v>
      </c>
      <c r="T173" s="2" t="s">
        <v>768</v>
      </c>
      <c r="U173" s="2" t="s">
        <v>769</v>
      </c>
      <c r="V173" s="2">
        <v>9829248838</v>
      </c>
      <c r="W173" s="2" t="s">
        <v>770</v>
      </c>
      <c r="X173" s="2">
        <v>36000</v>
      </c>
      <c r="Y173" s="2" t="s">
        <v>46</v>
      </c>
      <c r="Z173" s="2" t="s">
        <v>46</v>
      </c>
      <c r="AA173" s="2" t="s">
        <v>47</v>
      </c>
      <c r="AB173" s="2">
        <v>13</v>
      </c>
      <c r="AC173" s="2" t="s">
        <v>48</v>
      </c>
      <c r="AD173" s="2">
        <v>30</v>
      </c>
    </row>
    <row r="174" spans="1:30" ht="30" x14ac:dyDescent="0.25">
      <c r="A174" s="2">
        <v>8</v>
      </c>
      <c r="B174" s="2" t="s">
        <v>37</v>
      </c>
      <c r="C174" s="2">
        <v>13955</v>
      </c>
      <c r="D174" s="3">
        <v>44436</v>
      </c>
      <c r="E174" s="2" t="s">
        <v>771</v>
      </c>
      <c r="F174" s="2"/>
      <c r="G174" s="2" t="s">
        <v>772</v>
      </c>
      <c r="H174" s="2" t="s">
        <v>286</v>
      </c>
      <c r="I174" s="2" t="s">
        <v>41</v>
      </c>
      <c r="J174" s="3">
        <v>39087</v>
      </c>
      <c r="K174" s="2"/>
      <c r="L174" s="2"/>
      <c r="M174" s="2">
        <v>10</v>
      </c>
      <c r="N174" s="2">
        <v>8</v>
      </c>
      <c r="O174" s="2" t="s">
        <v>773</v>
      </c>
      <c r="P174" s="2" t="s">
        <v>43</v>
      </c>
      <c r="Q174" s="2"/>
      <c r="R174" s="2" t="s">
        <v>44</v>
      </c>
      <c r="S174" s="2">
        <v>8250215703</v>
      </c>
      <c r="T174" s="2" t="s">
        <v>774</v>
      </c>
      <c r="U174" s="2" t="s">
        <v>775</v>
      </c>
      <c r="V174" s="2">
        <v>9783524329</v>
      </c>
      <c r="W174" s="2" t="s">
        <v>776</v>
      </c>
      <c r="X174" s="2">
        <v>40000</v>
      </c>
      <c r="Y174" s="2" t="s">
        <v>46</v>
      </c>
      <c r="Z174" s="2" t="s">
        <v>46</v>
      </c>
      <c r="AA174" s="2" t="s">
        <v>47</v>
      </c>
      <c r="AB174" s="2">
        <v>14</v>
      </c>
      <c r="AC174" s="2" t="s">
        <v>48</v>
      </c>
      <c r="AD174" s="2">
        <v>0.5</v>
      </c>
    </row>
    <row r="175" spans="1:30" ht="30" x14ac:dyDescent="0.25">
      <c r="A175" s="2">
        <v>8</v>
      </c>
      <c r="B175" s="2" t="s">
        <v>37</v>
      </c>
      <c r="C175" s="2">
        <v>13624</v>
      </c>
      <c r="D175" s="3">
        <v>44119</v>
      </c>
      <c r="E175" s="2" t="s">
        <v>518</v>
      </c>
      <c r="F175" s="2"/>
      <c r="G175" s="2" t="s">
        <v>777</v>
      </c>
      <c r="H175" s="2" t="s">
        <v>778</v>
      </c>
      <c r="I175" s="2" t="s">
        <v>41</v>
      </c>
      <c r="J175" s="3">
        <v>39083</v>
      </c>
      <c r="K175" s="2"/>
      <c r="L175" s="2"/>
      <c r="M175" s="2">
        <v>10</v>
      </c>
      <c r="N175" s="2">
        <v>9</v>
      </c>
      <c r="O175" s="2" t="s">
        <v>53</v>
      </c>
      <c r="P175" s="2" t="s">
        <v>43</v>
      </c>
      <c r="Q175" s="2"/>
      <c r="R175" s="2" t="s">
        <v>44</v>
      </c>
      <c r="S175" s="2">
        <v>8250215703</v>
      </c>
      <c r="T175" s="2" t="s">
        <v>779</v>
      </c>
      <c r="U175" s="2"/>
      <c r="V175" s="2">
        <v>9358437106</v>
      </c>
      <c r="W175" s="2" t="s">
        <v>85</v>
      </c>
      <c r="X175" s="2">
        <v>20000</v>
      </c>
      <c r="Y175" s="2" t="s">
        <v>46</v>
      </c>
      <c r="Z175" s="2" t="s">
        <v>46</v>
      </c>
      <c r="AA175" s="2" t="s">
        <v>47</v>
      </c>
      <c r="AB175" s="2">
        <v>14</v>
      </c>
      <c r="AC175" s="2" t="s">
        <v>48</v>
      </c>
      <c r="AD175" s="2">
        <v>1</v>
      </c>
    </row>
    <row r="176" spans="1:30" ht="30" x14ac:dyDescent="0.25">
      <c r="A176" s="2">
        <v>8</v>
      </c>
      <c r="B176" s="2" t="s">
        <v>37</v>
      </c>
      <c r="C176" s="2">
        <v>13330</v>
      </c>
      <c r="D176" s="3">
        <v>43658</v>
      </c>
      <c r="E176" s="2" t="s">
        <v>780</v>
      </c>
      <c r="F176" s="2"/>
      <c r="G176" s="2" t="s">
        <v>781</v>
      </c>
      <c r="H176" s="2" t="s">
        <v>782</v>
      </c>
      <c r="I176" s="2" t="s">
        <v>41</v>
      </c>
      <c r="J176" s="3">
        <v>39123</v>
      </c>
      <c r="K176" s="2"/>
      <c r="L176" s="2"/>
      <c r="M176" s="2">
        <v>10</v>
      </c>
      <c r="N176" s="2">
        <v>6</v>
      </c>
      <c r="O176" s="2" t="s">
        <v>53</v>
      </c>
      <c r="P176" s="2" t="s">
        <v>43</v>
      </c>
      <c r="Q176" s="2"/>
      <c r="R176" s="2" t="s">
        <v>44</v>
      </c>
      <c r="S176" s="2">
        <v>8250215703</v>
      </c>
      <c r="T176" s="2" t="s">
        <v>783</v>
      </c>
      <c r="U176" s="2" t="s">
        <v>784</v>
      </c>
      <c r="V176" s="2">
        <v>9672110840</v>
      </c>
      <c r="W176" s="2" t="s">
        <v>785</v>
      </c>
      <c r="X176" s="2">
        <v>36000</v>
      </c>
      <c r="Y176" s="2" t="s">
        <v>46</v>
      </c>
      <c r="Z176" s="2" t="s">
        <v>46</v>
      </c>
      <c r="AA176" s="2" t="s">
        <v>47</v>
      </c>
      <c r="AB176" s="2">
        <v>14</v>
      </c>
      <c r="AC176" s="2" t="s">
        <v>48</v>
      </c>
      <c r="AD176" s="2">
        <v>0</v>
      </c>
    </row>
    <row r="177" spans="1:30" ht="30" x14ac:dyDescent="0.25">
      <c r="A177" s="2">
        <v>8</v>
      </c>
      <c r="B177" s="2" t="s">
        <v>37</v>
      </c>
      <c r="C177" s="2">
        <v>12253</v>
      </c>
      <c r="D177" s="3">
        <v>148</v>
      </c>
      <c r="E177" s="2" t="s">
        <v>786</v>
      </c>
      <c r="F177" s="2"/>
      <c r="G177" s="2" t="s">
        <v>449</v>
      </c>
      <c r="H177" s="2" t="s">
        <v>450</v>
      </c>
      <c r="I177" s="2" t="s">
        <v>41</v>
      </c>
      <c r="J177" s="3">
        <v>38909</v>
      </c>
      <c r="K177" s="2"/>
      <c r="L177" s="2"/>
      <c r="M177" s="2">
        <v>10</v>
      </c>
      <c r="N177" s="2">
        <v>5</v>
      </c>
      <c r="O177" s="2" t="s">
        <v>42</v>
      </c>
      <c r="P177" s="2" t="s">
        <v>54</v>
      </c>
      <c r="Q177" s="2"/>
      <c r="R177" s="2" t="s">
        <v>44</v>
      </c>
      <c r="S177" s="2">
        <v>8250215703</v>
      </c>
      <c r="T177" s="2" t="s">
        <v>787</v>
      </c>
      <c r="U177" s="2" t="s">
        <v>452</v>
      </c>
      <c r="V177" s="2">
        <v>9950735844</v>
      </c>
      <c r="W177" s="2" t="s">
        <v>788</v>
      </c>
      <c r="X177" s="2">
        <v>36000</v>
      </c>
      <c r="Y177" s="2" t="s">
        <v>46</v>
      </c>
      <c r="Z177" s="2" t="s">
        <v>46</v>
      </c>
      <c r="AA177" s="2" t="s">
        <v>57</v>
      </c>
      <c r="AB177" s="2">
        <v>15</v>
      </c>
      <c r="AC177" s="2" t="s">
        <v>48</v>
      </c>
      <c r="AD177" s="2">
        <v>0</v>
      </c>
    </row>
    <row r="178" spans="1:30" ht="30" x14ac:dyDescent="0.25">
      <c r="A178" s="2">
        <v>8</v>
      </c>
      <c r="B178" s="2" t="s">
        <v>37</v>
      </c>
      <c r="C178" s="2">
        <v>12249</v>
      </c>
      <c r="D178" s="3">
        <v>42548</v>
      </c>
      <c r="E178" s="2" t="s">
        <v>789</v>
      </c>
      <c r="F178" s="2"/>
      <c r="G178" s="2" t="s">
        <v>790</v>
      </c>
      <c r="H178" s="2" t="s">
        <v>791</v>
      </c>
      <c r="I178" s="2" t="s">
        <v>52</v>
      </c>
      <c r="J178" s="3">
        <v>39713</v>
      </c>
      <c r="K178" s="2"/>
      <c r="L178" s="2"/>
      <c r="M178" s="2">
        <v>10</v>
      </c>
      <c r="N178" s="2">
        <v>0</v>
      </c>
      <c r="O178" s="2" t="s">
        <v>53</v>
      </c>
      <c r="P178" s="2" t="s">
        <v>43</v>
      </c>
      <c r="Q178" s="2"/>
      <c r="R178" s="2" t="s">
        <v>44</v>
      </c>
      <c r="S178" s="2">
        <v>8250215703</v>
      </c>
      <c r="T178" s="2" t="s">
        <v>792</v>
      </c>
      <c r="U178" s="2"/>
      <c r="V178" s="2">
        <v>9928707064</v>
      </c>
      <c r="W178" s="2" t="s">
        <v>793</v>
      </c>
      <c r="X178" s="2">
        <v>30000</v>
      </c>
      <c r="Y178" s="2" t="s">
        <v>46</v>
      </c>
      <c r="Z178" s="2" t="s">
        <v>46</v>
      </c>
      <c r="AA178" s="2" t="s">
        <v>47</v>
      </c>
      <c r="AB178" s="2">
        <v>13</v>
      </c>
      <c r="AC178" s="2" t="s">
        <v>48</v>
      </c>
      <c r="AD178" s="2">
        <v>1</v>
      </c>
    </row>
    <row r="179" spans="1:30" ht="30" x14ac:dyDescent="0.25">
      <c r="A179" s="2">
        <v>9</v>
      </c>
      <c r="B179" s="2" t="s">
        <v>37</v>
      </c>
      <c r="C179" s="2">
        <v>13997</v>
      </c>
      <c r="D179" s="3">
        <v>44474</v>
      </c>
      <c r="E179" s="2" t="s">
        <v>794</v>
      </c>
      <c r="F179" s="2"/>
      <c r="G179" s="2" t="s">
        <v>795</v>
      </c>
      <c r="H179" s="2" t="s">
        <v>796</v>
      </c>
      <c r="I179" s="2" t="s">
        <v>41</v>
      </c>
      <c r="J179" s="3">
        <v>39510</v>
      </c>
      <c r="K179" s="2"/>
      <c r="L179" s="2"/>
      <c r="M179" s="2">
        <v>23</v>
      </c>
      <c r="N179" s="2"/>
      <c r="O179" s="2" t="s">
        <v>78</v>
      </c>
      <c r="P179" s="2" t="s">
        <v>43</v>
      </c>
      <c r="Q179" s="2"/>
      <c r="R179" s="2" t="s">
        <v>44</v>
      </c>
      <c r="S179" s="2">
        <v>8250215703</v>
      </c>
      <c r="T179" s="2" t="s">
        <v>287</v>
      </c>
      <c r="U179" s="2" t="s">
        <v>797</v>
      </c>
      <c r="V179" s="2">
        <v>9001782495</v>
      </c>
      <c r="W179" s="2" t="s">
        <v>798</v>
      </c>
      <c r="X179" s="2">
        <v>36000</v>
      </c>
      <c r="Y179" s="2" t="s">
        <v>46</v>
      </c>
      <c r="Z179" s="2" t="s">
        <v>46</v>
      </c>
      <c r="AA179" s="2" t="s">
        <v>47</v>
      </c>
      <c r="AB179" s="2">
        <v>13</v>
      </c>
      <c r="AC179" s="2" t="s">
        <v>48</v>
      </c>
      <c r="AD179" s="2">
        <v>1</v>
      </c>
    </row>
    <row r="180" spans="1:30" ht="30" x14ac:dyDescent="0.25">
      <c r="A180" s="2">
        <v>9</v>
      </c>
      <c r="B180" s="2" t="s">
        <v>37</v>
      </c>
      <c r="C180" s="2">
        <v>13722</v>
      </c>
      <c r="D180" s="3">
        <v>44390</v>
      </c>
      <c r="E180" s="2" t="s">
        <v>799</v>
      </c>
      <c r="F180" s="2"/>
      <c r="G180" s="2" t="s">
        <v>800</v>
      </c>
      <c r="H180" s="2" t="s">
        <v>801</v>
      </c>
      <c r="I180" s="2" t="s">
        <v>41</v>
      </c>
      <c r="J180" s="3">
        <v>39486</v>
      </c>
      <c r="K180" s="2"/>
      <c r="L180" s="2"/>
      <c r="M180" s="2">
        <v>23</v>
      </c>
      <c r="N180" s="2">
        <v>10</v>
      </c>
      <c r="O180" s="2" t="s">
        <v>53</v>
      </c>
      <c r="P180" s="2" t="s">
        <v>43</v>
      </c>
      <c r="Q180" s="2"/>
      <c r="R180" s="2" t="s">
        <v>44</v>
      </c>
      <c r="S180" s="2">
        <v>8250215703</v>
      </c>
      <c r="T180" s="2" t="s">
        <v>802</v>
      </c>
      <c r="U180" s="2" t="s">
        <v>803</v>
      </c>
      <c r="V180" s="2">
        <v>9784839866</v>
      </c>
      <c r="W180" s="2" t="s">
        <v>804</v>
      </c>
      <c r="X180" s="2">
        <v>48000</v>
      </c>
      <c r="Y180" s="2" t="s">
        <v>46</v>
      </c>
      <c r="Z180" s="2" t="s">
        <v>46</v>
      </c>
      <c r="AA180" s="2" t="s">
        <v>47</v>
      </c>
      <c r="AB180" s="2">
        <v>13</v>
      </c>
      <c r="AC180" s="2" t="s">
        <v>48</v>
      </c>
      <c r="AD180" s="2">
        <v>0</v>
      </c>
    </row>
    <row r="181" spans="1:30" ht="30" x14ac:dyDescent="0.25">
      <c r="A181" s="2">
        <v>9</v>
      </c>
      <c r="B181" s="2" t="s">
        <v>37</v>
      </c>
      <c r="C181" s="2">
        <v>13841</v>
      </c>
      <c r="D181" s="3">
        <v>44405</v>
      </c>
      <c r="E181" s="2" t="s">
        <v>805</v>
      </c>
      <c r="F181" s="2"/>
      <c r="G181" s="2" t="s">
        <v>806</v>
      </c>
      <c r="H181" s="2" t="s">
        <v>807</v>
      </c>
      <c r="I181" s="2" t="s">
        <v>41</v>
      </c>
      <c r="J181" s="3">
        <v>38975</v>
      </c>
      <c r="K181" s="2"/>
      <c r="L181" s="2"/>
      <c r="M181" s="2">
        <v>23</v>
      </c>
      <c r="N181" s="2">
        <v>14</v>
      </c>
      <c r="O181" s="2" t="s">
        <v>78</v>
      </c>
      <c r="P181" s="2" t="s">
        <v>43</v>
      </c>
      <c r="Q181" s="2"/>
      <c r="R181" s="2" t="s">
        <v>44</v>
      </c>
      <c r="S181" s="2">
        <v>8250215703</v>
      </c>
      <c r="T181" s="2" t="s">
        <v>808</v>
      </c>
      <c r="U181" s="2" t="s">
        <v>809</v>
      </c>
      <c r="V181" s="2">
        <v>8824068805</v>
      </c>
      <c r="W181" s="2" t="s">
        <v>810</v>
      </c>
      <c r="X181" s="2">
        <v>40000</v>
      </c>
      <c r="Y181" s="2" t="s">
        <v>46</v>
      </c>
      <c r="Z181" s="2" t="s">
        <v>46</v>
      </c>
      <c r="AA181" s="2" t="s">
        <v>47</v>
      </c>
      <c r="AB181" s="2">
        <v>15</v>
      </c>
      <c r="AC181" s="2" t="s">
        <v>48</v>
      </c>
      <c r="AD181" s="2">
        <v>0</v>
      </c>
    </row>
    <row r="182" spans="1:30" ht="30" x14ac:dyDescent="0.25">
      <c r="A182" s="2">
        <v>9</v>
      </c>
      <c r="B182" s="2" t="s">
        <v>37</v>
      </c>
      <c r="C182" s="2">
        <v>13839</v>
      </c>
      <c r="D182" s="3">
        <v>44405</v>
      </c>
      <c r="E182" s="2" t="s">
        <v>811</v>
      </c>
      <c r="F182" s="2"/>
      <c r="G182" s="2" t="s">
        <v>812</v>
      </c>
      <c r="H182" s="2" t="s">
        <v>813</v>
      </c>
      <c r="I182" s="2" t="s">
        <v>41</v>
      </c>
      <c r="J182" s="3">
        <v>39410</v>
      </c>
      <c r="K182" s="2"/>
      <c r="L182" s="2"/>
      <c r="M182" s="2">
        <v>23</v>
      </c>
      <c r="N182" s="2">
        <v>3</v>
      </c>
      <c r="O182" s="2" t="s">
        <v>53</v>
      </c>
      <c r="P182" s="2" t="s">
        <v>43</v>
      </c>
      <c r="Q182" s="2"/>
      <c r="R182" s="2" t="s">
        <v>44</v>
      </c>
      <c r="S182" s="2">
        <v>8250215703</v>
      </c>
      <c r="T182" s="2" t="s">
        <v>814</v>
      </c>
      <c r="U182" s="2" t="s">
        <v>815</v>
      </c>
      <c r="V182" s="2">
        <v>8079032322</v>
      </c>
      <c r="W182" s="2" t="s">
        <v>816</v>
      </c>
      <c r="X182" s="2">
        <v>40000</v>
      </c>
      <c r="Y182" s="2" t="s">
        <v>46</v>
      </c>
      <c r="Z182" s="2" t="s">
        <v>46</v>
      </c>
      <c r="AA182" s="2" t="s">
        <v>47</v>
      </c>
      <c r="AB182" s="2">
        <v>14</v>
      </c>
      <c r="AC182" s="2" t="s">
        <v>48</v>
      </c>
      <c r="AD182" s="2">
        <v>0</v>
      </c>
    </row>
    <row r="183" spans="1:30" ht="30" x14ac:dyDescent="0.25">
      <c r="A183" s="2">
        <v>9</v>
      </c>
      <c r="B183" s="2" t="s">
        <v>37</v>
      </c>
      <c r="C183" s="2">
        <v>13926</v>
      </c>
      <c r="D183" s="3">
        <v>44421</v>
      </c>
      <c r="E183" s="2" t="s">
        <v>817</v>
      </c>
      <c r="F183" s="2"/>
      <c r="G183" s="2" t="s">
        <v>818</v>
      </c>
      <c r="H183" s="2" t="s">
        <v>819</v>
      </c>
      <c r="I183" s="2" t="s">
        <v>41</v>
      </c>
      <c r="J183" s="3">
        <v>38370</v>
      </c>
      <c r="K183" s="2"/>
      <c r="L183" s="2"/>
      <c r="M183" s="2">
        <v>23</v>
      </c>
      <c r="N183" s="2">
        <v>14</v>
      </c>
      <c r="O183" s="2" t="s">
        <v>53</v>
      </c>
      <c r="P183" s="2" t="s">
        <v>43</v>
      </c>
      <c r="Q183" s="2"/>
      <c r="R183" s="2" t="s">
        <v>44</v>
      </c>
      <c r="S183" s="2">
        <v>8250215703</v>
      </c>
      <c r="T183" s="2" t="s">
        <v>820</v>
      </c>
      <c r="U183" s="2"/>
      <c r="V183" s="2">
        <v>9950188816</v>
      </c>
      <c r="W183" s="2" t="s">
        <v>821</v>
      </c>
      <c r="X183" s="2">
        <v>36000</v>
      </c>
      <c r="Y183" s="2" t="s">
        <v>46</v>
      </c>
      <c r="Z183" s="2" t="s">
        <v>46</v>
      </c>
      <c r="AA183" s="2" t="s">
        <v>47</v>
      </c>
      <c r="AB183" s="2">
        <v>16</v>
      </c>
      <c r="AC183" s="2" t="s">
        <v>48</v>
      </c>
      <c r="AD183" s="2">
        <v>1</v>
      </c>
    </row>
    <row r="184" spans="1:30" ht="45" x14ac:dyDescent="0.25">
      <c r="A184" s="2">
        <v>9</v>
      </c>
      <c r="B184" s="2" t="s">
        <v>37</v>
      </c>
      <c r="C184" s="2">
        <v>13991</v>
      </c>
      <c r="D184" s="3">
        <v>44468</v>
      </c>
      <c r="E184" s="2" t="s">
        <v>822</v>
      </c>
      <c r="F184" s="2"/>
      <c r="G184" s="2" t="s">
        <v>823</v>
      </c>
      <c r="H184" s="2" t="s">
        <v>824</v>
      </c>
      <c r="I184" s="2" t="s">
        <v>41</v>
      </c>
      <c r="J184" s="3">
        <v>39640</v>
      </c>
      <c r="K184" s="2"/>
      <c r="L184" s="2"/>
      <c r="M184" s="2">
        <v>23</v>
      </c>
      <c r="N184" s="2">
        <v>2</v>
      </c>
      <c r="O184" s="2" t="s">
        <v>825</v>
      </c>
      <c r="P184" s="2" t="s">
        <v>43</v>
      </c>
      <c r="Q184" s="2"/>
      <c r="R184" s="2" t="s">
        <v>44</v>
      </c>
      <c r="S184" s="2">
        <v>8250215703</v>
      </c>
      <c r="T184" s="2" t="s">
        <v>826</v>
      </c>
      <c r="U184" s="2"/>
      <c r="V184" s="2">
        <v>7976828521</v>
      </c>
      <c r="W184" s="2" t="s">
        <v>827</v>
      </c>
      <c r="X184" s="2">
        <v>340000</v>
      </c>
      <c r="Y184" s="2" t="s">
        <v>46</v>
      </c>
      <c r="Z184" s="2" t="s">
        <v>46</v>
      </c>
      <c r="AA184" s="2" t="s">
        <v>47</v>
      </c>
      <c r="AB184" s="2">
        <v>13</v>
      </c>
      <c r="AC184" s="2" t="s">
        <v>48</v>
      </c>
      <c r="AD184" s="2">
        <v>3</v>
      </c>
    </row>
    <row r="185" spans="1:30" ht="30" x14ac:dyDescent="0.25">
      <c r="A185" s="2">
        <v>9</v>
      </c>
      <c r="B185" s="2" t="s">
        <v>37</v>
      </c>
      <c r="C185" s="2">
        <v>13819</v>
      </c>
      <c r="D185" s="3">
        <v>44403</v>
      </c>
      <c r="E185" s="2" t="s">
        <v>828</v>
      </c>
      <c r="F185" s="2"/>
      <c r="G185" s="2" t="s">
        <v>829</v>
      </c>
      <c r="H185" s="2" t="s">
        <v>830</v>
      </c>
      <c r="I185" s="2" t="s">
        <v>41</v>
      </c>
      <c r="J185" s="3">
        <v>39818</v>
      </c>
      <c r="K185" s="2"/>
      <c r="L185" s="2"/>
      <c r="M185" s="2">
        <v>23</v>
      </c>
      <c r="N185" s="2">
        <v>7</v>
      </c>
      <c r="O185" s="2" t="s">
        <v>53</v>
      </c>
      <c r="P185" s="2" t="s">
        <v>43</v>
      </c>
      <c r="Q185" s="2"/>
      <c r="R185" s="2" t="s">
        <v>44</v>
      </c>
      <c r="S185" s="2">
        <v>8250215703</v>
      </c>
      <c r="T185" s="2" t="s">
        <v>831</v>
      </c>
      <c r="U185" s="2" t="s">
        <v>832</v>
      </c>
      <c r="V185" s="2">
        <v>9928422864</v>
      </c>
      <c r="W185" s="2" t="s">
        <v>833</v>
      </c>
      <c r="X185" s="2">
        <v>42000</v>
      </c>
      <c r="Y185" s="2" t="s">
        <v>46</v>
      </c>
      <c r="Z185" s="2" t="s">
        <v>46</v>
      </c>
      <c r="AA185" s="2" t="s">
        <v>47</v>
      </c>
      <c r="AB185" s="2">
        <v>12</v>
      </c>
      <c r="AC185" s="2" t="s">
        <v>48</v>
      </c>
      <c r="AD185" s="2">
        <v>0.5</v>
      </c>
    </row>
    <row r="186" spans="1:30" ht="30" x14ac:dyDescent="0.25">
      <c r="A186" s="2">
        <v>9</v>
      </c>
      <c r="B186" s="2" t="s">
        <v>37</v>
      </c>
      <c r="C186" s="2">
        <v>13704</v>
      </c>
      <c r="D186" s="3">
        <v>44379</v>
      </c>
      <c r="E186" s="2" t="s">
        <v>834</v>
      </c>
      <c r="F186" s="2"/>
      <c r="G186" s="2" t="s">
        <v>835</v>
      </c>
      <c r="H186" s="2" t="s">
        <v>836</v>
      </c>
      <c r="I186" s="2" t="s">
        <v>41</v>
      </c>
      <c r="J186" s="3">
        <v>39752</v>
      </c>
      <c r="K186" s="2"/>
      <c r="L186" s="2"/>
      <c r="M186" s="2">
        <v>23</v>
      </c>
      <c r="N186" s="2">
        <v>11</v>
      </c>
      <c r="O186" s="2" t="s">
        <v>53</v>
      </c>
      <c r="P186" s="2" t="s">
        <v>43</v>
      </c>
      <c r="Q186" s="2"/>
      <c r="R186" s="2" t="s">
        <v>44</v>
      </c>
      <c r="S186" s="2">
        <v>8250215703</v>
      </c>
      <c r="T186" s="2" t="s">
        <v>837</v>
      </c>
      <c r="U186" s="2"/>
      <c r="V186" s="2">
        <v>8000405797</v>
      </c>
      <c r="W186" s="2" t="s">
        <v>838</v>
      </c>
      <c r="X186" s="2">
        <v>40000</v>
      </c>
      <c r="Y186" s="2" t="s">
        <v>46</v>
      </c>
      <c r="Z186" s="2" t="s">
        <v>46</v>
      </c>
      <c r="AA186" s="2" t="s">
        <v>47</v>
      </c>
      <c r="AB186" s="2">
        <v>13</v>
      </c>
      <c r="AC186" s="2" t="s">
        <v>48</v>
      </c>
      <c r="AD186" s="2">
        <v>1</v>
      </c>
    </row>
    <row r="187" spans="1:30" ht="30" x14ac:dyDescent="0.25">
      <c r="A187" s="2">
        <v>9</v>
      </c>
      <c r="B187" s="2" t="s">
        <v>37</v>
      </c>
      <c r="C187" s="2">
        <v>13705</v>
      </c>
      <c r="D187" s="3">
        <v>44379</v>
      </c>
      <c r="E187" s="2" t="s">
        <v>834</v>
      </c>
      <c r="F187" s="2"/>
      <c r="G187" s="2" t="s">
        <v>839</v>
      </c>
      <c r="H187" s="2" t="s">
        <v>358</v>
      </c>
      <c r="I187" s="2" t="s">
        <v>41</v>
      </c>
      <c r="J187" s="3">
        <v>38932</v>
      </c>
      <c r="K187" s="2"/>
      <c r="L187" s="2"/>
      <c r="M187" s="2">
        <v>23</v>
      </c>
      <c r="N187" s="2">
        <v>9</v>
      </c>
      <c r="O187" s="2" t="s">
        <v>53</v>
      </c>
      <c r="P187" s="2" t="s">
        <v>43</v>
      </c>
      <c r="Q187" s="2"/>
      <c r="R187" s="2" t="s">
        <v>44</v>
      </c>
      <c r="S187" s="2">
        <v>8250215703</v>
      </c>
      <c r="T187" s="2" t="s">
        <v>840</v>
      </c>
      <c r="U187" s="2" t="s">
        <v>841</v>
      </c>
      <c r="V187" s="2">
        <v>8955794196</v>
      </c>
      <c r="W187" s="2" t="s">
        <v>842</v>
      </c>
      <c r="X187" s="2">
        <v>38000</v>
      </c>
      <c r="Y187" s="2" t="s">
        <v>46</v>
      </c>
      <c r="Z187" s="2" t="s">
        <v>46</v>
      </c>
      <c r="AA187" s="2" t="s">
        <v>47</v>
      </c>
      <c r="AB187" s="2">
        <v>15</v>
      </c>
      <c r="AC187" s="2" t="s">
        <v>48</v>
      </c>
      <c r="AD187" s="2">
        <v>0</v>
      </c>
    </row>
    <row r="188" spans="1:30" ht="30" x14ac:dyDescent="0.25">
      <c r="A188" s="2">
        <v>9</v>
      </c>
      <c r="B188" s="2" t="s">
        <v>37</v>
      </c>
      <c r="C188" s="2">
        <v>13702</v>
      </c>
      <c r="D188" s="3">
        <v>44379</v>
      </c>
      <c r="E188" s="2" t="s">
        <v>843</v>
      </c>
      <c r="F188" s="2"/>
      <c r="G188" s="2" t="s">
        <v>844</v>
      </c>
      <c r="H188" s="2" t="s">
        <v>845</v>
      </c>
      <c r="I188" s="2" t="s">
        <v>41</v>
      </c>
      <c r="J188" s="3">
        <v>39685</v>
      </c>
      <c r="K188" s="2"/>
      <c r="L188" s="2"/>
      <c r="M188" s="2">
        <v>23</v>
      </c>
      <c r="N188" s="2">
        <v>14</v>
      </c>
      <c r="O188" s="2" t="s">
        <v>773</v>
      </c>
      <c r="P188" s="2" t="s">
        <v>43</v>
      </c>
      <c r="Q188" s="2"/>
      <c r="R188" s="2" t="s">
        <v>44</v>
      </c>
      <c r="S188" s="2">
        <v>8250215703</v>
      </c>
      <c r="T188" s="2" t="s">
        <v>846</v>
      </c>
      <c r="U188" s="2"/>
      <c r="V188" s="2">
        <v>6376047101</v>
      </c>
      <c r="W188" s="2" t="s">
        <v>679</v>
      </c>
      <c r="X188" s="2">
        <v>80000</v>
      </c>
      <c r="Y188" s="2" t="s">
        <v>46</v>
      </c>
      <c r="Z188" s="2" t="s">
        <v>46</v>
      </c>
      <c r="AA188" s="2" t="s">
        <v>47</v>
      </c>
      <c r="AB188" s="2">
        <v>13</v>
      </c>
      <c r="AC188" s="2" t="s">
        <v>48</v>
      </c>
      <c r="AD188" s="2">
        <v>1</v>
      </c>
    </row>
    <row r="189" spans="1:30" ht="30" x14ac:dyDescent="0.25">
      <c r="A189" s="2">
        <v>9</v>
      </c>
      <c r="B189" s="2" t="s">
        <v>37</v>
      </c>
      <c r="C189" s="2">
        <v>13972</v>
      </c>
      <c r="D189" s="3">
        <v>44450</v>
      </c>
      <c r="E189" s="2" t="s">
        <v>847</v>
      </c>
      <c r="F189" s="2"/>
      <c r="G189" s="2" t="s">
        <v>848</v>
      </c>
      <c r="H189" s="2" t="s">
        <v>849</v>
      </c>
      <c r="I189" s="2" t="s">
        <v>41</v>
      </c>
      <c r="J189" s="3">
        <v>39115</v>
      </c>
      <c r="K189" s="2"/>
      <c r="L189" s="2"/>
      <c r="M189" s="2">
        <v>23</v>
      </c>
      <c r="N189" s="2">
        <v>12</v>
      </c>
      <c r="O189" s="2" t="s">
        <v>773</v>
      </c>
      <c r="P189" s="2" t="s">
        <v>43</v>
      </c>
      <c r="Q189" s="2"/>
      <c r="R189" s="2" t="s">
        <v>44</v>
      </c>
      <c r="S189" s="2">
        <v>8250215703</v>
      </c>
      <c r="T189" s="2" t="s">
        <v>850</v>
      </c>
      <c r="U189" s="2" t="s">
        <v>851</v>
      </c>
      <c r="V189" s="2">
        <v>8858017969</v>
      </c>
      <c r="W189" s="2" t="s">
        <v>852</v>
      </c>
      <c r="X189" s="2">
        <v>36000</v>
      </c>
      <c r="Y189" s="2" t="s">
        <v>46</v>
      </c>
      <c r="Z189" s="2" t="s">
        <v>46</v>
      </c>
      <c r="AA189" s="2" t="s">
        <v>47</v>
      </c>
      <c r="AB189" s="2">
        <v>14</v>
      </c>
      <c r="AC189" s="2" t="s">
        <v>48</v>
      </c>
      <c r="AD189" s="2">
        <v>1</v>
      </c>
    </row>
    <row r="190" spans="1:30" ht="30" x14ac:dyDescent="0.25">
      <c r="A190" s="2">
        <v>9</v>
      </c>
      <c r="B190" s="2" t="s">
        <v>37</v>
      </c>
      <c r="C190" s="2">
        <v>12265</v>
      </c>
      <c r="D190" s="3">
        <v>42548</v>
      </c>
      <c r="E190" s="2" t="s">
        <v>362</v>
      </c>
      <c r="F190" s="2"/>
      <c r="G190" s="2" t="s">
        <v>363</v>
      </c>
      <c r="H190" s="2" t="s">
        <v>813</v>
      </c>
      <c r="I190" s="2" t="s">
        <v>41</v>
      </c>
      <c r="J190" s="3">
        <v>38940</v>
      </c>
      <c r="K190" s="2"/>
      <c r="L190" s="2"/>
      <c r="M190" s="2">
        <v>23</v>
      </c>
      <c r="N190" s="2">
        <v>12</v>
      </c>
      <c r="O190" s="2" t="s">
        <v>53</v>
      </c>
      <c r="P190" s="2" t="s">
        <v>43</v>
      </c>
      <c r="Q190" s="2"/>
      <c r="R190" s="2" t="s">
        <v>44</v>
      </c>
      <c r="S190" s="2">
        <v>8250215703</v>
      </c>
      <c r="T190" s="2" t="s">
        <v>853</v>
      </c>
      <c r="U190" s="2"/>
      <c r="V190" s="2">
        <v>9660141925</v>
      </c>
      <c r="W190" s="2" t="s">
        <v>509</v>
      </c>
      <c r="X190" s="2">
        <v>30000</v>
      </c>
      <c r="Y190" s="2" t="s">
        <v>46</v>
      </c>
      <c r="Z190" s="2" t="s">
        <v>46</v>
      </c>
      <c r="AA190" s="2" t="s">
        <v>47</v>
      </c>
      <c r="AB190" s="2">
        <v>15</v>
      </c>
      <c r="AC190" s="2" t="s">
        <v>48</v>
      </c>
      <c r="AD190" s="2">
        <v>0</v>
      </c>
    </row>
    <row r="191" spans="1:30" ht="45" x14ac:dyDescent="0.25">
      <c r="A191" s="2">
        <v>9</v>
      </c>
      <c r="B191" s="2" t="s">
        <v>37</v>
      </c>
      <c r="C191" s="2">
        <v>12619</v>
      </c>
      <c r="D191" s="3">
        <v>42572</v>
      </c>
      <c r="E191" s="2" t="s">
        <v>854</v>
      </c>
      <c r="F191" s="2"/>
      <c r="G191" s="2" t="s">
        <v>855</v>
      </c>
      <c r="H191" s="2" t="s">
        <v>856</v>
      </c>
      <c r="I191" s="2" t="s">
        <v>41</v>
      </c>
      <c r="J191" s="3">
        <v>40000</v>
      </c>
      <c r="K191" s="2"/>
      <c r="L191" s="2"/>
      <c r="M191" s="2">
        <v>23</v>
      </c>
      <c r="N191" s="2">
        <v>13</v>
      </c>
      <c r="O191" s="2" t="s">
        <v>78</v>
      </c>
      <c r="P191" s="2" t="s">
        <v>43</v>
      </c>
      <c r="Q191" s="2"/>
      <c r="R191" s="2" t="s">
        <v>44</v>
      </c>
      <c r="S191" s="2">
        <v>8250215703</v>
      </c>
      <c r="T191" s="2" t="s">
        <v>857</v>
      </c>
      <c r="U191" s="2"/>
      <c r="V191" s="2">
        <v>9649174095</v>
      </c>
      <c r="W191" s="2" t="s">
        <v>858</v>
      </c>
      <c r="X191" s="2">
        <v>0</v>
      </c>
      <c r="Y191" s="2" t="s">
        <v>46</v>
      </c>
      <c r="Z191" s="2" t="s">
        <v>46</v>
      </c>
      <c r="AA191" s="2" t="s">
        <v>47</v>
      </c>
      <c r="AB191" s="2">
        <v>12</v>
      </c>
      <c r="AC191" s="2" t="s">
        <v>48</v>
      </c>
      <c r="AD191" s="2">
        <v>1</v>
      </c>
    </row>
    <row r="192" spans="1:30" ht="30" x14ac:dyDescent="0.25">
      <c r="A192" s="2">
        <v>9</v>
      </c>
      <c r="B192" s="2" t="s">
        <v>37</v>
      </c>
      <c r="C192" s="2">
        <v>13996</v>
      </c>
      <c r="D192" s="3">
        <v>44474</v>
      </c>
      <c r="E192" s="2" t="s">
        <v>859</v>
      </c>
      <c r="F192" s="2"/>
      <c r="G192" s="2" t="s">
        <v>860</v>
      </c>
      <c r="H192" s="2" t="s">
        <v>861</v>
      </c>
      <c r="I192" s="2" t="s">
        <v>41</v>
      </c>
      <c r="J192" s="3">
        <v>39210</v>
      </c>
      <c r="K192" s="2"/>
      <c r="L192" s="2"/>
      <c r="M192" s="2">
        <v>23</v>
      </c>
      <c r="N192" s="2"/>
      <c r="O192" s="2" t="s">
        <v>53</v>
      </c>
      <c r="P192" s="2" t="s">
        <v>43</v>
      </c>
      <c r="Q192" s="2"/>
      <c r="R192" s="2" t="s">
        <v>44</v>
      </c>
      <c r="S192" s="2">
        <v>8250215703</v>
      </c>
      <c r="T192" s="2" t="s">
        <v>862</v>
      </c>
      <c r="U192" s="2" t="s">
        <v>863</v>
      </c>
      <c r="V192" s="2">
        <v>7976511709</v>
      </c>
      <c r="W192" s="2" t="s">
        <v>864</v>
      </c>
      <c r="X192" s="2">
        <v>60000</v>
      </c>
      <c r="Y192" s="2" t="s">
        <v>46</v>
      </c>
      <c r="Z192" s="2" t="s">
        <v>46</v>
      </c>
      <c r="AA192" s="2" t="s">
        <v>47</v>
      </c>
      <c r="AB192" s="2">
        <v>14</v>
      </c>
      <c r="AC192" s="2" t="s">
        <v>48</v>
      </c>
      <c r="AD192" s="2">
        <v>1</v>
      </c>
    </row>
    <row r="193" spans="1:30" ht="30" x14ac:dyDescent="0.25">
      <c r="A193" s="2">
        <v>9</v>
      </c>
      <c r="B193" s="2" t="s">
        <v>37</v>
      </c>
      <c r="C193" s="2">
        <v>13855</v>
      </c>
      <c r="D193" s="3">
        <v>44406</v>
      </c>
      <c r="E193" s="2" t="s">
        <v>865</v>
      </c>
      <c r="F193" s="2"/>
      <c r="G193" s="2" t="s">
        <v>866</v>
      </c>
      <c r="H193" s="2" t="s">
        <v>867</v>
      </c>
      <c r="I193" s="2" t="s">
        <v>41</v>
      </c>
      <c r="J193" s="3">
        <v>38096</v>
      </c>
      <c r="K193" s="2"/>
      <c r="L193" s="2"/>
      <c r="M193" s="2">
        <v>23</v>
      </c>
      <c r="N193" s="2">
        <v>10</v>
      </c>
      <c r="O193" s="2" t="s">
        <v>78</v>
      </c>
      <c r="P193" s="2" t="s">
        <v>43</v>
      </c>
      <c r="Q193" s="2"/>
      <c r="R193" s="2" t="s">
        <v>44</v>
      </c>
      <c r="S193" s="2">
        <v>8250215703</v>
      </c>
      <c r="T193" s="2" t="s">
        <v>868</v>
      </c>
      <c r="U193" s="2" t="s">
        <v>869</v>
      </c>
      <c r="V193" s="2">
        <v>6378314701</v>
      </c>
      <c r="W193" s="2" t="s">
        <v>810</v>
      </c>
      <c r="X193" s="2">
        <v>40000</v>
      </c>
      <c r="Y193" s="2" t="s">
        <v>46</v>
      </c>
      <c r="Z193" s="2" t="s">
        <v>46</v>
      </c>
      <c r="AA193" s="2" t="s">
        <v>47</v>
      </c>
      <c r="AB193" s="2">
        <v>17</v>
      </c>
      <c r="AC193" s="2" t="s">
        <v>48</v>
      </c>
      <c r="AD193" s="2">
        <v>0</v>
      </c>
    </row>
    <row r="194" spans="1:30" ht="30" x14ac:dyDescent="0.25">
      <c r="A194" s="2">
        <v>9</v>
      </c>
      <c r="B194" s="2" t="s">
        <v>37</v>
      </c>
      <c r="C194" s="2">
        <v>13027</v>
      </c>
      <c r="D194" s="3">
        <v>43284</v>
      </c>
      <c r="E194" s="2" t="s">
        <v>870</v>
      </c>
      <c r="F194" s="2"/>
      <c r="G194" s="2" t="s">
        <v>871</v>
      </c>
      <c r="H194" s="2" t="s">
        <v>872</v>
      </c>
      <c r="I194" s="2" t="s">
        <v>41</v>
      </c>
      <c r="J194" s="3">
        <v>39329</v>
      </c>
      <c r="K194" s="2"/>
      <c r="L194" s="2"/>
      <c r="M194" s="2">
        <v>23</v>
      </c>
      <c r="N194" s="2">
        <v>0</v>
      </c>
      <c r="O194" s="2" t="s">
        <v>53</v>
      </c>
      <c r="P194" s="2" t="s">
        <v>43</v>
      </c>
      <c r="Q194" s="2"/>
      <c r="R194" s="2" t="s">
        <v>44</v>
      </c>
      <c r="S194" s="2">
        <v>8250215703</v>
      </c>
      <c r="T194" s="2" t="s">
        <v>873</v>
      </c>
      <c r="U194" s="2" t="s">
        <v>874</v>
      </c>
      <c r="V194" s="2">
        <v>9879917376</v>
      </c>
      <c r="W194" s="2" t="s">
        <v>371</v>
      </c>
      <c r="X194" s="2">
        <v>50000</v>
      </c>
      <c r="Y194" s="2" t="s">
        <v>46</v>
      </c>
      <c r="Z194" s="2" t="s">
        <v>46</v>
      </c>
      <c r="AA194" s="2" t="s">
        <v>47</v>
      </c>
      <c r="AB194" s="2">
        <v>14</v>
      </c>
      <c r="AC194" s="2" t="s">
        <v>48</v>
      </c>
      <c r="AD194" s="2">
        <v>1</v>
      </c>
    </row>
    <row r="195" spans="1:30" ht="30" x14ac:dyDescent="0.25">
      <c r="A195" s="2">
        <v>9</v>
      </c>
      <c r="B195" s="2" t="s">
        <v>37</v>
      </c>
      <c r="C195" s="2">
        <v>12827</v>
      </c>
      <c r="D195" s="3">
        <v>42933</v>
      </c>
      <c r="E195" s="2" t="s">
        <v>875</v>
      </c>
      <c r="F195" s="2"/>
      <c r="G195" s="2" t="s">
        <v>876</v>
      </c>
      <c r="H195" s="2" t="s">
        <v>877</v>
      </c>
      <c r="I195" s="2" t="s">
        <v>41</v>
      </c>
      <c r="J195" s="3">
        <v>39333</v>
      </c>
      <c r="K195" s="2"/>
      <c r="L195" s="2"/>
      <c r="M195" s="2">
        <v>23</v>
      </c>
      <c r="N195" s="2">
        <v>10</v>
      </c>
      <c r="O195" s="2" t="s">
        <v>78</v>
      </c>
      <c r="P195" s="2" t="s">
        <v>43</v>
      </c>
      <c r="Q195" s="2"/>
      <c r="R195" s="2" t="s">
        <v>44</v>
      </c>
      <c r="S195" s="2">
        <v>8250215703</v>
      </c>
      <c r="T195" s="2" t="s">
        <v>878</v>
      </c>
      <c r="U195" s="2" t="s">
        <v>879</v>
      </c>
      <c r="V195" s="2">
        <v>8239758351</v>
      </c>
      <c r="W195" s="2" t="s">
        <v>880</v>
      </c>
      <c r="X195" s="2">
        <v>45000</v>
      </c>
      <c r="Y195" s="2" t="s">
        <v>46</v>
      </c>
      <c r="Z195" s="2" t="s">
        <v>46</v>
      </c>
      <c r="AA195" s="2" t="s">
        <v>47</v>
      </c>
      <c r="AB195" s="2">
        <v>14</v>
      </c>
      <c r="AC195" s="2" t="s">
        <v>48</v>
      </c>
      <c r="AD195" s="2">
        <v>0</v>
      </c>
    </row>
    <row r="196" spans="1:30" ht="30" x14ac:dyDescent="0.25">
      <c r="A196" s="2">
        <v>9</v>
      </c>
      <c r="B196" s="2" t="s">
        <v>37</v>
      </c>
      <c r="C196" s="2">
        <v>13747</v>
      </c>
      <c r="D196" s="3">
        <v>44393</v>
      </c>
      <c r="E196" s="2" t="s">
        <v>881</v>
      </c>
      <c r="F196" s="2"/>
      <c r="G196" s="2" t="s">
        <v>882</v>
      </c>
      <c r="H196" s="2" t="s">
        <v>883</v>
      </c>
      <c r="I196" s="2" t="s">
        <v>41</v>
      </c>
      <c r="J196" s="3">
        <v>39104</v>
      </c>
      <c r="K196" s="2"/>
      <c r="L196" s="2"/>
      <c r="M196" s="2">
        <v>23</v>
      </c>
      <c r="N196" s="2">
        <v>11</v>
      </c>
      <c r="O196" s="2" t="s">
        <v>42</v>
      </c>
      <c r="P196" s="2" t="s">
        <v>43</v>
      </c>
      <c r="Q196" s="2"/>
      <c r="R196" s="2" t="s">
        <v>44</v>
      </c>
      <c r="S196" s="2">
        <v>8250215703</v>
      </c>
      <c r="T196" s="2" t="s">
        <v>884</v>
      </c>
      <c r="U196" s="2" t="s">
        <v>885</v>
      </c>
      <c r="V196" s="2">
        <v>9799705528</v>
      </c>
      <c r="W196" s="2" t="s">
        <v>886</v>
      </c>
      <c r="X196" s="2">
        <v>36000</v>
      </c>
      <c r="Y196" s="2" t="s">
        <v>46</v>
      </c>
      <c r="Z196" s="2" t="s">
        <v>46</v>
      </c>
      <c r="AA196" s="2" t="s">
        <v>47</v>
      </c>
      <c r="AB196" s="2">
        <v>14</v>
      </c>
      <c r="AC196" s="2" t="s">
        <v>48</v>
      </c>
      <c r="AD196" s="2">
        <v>2</v>
      </c>
    </row>
    <row r="197" spans="1:30" ht="30" x14ac:dyDescent="0.25">
      <c r="A197" s="2">
        <v>9</v>
      </c>
      <c r="B197" s="2" t="s">
        <v>37</v>
      </c>
      <c r="C197" s="2">
        <v>13794</v>
      </c>
      <c r="D197" s="3">
        <v>44399</v>
      </c>
      <c r="E197" s="2" t="s">
        <v>887</v>
      </c>
      <c r="F197" s="2"/>
      <c r="G197" s="2" t="s">
        <v>888</v>
      </c>
      <c r="H197" s="2" t="s">
        <v>889</v>
      </c>
      <c r="I197" s="2" t="s">
        <v>41</v>
      </c>
      <c r="J197" s="3">
        <v>38733</v>
      </c>
      <c r="K197" s="2"/>
      <c r="L197" s="2"/>
      <c r="M197" s="2">
        <v>23</v>
      </c>
      <c r="N197" s="2">
        <v>5</v>
      </c>
      <c r="O197" s="2" t="s">
        <v>78</v>
      </c>
      <c r="P197" s="2" t="s">
        <v>43</v>
      </c>
      <c r="Q197" s="2"/>
      <c r="R197" s="2" t="s">
        <v>44</v>
      </c>
      <c r="S197" s="2">
        <v>8250215703</v>
      </c>
      <c r="T197" s="2" t="s">
        <v>890</v>
      </c>
      <c r="U197" s="2" t="s">
        <v>891</v>
      </c>
      <c r="V197" s="2">
        <v>7727942264</v>
      </c>
      <c r="W197" s="2" t="s">
        <v>810</v>
      </c>
      <c r="X197" s="2">
        <v>40000</v>
      </c>
      <c r="Y197" s="2" t="s">
        <v>46</v>
      </c>
      <c r="Z197" s="2" t="s">
        <v>46</v>
      </c>
      <c r="AA197" s="2" t="s">
        <v>47</v>
      </c>
      <c r="AB197" s="2">
        <v>15</v>
      </c>
      <c r="AC197" s="2" t="s">
        <v>48</v>
      </c>
      <c r="AD197" s="2">
        <v>0</v>
      </c>
    </row>
    <row r="198" spans="1:30" ht="30" x14ac:dyDescent="0.25">
      <c r="A198" s="2">
        <v>9</v>
      </c>
      <c r="B198" s="2" t="s">
        <v>37</v>
      </c>
      <c r="C198" s="2">
        <v>13858</v>
      </c>
      <c r="D198" s="3">
        <v>44406</v>
      </c>
      <c r="E198" s="2" t="s">
        <v>892</v>
      </c>
      <c r="F198" s="2"/>
      <c r="G198" s="2" t="s">
        <v>893</v>
      </c>
      <c r="H198" s="2" t="s">
        <v>894</v>
      </c>
      <c r="I198" s="2" t="s">
        <v>41</v>
      </c>
      <c r="J198" s="3">
        <v>39438</v>
      </c>
      <c r="K198" s="2"/>
      <c r="L198" s="2"/>
      <c r="M198" s="2">
        <v>23</v>
      </c>
      <c r="N198" s="2">
        <v>12</v>
      </c>
      <c r="O198" s="2" t="s">
        <v>78</v>
      </c>
      <c r="P198" s="2" t="s">
        <v>43</v>
      </c>
      <c r="Q198" s="2"/>
      <c r="R198" s="2" t="s">
        <v>44</v>
      </c>
      <c r="S198" s="2">
        <v>8250215703</v>
      </c>
      <c r="T198" s="2" t="s">
        <v>895</v>
      </c>
      <c r="U198" s="2"/>
      <c r="V198" s="2">
        <v>8385051580</v>
      </c>
      <c r="W198" s="2" t="s">
        <v>896</v>
      </c>
      <c r="X198" s="2">
        <v>36000</v>
      </c>
      <c r="Y198" s="2" t="s">
        <v>46</v>
      </c>
      <c r="Z198" s="2" t="s">
        <v>46</v>
      </c>
      <c r="AA198" s="2" t="s">
        <v>47</v>
      </c>
      <c r="AB198" s="2">
        <v>14</v>
      </c>
      <c r="AC198" s="2" t="s">
        <v>48</v>
      </c>
      <c r="AD198" s="2">
        <v>3</v>
      </c>
    </row>
    <row r="199" spans="1:30" ht="30" x14ac:dyDescent="0.25">
      <c r="A199" s="2">
        <v>9</v>
      </c>
      <c r="B199" s="2" t="s">
        <v>37</v>
      </c>
      <c r="C199" s="2">
        <v>13745</v>
      </c>
      <c r="D199" s="3">
        <v>44393</v>
      </c>
      <c r="E199" s="2" t="s">
        <v>897</v>
      </c>
      <c r="F199" s="2"/>
      <c r="G199" s="2" t="s">
        <v>898</v>
      </c>
      <c r="H199" s="2" t="s">
        <v>899</v>
      </c>
      <c r="I199" s="2" t="s">
        <v>41</v>
      </c>
      <c r="J199" s="3">
        <v>39298</v>
      </c>
      <c r="K199" s="2"/>
      <c r="L199" s="2"/>
      <c r="M199" s="2">
        <v>23</v>
      </c>
      <c r="N199" s="2">
        <v>12</v>
      </c>
      <c r="O199" s="2" t="s">
        <v>53</v>
      </c>
      <c r="P199" s="2" t="s">
        <v>43</v>
      </c>
      <c r="Q199" s="2"/>
      <c r="R199" s="2" t="s">
        <v>44</v>
      </c>
      <c r="S199" s="2">
        <v>8250215703</v>
      </c>
      <c r="T199" s="2" t="s">
        <v>900</v>
      </c>
      <c r="U199" s="2" t="s">
        <v>901</v>
      </c>
      <c r="V199" s="2">
        <v>8005923392</v>
      </c>
      <c r="W199" s="2" t="s">
        <v>902</v>
      </c>
      <c r="X199" s="2">
        <v>72000</v>
      </c>
      <c r="Y199" s="2" t="s">
        <v>46</v>
      </c>
      <c r="Z199" s="2" t="s">
        <v>46</v>
      </c>
      <c r="AA199" s="2" t="s">
        <v>47</v>
      </c>
      <c r="AB199" s="2">
        <v>14</v>
      </c>
      <c r="AC199" s="2" t="s">
        <v>48</v>
      </c>
      <c r="AD199" s="2">
        <v>2</v>
      </c>
    </row>
    <row r="200" spans="1:30" ht="30" x14ac:dyDescent="0.25">
      <c r="A200" s="2">
        <v>9</v>
      </c>
      <c r="B200" s="2" t="s">
        <v>37</v>
      </c>
      <c r="C200" s="2">
        <v>13765</v>
      </c>
      <c r="D200" s="3">
        <v>44396</v>
      </c>
      <c r="E200" s="2" t="s">
        <v>903</v>
      </c>
      <c r="F200" s="2"/>
      <c r="G200" s="2" t="s">
        <v>904</v>
      </c>
      <c r="H200" s="2" t="s">
        <v>905</v>
      </c>
      <c r="I200" s="2" t="s">
        <v>41</v>
      </c>
      <c r="J200" s="3">
        <v>38955</v>
      </c>
      <c r="K200" s="2"/>
      <c r="L200" s="2"/>
      <c r="M200" s="2">
        <v>23</v>
      </c>
      <c r="N200" s="2">
        <v>12</v>
      </c>
      <c r="O200" s="2" t="s">
        <v>53</v>
      </c>
      <c r="P200" s="2" t="s">
        <v>43</v>
      </c>
      <c r="Q200" s="2"/>
      <c r="R200" s="2" t="s">
        <v>44</v>
      </c>
      <c r="S200" s="2">
        <v>8250215703</v>
      </c>
      <c r="T200" s="2" t="s">
        <v>906</v>
      </c>
      <c r="U200" s="2"/>
      <c r="V200" s="2">
        <v>8003804662</v>
      </c>
      <c r="W200" s="2" t="s">
        <v>842</v>
      </c>
      <c r="X200" s="2">
        <v>48000</v>
      </c>
      <c r="Y200" s="2" t="s">
        <v>46</v>
      </c>
      <c r="Z200" s="2" t="s">
        <v>46</v>
      </c>
      <c r="AA200" s="2" t="s">
        <v>47</v>
      </c>
      <c r="AB200" s="2">
        <v>15</v>
      </c>
      <c r="AC200" s="2" t="s">
        <v>48</v>
      </c>
      <c r="AD200" s="2">
        <v>0</v>
      </c>
    </row>
    <row r="201" spans="1:30" ht="30" x14ac:dyDescent="0.25">
      <c r="A201" s="2">
        <v>9</v>
      </c>
      <c r="B201" s="2" t="s">
        <v>37</v>
      </c>
      <c r="C201" s="2">
        <v>13851</v>
      </c>
      <c r="D201" s="3">
        <v>44406</v>
      </c>
      <c r="E201" s="2" t="s">
        <v>907</v>
      </c>
      <c r="F201" s="2"/>
      <c r="G201" s="2" t="s">
        <v>908</v>
      </c>
      <c r="H201" s="2" t="s">
        <v>909</v>
      </c>
      <c r="I201" s="2" t="s">
        <v>41</v>
      </c>
      <c r="J201" s="3">
        <v>38957</v>
      </c>
      <c r="K201" s="2"/>
      <c r="L201" s="2"/>
      <c r="M201" s="2">
        <v>23</v>
      </c>
      <c r="N201" s="2">
        <v>12</v>
      </c>
      <c r="O201" s="2" t="s">
        <v>773</v>
      </c>
      <c r="P201" s="2" t="s">
        <v>43</v>
      </c>
      <c r="Q201" s="2"/>
      <c r="R201" s="2" t="s">
        <v>44</v>
      </c>
      <c r="S201" s="2">
        <v>8250215703</v>
      </c>
      <c r="T201" s="2" t="s">
        <v>910</v>
      </c>
      <c r="U201" s="2"/>
      <c r="V201" s="2">
        <v>8890257645</v>
      </c>
      <c r="W201" s="2" t="s">
        <v>911</v>
      </c>
      <c r="X201" s="2">
        <v>60000</v>
      </c>
      <c r="Y201" s="2" t="s">
        <v>46</v>
      </c>
      <c r="Z201" s="2" t="s">
        <v>46</v>
      </c>
      <c r="AA201" s="2" t="s">
        <v>47</v>
      </c>
      <c r="AB201" s="2">
        <v>15</v>
      </c>
      <c r="AC201" s="2" t="s">
        <v>48</v>
      </c>
      <c r="AD201" s="2">
        <v>1</v>
      </c>
    </row>
    <row r="202" spans="1:30" ht="30" x14ac:dyDescent="0.25">
      <c r="A202" s="2">
        <v>9</v>
      </c>
      <c r="B202" s="2" t="s">
        <v>37</v>
      </c>
      <c r="C202" s="2">
        <v>13499</v>
      </c>
      <c r="D202" s="3">
        <v>44069</v>
      </c>
      <c r="E202" s="2" t="s">
        <v>912</v>
      </c>
      <c r="F202" s="2" t="s">
        <v>229</v>
      </c>
      <c r="G202" s="2" t="s">
        <v>913</v>
      </c>
      <c r="H202" s="2" t="s">
        <v>914</v>
      </c>
      <c r="I202" s="2" t="s">
        <v>41</v>
      </c>
      <c r="J202" s="3">
        <v>39448</v>
      </c>
      <c r="K202" s="2"/>
      <c r="L202" s="2"/>
      <c r="M202" s="2">
        <v>23</v>
      </c>
      <c r="N202" s="2">
        <v>0</v>
      </c>
      <c r="O202" s="2" t="s">
        <v>53</v>
      </c>
      <c r="P202" s="2" t="s">
        <v>43</v>
      </c>
      <c r="Q202" s="2"/>
      <c r="R202" s="2" t="s">
        <v>44</v>
      </c>
      <c r="S202" s="2">
        <v>8250215703</v>
      </c>
      <c r="T202" s="2" t="s">
        <v>915</v>
      </c>
      <c r="U202" s="2" t="s">
        <v>916</v>
      </c>
      <c r="V202" s="2">
        <v>7742293516</v>
      </c>
      <c r="W202" s="2" t="s">
        <v>917</v>
      </c>
      <c r="X202" s="2">
        <v>10000</v>
      </c>
      <c r="Y202" s="2" t="s">
        <v>46</v>
      </c>
      <c r="Z202" s="2" t="s">
        <v>46</v>
      </c>
      <c r="AA202" s="2" t="s">
        <v>47</v>
      </c>
      <c r="AB202" s="2">
        <v>13</v>
      </c>
      <c r="AC202" s="2" t="s">
        <v>48</v>
      </c>
      <c r="AD202" s="2">
        <v>4</v>
      </c>
    </row>
    <row r="203" spans="1:30" ht="30" x14ac:dyDescent="0.25">
      <c r="A203" s="2">
        <v>9</v>
      </c>
      <c r="B203" s="2" t="s">
        <v>37</v>
      </c>
      <c r="C203" s="2">
        <v>13848</v>
      </c>
      <c r="D203" s="3">
        <v>44406</v>
      </c>
      <c r="E203" s="2" t="s">
        <v>918</v>
      </c>
      <c r="F203" s="2"/>
      <c r="G203" s="2" t="s">
        <v>919</v>
      </c>
      <c r="H203" s="2" t="s">
        <v>920</v>
      </c>
      <c r="I203" s="2" t="s">
        <v>41</v>
      </c>
      <c r="J203" s="3">
        <v>39107</v>
      </c>
      <c r="K203" s="2"/>
      <c r="L203" s="2"/>
      <c r="M203" s="2">
        <v>23</v>
      </c>
      <c r="N203" s="2">
        <v>4</v>
      </c>
      <c r="O203" s="2" t="s">
        <v>53</v>
      </c>
      <c r="P203" s="2" t="s">
        <v>43</v>
      </c>
      <c r="Q203" s="2"/>
      <c r="R203" s="2" t="s">
        <v>44</v>
      </c>
      <c r="S203" s="2">
        <v>8250215703</v>
      </c>
      <c r="T203" s="2" t="s">
        <v>921</v>
      </c>
      <c r="U203" s="2" t="s">
        <v>922</v>
      </c>
      <c r="V203" s="2">
        <v>6376866784</v>
      </c>
      <c r="W203" s="2" t="s">
        <v>923</v>
      </c>
      <c r="X203" s="2">
        <v>30000</v>
      </c>
      <c r="Y203" s="2" t="s">
        <v>46</v>
      </c>
      <c r="Z203" s="2" t="s">
        <v>46</v>
      </c>
      <c r="AA203" s="2" t="s">
        <v>47</v>
      </c>
      <c r="AB203" s="2">
        <v>14</v>
      </c>
      <c r="AC203" s="2" t="s">
        <v>48</v>
      </c>
      <c r="AD203" s="2">
        <v>0.5</v>
      </c>
    </row>
    <row r="204" spans="1:30" ht="30" x14ac:dyDescent="0.25">
      <c r="A204" s="2">
        <v>9</v>
      </c>
      <c r="B204" s="2" t="s">
        <v>37</v>
      </c>
      <c r="C204" s="2">
        <v>13721</v>
      </c>
      <c r="D204" s="3">
        <v>44390</v>
      </c>
      <c r="E204" s="2" t="s">
        <v>924</v>
      </c>
      <c r="F204" s="2"/>
      <c r="G204" s="2" t="s">
        <v>925</v>
      </c>
      <c r="H204" s="2" t="s">
        <v>379</v>
      </c>
      <c r="I204" s="2" t="s">
        <v>41</v>
      </c>
      <c r="J204" s="3">
        <v>39058</v>
      </c>
      <c r="K204" s="2"/>
      <c r="L204" s="2"/>
      <c r="M204" s="2">
        <v>23</v>
      </c>
      <c r="N204" s="2">
        <v>12</v>
      </c>
      <c r="O204" s="2" t="s">
        <v>825</v>
      </c>
      <c r="P204" s="2" t="s">
        <v>43</v>
      </c>
      <c r="Q204" s="2"/>
      <c r="R204" s="2" t="s">
        <v>44</v>
      </c>
      <c r="S204" s="2">
        <v>8250215703</v>
      </c>
      <c r="T204" s="2" t="s">
        <v>926</v>
      </c>
      <c r="U204" s="2" t="s">
        <v>927</v>
      </c>
      <c r="V204" s="2">
        <v>8290717987</v>
      </c>
      <c r="W204" s="2" t="s">
        <v>928</v>
      </c>
      <c r="X204" s="2">
        <v>60000</v>
      </c>
      <c r="Y204" s="2" t="s">
        <v>46</v>
      </c>
      <c r="Z204" s="2" t="s">
        <v>240</v>
      </c>
      <c r="AA204" s="2" t="s">
        <v>47</v>
      </c>
      <c r="AB204" s="2">
        <v>15</v>
      </c>
      <c r="AC204" s="2" t="s">
        <v>48</v>
      </c>
      <c r="AD204" s="2">
        <v>1</v>
      </c>
    </row>
    <row r="205" spans="1:30" ht="30" x14ac:dyDescent="0.25">
      <c r="A205" s="2">
        <v>9</v>
      </c>
      <c r="B205" s="2" t="s">
        <v>37</v>
      </c>
      <c r="C205" s="2">
        <v>13796</v>
      </c>
      <c r="D205" s="3">
        <v>44399</v>
      </c>
      <c r="E205" s="2" t="s">
        <v>929</v>
      </c>
      <c r="F205" s="2"/>
      <c r="G205" s="2" t="s">
        <v>930</v>
      </c>
      <c r="H205" s="2" t="s">
        <v>931</v>
      </c>
      <c r="I205" s="2" t="s">
        <v>41</v>
      </c>
      <c r="J205" s="3">
        <v>38939</v>
      </c>
      <c r="K205" s="2"/>
      <c r="L205" s="2"/>
      <c r="M205" s="2">
        <v>23</v>
      </c>
      <c r="N205" s="2">
        <v>12</v>
      </c>
      <c r="O205" s="2" t="s">
        <v>78</v>
      </c>
      <c r="P205" s="2" t="s">
        <v>43</v>
      </c>
      <c r="Q205" s="2"/>
      <c r="R205" s="2" t="s">
        <v>44</v>
      </c>
      <c r="S205" s="2">
        <v>8250215703</v>
      </c>
      <c r="T205" s="2" t="s">
        <v>932</v>
      </c>
      <c r="U205" s="2" t="s">
        <v>933</v>
      </c>
      <c r="V205" s="2">
        <v>7568042411</v>
      </c>
      <c r="W205" s="2" t="s">
        <v>810</v>
      </c>
      <c r="X205" s="2">
        <v>36000</v>
      </c>
      <c r="Y205" s="2" t="s">
        <v>46</v>
      </c>
      <c r="Z205" s="2" t="s">
        <v>46</v>
      </c>
      <c r="AA205" s="2" t="s">
        <v>47</v>
      </c>
      <c r="AB205" s="2">
        <v>15</v>
      </c>
      <c r="AC205" s="2" t="s">
        <v>48</v>
      </c>
      <c r="AD205" s="2">
        <v>0</v>
      </c>
    </row>
    <row r="206" spans="1:30" ht="30" x14ac:dyDescent="0.25">
      <c r="A206" s="2">
        <v>9</v>
      </c>
      <c r="B206" s="2" t="s">
        <v>37</v>
      </c>
      <c r="C206" s="2">
        <v>13925</v>
      </c>
      <c r="D206" s="3">
        <v>44421</v>
      </c>
      <c r="E206" s="2" t="s">
        <v>934</v>
      </c>
      <c r="F206" s="2"/>
      <c r="G206" s="2" t="s">
        <v>935</v>
      </c>
      <c r="H206" s="2" t="s">
        <v>936</v>
      </c>
      <c r="I206" s="2" t="s">
        <v>41</v>
      </c>
      <c r="J206" s="3">
        <v>38553</v>
      </c>
      <c r="K206" s="2"/>
      <c r="L206" s="2"/>
      <c r="M206" s="2">
        <v>23</v>
      </c>
      <c r="N206" s="2">
        <v>10</v>
      </c>
      <c r="O206" s="2" t="s">
        <v>78</v>
      </c>
      <c r="P206" s="2" t="s">
        <v>43</v>
      </c>
      <c r="Q206" s="2"/>
      <c r="R206" s="2" t="s">
        <v>44</v>
      </c>
      <c r="S206" s="2">
        <v>8250215703</v>
      </c>
      <c r="T206" s="2" t="s">
        <v>937</v>
      </c>
      <c r="U206" s="2" t="s">
        <v>938</v>
      </c>
      <c r="V206" s="2">
        <v>7627086855</v>
      </c>
      <c r="W206" s="2" t="s">
        <v>810</v>
      </c>
      <c r="X206" s="2">
        <v>42000</v>
      </c>
      <c r="Y206" s="2" t="s">
        <v>46</v>
      </c>
      <c r="Z206" s="2" t="s">
        <v>46</v>
      </c>
      <c r="AA206" s="2" t="s">
        <v>47</v>
      </c>
      <c r="AB206" s="2">
        <v>16</v>
      </c>
      <c r="AC206" s="2" t="s">
        <v>48</v>
      </c>
      <c r="AD206" s="2">
        <v>0</v>
      </c>
    </row>
    <row r="207" spans="1:30" ht="30" x14ac:dyDescent="0.25">
      <c r="A207" s="2">
        <v>9</v>
      </c>
      <c r="B207" s="2" t="s">
        <v>37</v>
      </c>
      <c r="C207" s="2">
        <v>13854</v>
      </c>
      <c r="D207" s="3">
        <v>44406</v>
      </c>
      <c r="E207" s="2" t="s">
        <v>939</v>
      </c>
      <c r="F207" s="2"/>
      <c r="G207" s="2" t="s">
        <v>940</v>
      </c>
      <c r="H207" s="2" t="s">
        <v>941</v>
      </c>
      <c r="I207" s="2" t="s">
        <v>41</v>
      </c>
      <c r="J207" s="3">
        <v>39032</v>
      </c>
      <c r="K207" s="2"/>
      <c r="L207" s="2"/>
      <c r="M207" s="2">
        <v>23</v>
      </c>
      <c r="N207" s="2">
        <v>4</v>
      </c>
      <c r="O207" s="2" t="s">
        <v>78</v>
      </c>
      <c r="P207" s="2" t="s">
        <v>43</v>
      </c>
      <c r="Q207" s="2"/>
      <c r="R207" s="2" t="s">
        <v>44</v>
      </c>
      <c r="S207" s="2">
        <v>8250215703</v>
      </c>
      <c r="T207" s="2" t="s">
        <v>942</v>
      </c>
      <c r="U207" s="2" t="s">
        <v>943</v>
      </c>
      <c r="V207" s="2">
        <v>7877237998</v>
      </c>
      <c r="W207" s="2" t="s">
        <v>944</v>
      </c>
      <c r="X207" s="2">
        <v>40000</v>
      </c>
      <c r="Y207" s="2" t="s">
        <v>46</v>
      </c>
      <c r="Z207" s="2" t="s">
        <v>46</v>
      </c>
      <c r="AA207" s="2" t="s">
        <v>47</v>
      </c>
      <c r="AB207" s="2">
        <v>15</v>
      </c>
      <c r="AC207" s="2" t="s">
        <v>48</v>
      </c>
      <c r="AD207" s="2">
        <v>0</v>
      </c>
    </row>
    <row r="208" spans="1:30" ht="30" x14ac:dyDescent="0.25">
      <c r="A208" s="2">
        <v>9</v>
      </c>
      <c r="B208" s="2" t="s">
        <v>37</v>
      </c>
      <c r="C208" s="2">
        <v>12266</v>
      </c>
      <c r="D208" s="3">
        <v>42548</v>
      </c>
      <c r="E208" s="2" t="s">
        <v>945</v>
      </c>
      <c r="F208" s="2"/>
      <c r="G208" s="2" t="s">
        <v>946</v>
      </c>
      <c r="H208" s="2" t="s">
        <v>947</v>
      </c>
      <c r="I208" s="2" t="s">
        <v>41</v>
      </c>
      <c r="J208" s="3">
        <v>38427</v>
      </c>
      <c r="K208" s="2"/>
      <c r="L208" s="2"/>
      <c r="M208" s="2">
        <v>23</v>
      </c>
      <c r="N208" s="2">
        <v>2</v>
      </c>
      <c r="O208" s="2" t="s">
        <v>53</v>
      </c>
      <c r="P208" s="2" t="s">
        <v>43</v>
      </c>
      <c r="Q208" s="2"/>
      <c r="R208" s="2" t="s">
        <v>44</v>
      </c>
      <c r="S208" s="2">
        <v>8250215703</v>
      </c>
      <c r="T208" s="2" t="s">
        <v>948</v>
      </c>
      <c r="U208" s="2"/>
      <c r="V208" s="2">
        <v>7791953874</v>
      </c>
      <c r="W208" s="2" t="s">
        <v>949</v>
      </c>
      <c r="X208" s="2">
        <v>45000</v>
      </c>
      <c r="Y208" s="2" t="s">
        <v>46</v>
      </c>
      <c r="Z208" s="2" t="s">
        <v>46</v>
      </c>
      <c r="AA208" s="2" t="s">
        <v>47</v>
      </c>
      <c r="AB208" s="2">
        <v>16</v>
      </c>
      <c r="AC208" s="2" t="s">
        <v>48</v>
      </c>
      <c r="AD208" s="2">
        <v>4</v>
      </c>
    </row>
    <row r="209" spans="1:30" ht="30" x14ac:dyDescent="0.25">
      <c r="A209" s="2">
        <v>9</v>
      </c>
      <c r="B209" s="2" t="s">
        <v>37</v>
      </c>
      <c r="C209" s="2">
        <v>13744</v>
      </c>
      <c r="D209" s="3">
        <v>44393</v>
      </c>
      <c r="E209" s="2" t="s">
        <v>950</v>
      </c>
      <c r="F209" s="2"/>
      <c r="G209" s="2" t="s">
        <v>951</v>
      </c>
      <c r="H209" s="2" t="s">
        <v>952</v>
      </c>
      <c r="I209" s="2" t="s">
        <v>41</v>
      </c>
      <c r="J209" s="3">
        <v>39360</v>
      </c>
      <c r="K209" s="2"/>
      <c r="L209" s="2"/>
      <c r="M209" s="2">
        <v>23</v>
      </c>
      <c r="N209" s="2">
        <v>7</v>
      </c>
      <c r="O209" s="2" t="s">
        <v>78</v>
      </c>
      <c r="P209" s="2" t="s">
        <v>43</v>
      </c>
      <c r="Q209" s="2"/>
      <c r="R209" s="2" t="s">
        <v>44</v>
      </c>
      <c r="S209" s="2">
        <v>8250215703</v>
      </c>
      <c r="T209" s="2" t="s">
        <v>953</v>
      </c>
      <c r="U209" s="2" t="s">
        <v>954</v>
      </c>
      <c r="V209" s="2">
        <v>7976211684</v>
      </c>
      <c r="W209" s="2" t="s">
        <v>955</v>
      </c>
      <c r="X209" s="2">
        <v>40000</v>
      </c>
      <c r="Y209" s="2" t="s">
        <v>46</v>
      </c>
      <c r="Z209" s="2" t="s">
        <v>46</v>
      </c>
      <c r="AA209" s="2" t="s">
        <v>47</v>
      </c>
      <c r="AB209" s="2">
        <v>14</v>
      </c>
      <c r="AC209" s="2" t="s">
        <v>48</v>
      </c>
      <c r="AD209" s="2">
        <v>1</v>
      </c>
    </row>
    <row r="210" spans="1:30" ht="30" x14ac:dyDescent="0.25">
      <c r="A210" s="2">
        <v>9</v>
      </c>
      <c r="B210" s="2" t="s">
        <v>37</v>
      </c>
      <c r="C210" s="2">
        <v>12818</v>
      </c>
      <c r="D210" s="3">
        <v>42927</v>
      </c>
      <c r="E210" s="2" t="s">
        <v>956</v>
      </c>
      <c r="F210" s="2"/>
      <c r="G210" s="2" t="s">
        <v>957</v>
      </c>
      <c r="H210" s="2" t="s">
        <v>958</v>
      </c>
      <c r="I210" s="2" t="s">
        <v>41</v>
      </c>
      <c r="J210" s="3">
        <v>38978</v>
      </c>
      <c r="K210" s="2"/>
      <c r="L210" s="2"/>
      <c r="M210" s="2">
        <v>23</v>
      </c>
      <c r="N210" s="2">
        <v>3</v>
      </c>
      <c r="O210" s="2" t="s">
        <v>53</v>
      </c>
      <c r="P210" s="2" t="s">
        <v>43</v>
      </c>
      <c r="Q210" s="2"/>
      <c r="R210" s="2" t="s">
        <v>44</v>
      </c>
      <c r="S210" s="2">
        <v>8250215703</v>
      </c>
      <c r="T210" s="2" t="s">
        <v>959</v>
      </c>
      <c r="U210" s="2"/>
      <c r="V210" s="2">
        <v>9983044984</v>
      </c>
      <c r="W210" s="2" t="s">
        <v>960</v>
      </c>
      <c r="X210" s="2">
        <v>0</v>
      </c>
      <c r="Y210" s="2" t="s">
        <v>46</v>
      </c>
      <c r="Z210" s="2" t="s">
        <v>46</v>
      </c>
      <c r="AA210" s="2" t="s">
        <v>47</v>
      </c>
      <c r="AB210" s="2">
        <v>15</v>
      </c>
      <c r="AC210" s="2" t="s">
        <v>48</v>
      </c>
      <c r="AD210" s="2">
        <v>1</v>
      </c>
    </row>
    <row r="211" spans="1:30" ht="30" x14ac:dyDescent="0.25">
      <c r="A211" s="2">
        <v>9</v>
      </c>
      <c r="B211" s="2" t="s">
        <v>37</v>
      </c>
      <c r="C211" s="2">
        <v>13856</v>
      </c>
      <c r="D211" s="3">
        <v>44406</v>
      </c>
      <c r="E211" s="2" t="s">
        <v>961</v>
      </c>
      <c r="F211" s="2"/>
      <c r="G211" s="2" t="s">
        <v>962</v>
      </c>
      <c r="H211" s="2" t="s">
        <v>867</v>
      </c>
      <c r="I211" s="2" t="s">
        <v>41</v>
      </c>
      <c r="J211" s="3">
        <v>38786</v>
      </c>
      <c r="K211" s="2"/>
      <c r="L211" s="2"/>
      <c r="M211" s="2">
        <v>23</v>
      </c>
      <c r="N211" s="2">
        <v>10</v>
      </c>
      <c r="O211" s="2" t="s">
        <v>78</v>
      </c>
      <c r="P211" s="2" t="s">
        <v>43</v>
      </c>
      <c r="Q211" s="2"/>
      <c r="R211" s="2" t="s">
        <v>44</v>
      </c>
      <c r="S211" s="2">
        <v>8250215703</v>
      </c>
      <c r="T211" s="2" t="s">
        <v>963</v>
      </c>
      <c r="U211" s="2" t="s">
        <v>869</v>
      </c>
      <c r="V211" s="2">
        <v>6378314701</v>
      </c>
      <c r="W211" s="2" t="s">
        <v>964</v>
      </c>
      <c r="X211" s="2">
        <v>40000</v>
      </c>
      <c r="Y211" s="2" t="s">
        <v>46</v>
      </c>
      <c r="Z211" s="2" t="s">
        <v>46</v>
      </c>
      <c r="AA211" s="2" t="s">
        <v>47</v>
      </c>
      <c r="AB211" s="2">
        <v>15</v>
      </c>
      <c r="AC211" s="2" t="s">
        <v>48</v>
      </c>
      <c r="AD211" s="2">
        <v>0</v>
      </c>
    </row>
    <row r="212" spans="1:30" ht="30" x14ac:dyDescent="0.25">
      <c r="A212" s="2">
        <v>9</v>
      </c>
      <c r="B212" s="2" t="s">
        <v>37</v>
      </c>
      <c r="C212" s="2">
        <v>13903</v>
      </c>
      <c r="D212" s="3">
        <v>44420</v>
      </c>
      <c r="E212" s="2" t="s">
        <v>965</v>
      </c>
      <c r="F212" s="2"/>
      <c r="G212" s="2" t="s">
        <v>966</v>
      </c>
      <c r="H212" s="2" t="s">
        <v>967</v>
      </c>
      <c r="I212" s="2" t="s">
        <v>41</v>
      </c>
      <c r="J212" s="3">
        <v>39606</v>
      </c>
      <c r="K212" s="2"/>
      <c r="L212" s="2"/>
      <c r="M212" s="2">
        <v>23</v>
      </c>
      <c r="N212" s="2">
        <v>11</v>
      </c>
      <c r="O212" s="2" t="s">
        <v>78</v>
      </c>
      <c r="P212" s="2" t="s">
        <v>43</v>
      </c>
      <c r="Q212" s="2"/>
      <c r="R212" s="2" t="s">
        <v>44</v>
      </c>
      <c r="S212" s="2">
        <v>8250215703</v>
      </c>
      <c r="T212" s="2" t="s">
        <v>968</v>
      </c>
      <c r="U212" s="2"/>
      <c r="V212" s="2">
        <v>9828209951</v>
      </c>
      <c r="W212" s="2" t="s">
        <v>969</v>
      </c>
      <c r="X212" s="2">
        <v>36000</v>
      </c>
      <c r="Y212" s="2" t="s">
        <v>46</v>
      </c>
      <c r="Z212" s="2" t="s">
        <v>46</v>
      </c>
      <c r="AA212" s="2" t="s">
        <v>47</v>
      </c>
      <c r="AB212" s="2">
        <v>13</v>
      </c>
      <c r="AC212" s="2" t="s">
        <v>48</v>
      </c>
      <c r="AD212" s="2">
        <v>1</v>
      </c>
    </row>
    <row r="213" spans="1:30" ht="30" x14ac:dyDescent="0.25">
      <c r="A213" s="2">
        <v>9</v>
      </c>
      <c r="B213" s="2" t="s">
        <v>37</v>
      </c>
      <c r="C213" s="2">
        <v>13842</v>
      </c>
      <c r="D213" s="3">
        <v>44405</v>
      </c>
      <c r="E213" s="2" t="s">
        <v>970</v>
      </c>
      <c r="F213" s="2"/>
      <c r="G213" s="2" t="s">
        <v>971</v>
      </c>
      <c r="H213" s="2" t="s">
        <v>972</v>
      </c>
      <c r="I213" s="2" t="s">
        <v>41</v>
      </c>
      <c r="J213" s="3">
        <v>39488</v>
      </c>
      <c r="K213" s="2"/>
      <c r="L213" s="2"/>
      <c r="M213" s="2">
        <v>23</v>
      </c>
      <c r="N213" s="2">
        <v>12</v>
      </c>
      <c r="O213" s="2" t="s">
        <v>42</v>
      </c>
      <c r="P213" s="2" t="s">
        <v>43</v>
      </c>
      <c r="Q213" s="2"/>
      <c r="R213" s="2" t="s">
        <v>44</v>
      </c>
      <c r="S213" s="2">
        <v>8250215703</v>
      </c>
      <c r="T213" s="2" t="s">
        <v>973</v>
      </c>
      <c r="U213" s="2" t="s">
        <v>974</v>
      </c>
      <c r="V213" s="2">
        <v>8239915872</v>
      </c>
      <c r="W213" s="2" t="s">
        <v>975</v>
      </c>
      <c r="X213" s="2">
        <v>70000</v>
      </c>
      <c r="Y213" s="2" t="s">
        <v>46</v>
      </c>
      <c r="Z213" s="2" t="s">
        <v>46</v>
      </c>
      <c r="AA213" s="2" t="s">
        <v>47</v>
      </c>
      <c r="AB213" s="2">
        <v>13</v>
      </c>
      <c r="AC213" s="2" t="s">
        <v>48</v>
      </c>
      <c r="AD213" s="2">
        <v>0</v>
      </c>
    </row>
    <row r="214" spans="1:30" ht="30" x14ac:dyDescent="0.25">
      <c r="A214" s="2">
        <v>9</v>
      </c>
      <c r="B214" s="2" t="s">
        <v>37</v>
      </c>
      <c r="C214" s="2">
        <v>13743</v>
      </c>
      <c r="D214" s="3">
        <v>44393</v>
      </c>
      <c r="E214" s="2" t="s">
        <v>919</v>
      </c>
      <c r="F214" s="2"/>
      <c r="G214" s="2" t="s">
        <v>976</v>
      </c>
      <c r="H214" s="2" t="s">
        <v>977</v>
      </c>
      <c r="I214" s="2" t="s">
        <v>41</v>
      </c>
      <c r="J214" s="3">
        <v>39425</v>
      </c>
      <c r="K214" s="2"/>
      <c r="L214" s="2"/>
      <c r="M214" s="2">
        <v>23</v>
      </c>
      <c r="N214" s="2">
        <v>8</v>
      </c>
      <c r="O214" s="2" t="s">
        <v>53</v>
      </c>
      <c r="P214" s="2" t="s">
        <v>43</v>
      </c>
      <c r="Q214" s="2"/>
      <c r="R214" s="2" t="s">
        <v>44</v>
      </c>
      <c r="S214" s="2">
        <v>8250215703</v>
      </c>
      <c r="T214" s="2" t="s">
        <v>978</v>
      </c>
      <c r="U214" s="2" t="s">
        <v>979</v>
      </c>
      <c r="V214" s="2">
        <v>6377767017</v>
      </c>
      <c r="W214" s="2" t="s">
        <v>980</v>
      </c>
      <c r="X214" s="2">
        <v>36000</v>
      </c>
      <c r="Y214" s="2" t="s">
        <v>46</v>
      </c>
      <c r="Z214" s="2" t="s">
        <v>46</v>
      </c>
      <c r="AA214" s="2" t="s">
        <v>47</v>
      </c>
      <c r="AB214" s="2">
        <v>14</v>
      </c>
      <c r="AC214" s="2" t="s">
        <v>48</v>
      </c>
      <c r="AD214" s="2">
        <v>0</v>
      </c>
    </row>
    <row r="215" spans="1:30" ht="30" x14ac:dyDescent="0.25">
      <c r="A215" s="2">
        <v>9</v>
      </c>
      <c r="B215" s="2" t="s">
        <v>37</v>
      </c>
      <c r="C215" s="2">
        <v>13793</v>
      </c>
      <c r="D215" s="3">
        <v>44399</v>
      </c>
      <c r="E215" s="2" t="s">
        <v>981</v>
      </c>
      <c r="F215" s="2"/>
      <c r="G215" s="2" t="s">
        <v>982</v>
      </c>
      <c r="H215" s="2" t="s">
        <v>379</v>
      </c>
      <c r="I215" s="2" t="s">
        <v>41</v>
      </c>
      <c r="J215" s="3">
        <v>38845</v>
      </c>
      <c r="K215" s="2"/>
      <c r="L215" s="2"/>
      <c r="M215" s="2">
        <v>23</v>
      </c>
      <c r="N215" s="2">
        <v>10</v>
      </c>
      <c r="O215" s="2" t="s">
        <v>53</v>
      </c>
      <c r="P215" s="2" t="s">
        <v>43</v>
      </c>
      <c r="Q215" s="2"/>
      <c r="R215" s="2" t="s">
        <v>44</v>
      </c>
      <c r="S215" s="2">
        <v>8250215703</v>
      </c>
      <c r="T215" s="2" t="s">
        <v>983</v>
      </c>
      <c r="U215" s="2" t="s">
        <v>984</v>
      </c>
      <c r="V215" s="2">
        <v>9602527019</v>
      </c>
      <c r="W215" s="2" t="s">
        <v>985</v>
      </c>
      <c r="X215" s="2">
        <v>36000</v>
      </c>
      <c r="Y215" s="2" t="s">
        <v>46</v>
      </c>
      <c r="Z215" s="2" t="s">
        <v>46</v>
      </c>
      <c r="AA215" s="2" t="s">
        <v>47</v>
      </c>
      <c r="AB215" s="2">
        <v>15</v>
      </c>
      <c r="AC215" s="2" t="s">
        <v>48</v>
      </c>
      <c r="AD215" s="2">
        <v>1</v>
      </c>
    </row>
    <row r="216" spans="1:30" ht="30" x14ac:dyDescent="0.25">
      <c r="A216" s="2">
        <v>9</v>
      </c>
      <c r="B216" s="2" t="s">
        <v>37</v>
      </c>
      <c r="C216" s="2">
        <v>12446</v>
      </c>
      <c r="D216" s="3">
        <v>42552</v>
      </c>
      <c r="E216" s="2" t="s">
        <v>986</v>
      </c>
      <c r="F216" s="2"/>
      <c r="G216" s="2" t="s">
        <v>987</v>
      </c>
      <c r="H216" s="2" t="s">
        <v>988</v>
      </c>
      <c r="I216" s="2" t="s">
        <v>41</v>
      </c>
      <c r="J216" s="3">
        <v>38760</v>
      </c>
      <c r="K216" s="2"/>
      <c r="L216" s="2"/>
      <c r="M216" s="2">
        <v>23</v>
      </c>
      <c r="N216" s="2">
        <v>10</v>
      </c>
      <c r="O216" s="2" t="s">
        <v>53</v>
      </c>
      <c r="P216" s="2" t="s">
        <v>43</v>
      </c>
      <c r="Q216" s="2"/>
      <c r="R216" s="2" t="s">
        <v>44</v>
      </c>
      <c r="S216" s="2">
        <v>8250215703</v>
      </c>
      <c r="T216" s="2" t="s">
        <v>989</v>
      </c>
      <c r="U216" s="2" t="s">
        <v>990</v>
      </c>
      <c r="V216" s="2">
        <v>8003928720</v>
      </c>
      <c r="W216" s="2" t="s">
        <v>991</v>
      </c>
      <c r="X216" s="2">
        <v>40000</v>
      </c>
      <c r="Y216" s="2" t="s">
        <v>46</v>
      </c>
      <c r="Z216" s="2" t="s">
        <v>46</v>
      </c>
      <c r="AA216" s="2" t="s">
        <v>47</v>
      </c>
      <c r="AB216" s="2">
        <v>15</v>
      </c>
      <c r="AC216" s="2" t="s">
        <v>48</v>
      </c>
      <c r="AD216" s="2">
        <v>2</v>
      </c>
    </row>
    <row r="217" spans="1:30" ht="30" x14ac:dyDescent="0.25">
      <c r="A217" s="2">
        <v>9</v>
      </c>
      <c r="B217" s="2" t="s">
        <v>37</v>
      </c>
      <c r="C217" s="2">
        <v>13706</v>
      </c>
      <c r="D217" s="3">
        <v>44379</v>
      </c>
      <c r="E217" s="2" t="s">
        <v>992</v>
      </c>
      <c r="F217" s="2" t="s">
        <v>229</v>
      </c>
      <c r="G217" s="2" t="s">
        <v>993</v>
      </c>
      <c r="H217" s="2" t="s">
        <v>994</v>
      </c>
      <c r="I217" s="2" t="s">
        <v>41</v>
      </c>
      <c r="J217" s="3">
        <v>39329</v>
      </c>
      <c r="K217" s="2"/>
      <c r="L217" s="2"/>
      <c r="M217" s="2">
        <v>23</v>
      </c>
      <c r="N217" s="2">
        <v>12</v>
      </c>
      <c r="O217" s="2" t="s">
        <v>78</v>
      </c>
      <c r="P217" s="2" t="s">
        <v>43</v>
      </c>
      <c r="Q217" s="2"/>
      <c r="R217" s="2" t="s">
        <v>44</v>
      </c>
      <c r="S217" s="2">
        <v>8250215703</v>
      </c>
      <c r="T217" s="2" t="s">
        <v>995</v>
      </c>
      <c r="U217" s="2"/>
      <c r="V217" s="2">
        <v>9785682500</v>
      </c>
      <c r="W217" s="2" t="s">
        <v>255</v>
      </c>
      <c r="X217" s="2">
        <v>0</v>
      </c>
      <c r="Y217" s="2" t="s">
        <v>46</v>
      </c>
      <c r="Z217" s="2" t="s">
        <v>46</v>
      </c>
      <c r="AA217" s="2" t="s">
        <v>47</v>
      </c>
      <c r="AB217" s="2">
        <v>14</v>
      </c>
      <c r="AC217" s="2" t="s">
        <v>48</v>
      </c>
      <c r="AD217" s="2">
        <v>2</v>
      </c>
    </row>
    <row r="218" spans="1:30" ht="30" x14ac:dyDescent="0.25">
      <c r="A218" s="2">
        <v>9</v>
      </c>
      <c r="B218" s="2" t="s">
        <v>37</v>
      </c>
      <c r="C218" s="2">
        <v>13857</v>
      </c>
      <c r="D218" s="3">
        <v>44406</v>
      </c>
      <c r="E218" s="2" t="s">
        <v>996</v>
      </c>
      <c r="F218" s="2"/>
      <c r="G218" s="2" t="s">
        <v>997</v>
      </c>
      <c r="H218" s="2" t="s">
        <v>998</v>
      </c>
      <c r="I218" s="2" t="s">
        <v>41</v>
      </c>
      <c r="J218" s="3">
        <v>38422</v>
      </c>
      <c r="K218" s="2"/>
      <c r="L218" s="2"/>
      <c r="M218" s="2">
        <v>23</v>
      </c>
      <c r="N218" s="2">
        <v>11</v>
      </c>
      <c r="O218" s="2" t="s">
        <v>78</v>
      </c>
      <c r="P218" s="2" t="s">
        <v>43</v>
      </c>
      <c r="Q218" s="2"/>
      <c r="R218" s="2" t="s">
        <v>44</v>
      </c>
      <c r="S218" s="2">
        <v>8250215703</v>
      </c>
      <c r="T218" s="2" t="s">
        <v>999</v>
      </c>
      <c r="U218" s="2" t="s">
        <v>1000</v>
      </c>
      <c r="V218" s="2">
        <v>8094201879</v>
      </c>
      <c r="W218" s="2" t="s">
        <v>1001</v>
      </c>
      <c r="X218" s="2">
        <v>40000</v>
      </c>
      <c r="Y218" s="2" t="s">
        <v>46</v>
      </c>
      <c r="Z218" s="2" t="s">
        <v>46</v>
      </c>
      <c r="AA218" s="2" t="s">
        <v>47</v>
      </c>
      <c r="AB218" s="2">
        <v>16</v>
      </c>
      <c r="AC218" s="2" t="s">
        <v>48</v>
      </c>
      <c r="AD218" s="2">
        <v>0</v>
      </c>
    </row>
    <row r="219" spans="1:30" ht="30" x14ac:dyDescent="0.25">
      <c r="A219" s="2">
        <v>9</v>
      </c>
      <c r="B219" s="2" t="s">
        <v>37</v>
      </c>
      <c r="C219" s="2">
        <v>13762</v>
      </c>
      <c r="D219" s="3">
        <v>44396</v>
      </c>
      <c r="E219" s="2" t="s">
        <v>1002</v>
      </c>
      <c r="F219" s="2"/>
      <c r="G219" s="2" t="s">
        <v>982</v>
      </c>
      <c r="H219" s="2" t="s">
        <v>1003</v>
      </c>
      <c r="I219" s="2" t="s">
        <v>41</v>
      </c>
      <c r="J219" s="3">
        <v>40265</v>
      </c>
      <c r="K219" s="2"/>
      <c r="L219" s="2"/>
      <c r="M219" s="2">
        <v>23</v>
      </c>
      <c r="N219" s="2">
        <v>12</v>
      </c>
      <c r="O219" s="2" t="s">
        <v>53</v>
      </c>
      <c r="P219" s="2" t="s">
        <v>43</v>
      </c>
      <c r="Q219" s="2"/>
      <c r="R219" s="2" t="s">
        <v>44</v>
      </c>
      <c r="S219" s="2">
        <v>8250215703</v>
      </c>
      <c r="T219" s="2" t="s">
        <v>1004</v>
      </c>
      <c r="U219" s="2"/>
      <c r="V219" s="2">
        <v>8003247611</v>
      </c>
      <c r="W219" s="2" t="s">
        <v>842</v>
      </c>
      <c r="X219" s="2">
        <v>48000</v>
      </c>
      <c r="Y219" s="2" t="s">
        <v>46</v>
      </c>
      <c r="Z219" s="2" t="s">
        <v>46</v>
      </c>
      <c r="AA219" s="2" t="s">
        <v>47</v>
      </c>
      <c r="AB219" s="2">
        <v>11</v>
      </c>
      <c r="AC219" s="2" t="s">
        <v>48</v>
      </c>
      <c r="AD219" s="2">
        <v>0</v>
      </c>
    </row>
    <row r="220" spans="1:30" ht="45" x14ac:dyDescent="0.25">
      <c r="A220" s="2">
        <v>9</v>
      </c>
      <c r="B220" s="2" t="s">
        <v>37</v>
      </c>
      <c r="C220" s="2">
        <v>13746</v>
      </c>
      <c r="D220" s="3">
        <v>44393</v>
      </c>
      <c r="E220" s="2" t="s">
        <v>1005</v>
      </c>
      <c r="F220" s="2"/>
      <c r="G220" s="2" t="s">
        <v>1006</v>
      </c>
      <c r="H220" s="2" t="s">
        <v>686</v>
      </c>
      <c r="I220" s="2" t="s">
        <v>41</v>
      </c>
      <c r="J220" s="3">
        <v>39431</v>
      </c>
      <c r="K220" s="2"/>
      <c r="L220" s="2"/>
      <c r="M220" s="2">
        <v>23</v>
      </c>
      <c r="N220" s="2">
        <v>12</v>
      </c>
      <c r="O220" s="2" t="s">
        <v>53</v>
      </c>
      <c r="P220" s="2" t="s">
        <v>43</v>
      </c>
      <c r="Q220" s="2"/>
      <c r="R220" s="2" t="s">
        <v>44</v>
      </c>
      <c r="S220" s="2">
        <v>8250215703</v>
      </c>
      <c r="T220" s="2" t="s">
        <v>1007</v>
      </c>
      <c r="U220" s="2" t="s">
        <v>1008</v>
      </c>
      <c r="V220" s="2">
        <v>9828947798</v>
      </c>
      <c r="W220" s="2" t="s">
        <v>1009</v>
      </c>
      <c r="X220" s="2">
        <v>36000</v>
      </c>
      <c r="Y220" s="2" t="s">
        <v>46</v>
      </c>
      <c r="Z220" s="2" t="s">
        <v>46</v>
      </c>
      <c r="AA220" s="2" t="s">
        <v>47</v>
      </c>
      <c r="AB220" s="2">
        <v>14</v>
      </c>
      <c r="AC220" s="2" t="s">
        <v>48</v>
      </c>
      <c r="AD220" s="2">
        <v>0</v>
      </c>
    </row>
    <row r="221" spans="1:30" ht="30" x14ac:dyDescent="0.25">
      <c r="A221" s="2">
        <v>9</v>
      </c>
      <c r="B221" s="2" t="s">
        <v>37</v>
      </c>
      <c r="C221" s="2">
        <v>13720</v>
      </c>
      <c r="D221" s="3">
        <v>44390</v>
      </c>
      <c r="E221" s="2" t="s">
        <v>1010</v>
      </c>
      <c r="F221" s="2"/>
      <c r="G221" s="2" t="s">
        <v>1011</v>
      </c>
      <c r="H221" s="2" t="s">
        <v>1012</v>
      </c>
      <c r="I221" s="2" t="s">
        <v>41</v>
      </c>
      <c r="J221" s="3">
        <v>38977</v>
      </c>
      <c r="K221" s="2"/>
      <c r="L221" s="2"/>
      <c r="M221" s="2">
        <v>23</v>
      </c>
      <c r="N221" s="2">
        <v>1</v>
      </c>
      <c r="O221" s="2" t="s">
        <v>53</v>
      </c>
      <c r="P221" s="2" t="s">
        <v>43</v>
      </c>
      <c r="Q221" s="2"/>
      <c r="R221" s="2" t="s">
        <v>44</v>
      </c>
      <c r="S221" s="2">
        <v>8250215703</v>
      </c>
      <c r="T221" s="2" t="s">
        <v>1013</v>
      </c>
      <c r="U221" s="2" t="s">
        <v>1014</v>
      </c>
      <c r="V221" s="2">
        <v>6377182310</v>
      </c>
      <c r="W221" s="2" t="s">
        <v>1015</v>
      </c>
      <c r="X221" s="2">
        <v>35000</v>
      </c>
      <c r="Y221" s="2" t="s">
        <v>46</v>
      </c>
      <c r="Z221" s="2" t="s">
        <v>46</v>
      </c>
      <c r="AA221" s="2" t="s">
        <v>47</v>
      </c>
      <c r="AB221" s="2">
        <v>15</v>
      </c>
      <c r="AC221" s="2" t="s">
        <v>48</v>
      </c>
      <c r="AD221" s="2">
        <v>11</v>
      </c>
    </row>
    <row r="222" spans="1:30" ht="30" x14ac:dyDescent="0.25">
      <c r="A222" s="2">
        <v>9</v>
      </c>
      <c r="B222" s="2" t="s">
        <v>37</v>
      </c>
      <c r="C222" s="2">
        <v>13928</v>
      </c>
      <c r="D222" s="3">
        <v>44421</v>
      </c>
      <c r="E222" s="2" t="s">
        <v>1016</v>
      </c>
      <c r="F222" s="2"/>
      <c r="G222" s="2" t="s">
        <v>1017</v>
      </c>
      <c r="H222" s="2" t="s">
        <v>1018</v>
      </c>
      <c r="I222" s="2" t="s">
        <v>41</v>
      </c>
      <c r="J222" s="3">
        <v>39248</v>
      </c>
      <c r="K222" s="2"/>
      <c r="L222" s="2"/>
      <c r="M222" s="2">
        <v>23</v>
      </c>
      <c r="N222" s="2">
        <v>9</v>
      </c>
      <c r="O222" s="2" t="s">
        <v>53</v>
      </c>
      <c r="P222" s="2" t="s">
        <v>43</v>
      </c>
      <c r="Q222" s="2"/>
      <c r="R222" s="2" t="s">
        <v>44</v>
      </c>
      <c r="S222" s="2">
        <v>8250215703</v>
      </c>
      <c r="T222" s="2" t="s">
        <v>1019</v>
      </c>
      <c r="U222" s="2" t="s">
        <v>1020</v>
      </c>
      <c r="V222" s="2">
        <v>9183031879</v>
      </c>
      <c r="W222" s="2" t="s">
        <v>1021</v>
      </c>
      <c r="X222" s="2">
        <v>60000</v>
      </c>
      <c r="Y222" s="2" t="s">
        <v>46</v>
      </c>
      <c r="Z222" s="2" t="s">
        <v>46</v>
      </c>
      <c r="AA222" s="2" t="s">
        <v>47</v>
      </c>
      <c r="AB222" s="2">
        <v>14</v>
      </c>
      <c r="AC222" s="2" t="s">
        <v>48</v>
      </c>
      <c r="AD222" s="2">
        <v>2</v>
      </c>
    </row>
    <row r="223" spans="1:30" ht="30" x14ac:dyDescent="0.25">
      <c r="A223" s="2">
        <v>9</v>
      </c>
      <c r="B223" s="2" t="s">
        <v>37</v>
      </c>
      <c r="C223" s="2">
        <v>12264</v>
      </c>
      <c r="D223" s="3">
        <v>42548</v>
      </c>
      <c r="E223" s="2" t="s">
        <v>1022</v>
      </c>
      <c r="F223" s="2"/>
      <c r="G223" s="2" t="s">
        <v>363</v>
      </c>
      <c r="H223" s="2" t="s">
        <v>700</v>
      </c>
      <c r="I223" s="2" t="s">
        <v>41</v>
      </c>
      <c r="J223" s="3">
        <v>39666</v>
      </c>
      <c r="K223" s="2"/>
      <c r="L223" s="2"/>
      <c r="M223" s="2">
        <v>23</v>
      </c>
      <c r="N223" s="2">
        <v>14</v>
      </c>
      <c r="O223" s="2" t="s">
        <v>53</v>
      </c>
      <c r="P223" s="2" t="s">
        <v>43</v>
      </c>
      <c r="Q223" s="2"/>
      <c r="R223" s="2" t="s">
        <v>44</v>
      </c>
      <c r="S223" s="2">
        <v>8250215703</v>
      </c>
      <c r="T223" s="2" t="s">
        <v>1023</v>
      </c>
      <c r="U223" s="2"/>
      <c r="V223" s="2">
        <v>9929335609</v>
      </c>
      <c r="W223" s="2" t="s">
        <v>509</v>
      </c>
      <c r="X223" s="2">
        <v>30000</v>
      </c>
      <c r="Y223" s="2" t="s">
        <v>46</v>
      </c>
      <c r="Z223" s="2" t="s">
        <v>46</v>
      </c>
      <c r="AA223" s="2" t="s">
        <v>47</v>
      </c>
      <c r="AB223" s="2">
        <v>13</v>
      </c>
      <c r="AC223" s="2" t="s">
        <v>48</v>
      </c>
      <c r="AD223" s="2">
        <v>1</v>
      </c>
    </row>
    <row r="224" spans="1:30" ht="30" x14ac:dyDescent="0.25">
      <c r="A224" s="2">
        <v>9</v>
      </c>
      <c r="B224" s="2" t="s">
        <v>37</v>
      </c>
      <c r="C224" s="2">
        <v>13938</v>
      </c>
      <c r="D224" s="3">
        <v>44426</v>
      </c>
      <c r="E224" s="2" t="s">
        <v>1024</v>
      </c>
      <c r="F224" s="2"/>
      <c r="G224" s="2" t="s">
        <v>1025</v>
      </c>
      <c r="H224" s="2" t="s">
        <v>1026</v>
      </c>
      <c r="I224" s="2" t="s">
        <v>41</v>
      </c>
      <c r="J224" s="3">
        <v>39112</v>
      </c>
      <c r="K224" s="2"/>
      <c r="L224" s="2"/>
      <c r="M224" s="2">
        <v>23</v>
      </c>
      <c r="N224" s="2">
        <v>10</v>
      </c>
      <c r="O224" s="2" t="s">
        <v>53</v>
      </c>
      <c r="P224" s="2" t="s">
        <v>43</v>
      </c>
      <c r="Q224" s="2"/>
      <c r="R224" s="2" t="s">
        <v>44</v>
      </c>
      <c r="S224" s="2">
        <v>8250215703</v>
      </c>
      <c r="T224" s="2" t="s">
        <v>1027</v>
      </c>
      <c r="U224" s="2" t="s">
        <v>1028</v>
      </c>
      <c r="V224" s="2">
        <v>6367820009</v>
      </c>
      <c r="W224" s="2" t="s">
        <v>1029</v>
      </c>
      <c r="X224" s="2">
        <v>60000</v>
      </c>
      <c r="Y224" s="2" t="s">
        <v>46</v>
      </c>
      <c r="Z224" s="2" t="s">
        <v>46</v>
      </c>
      <c r="AA224" s="2" t="s">
        <v>47</v>
      </c>
      <c r="AB224" s="2">
        <v>14</v>
      </c>
      <c r="AC224" s="2" t="s">
        <v>48</v>
      </c>
      <c r="AD224" s="2">
        <v>2</v>
      </c>
    </row>
    <row r="225" spans="1:30" ht="45" x14ac:dyDescent="0.25">
      <c r="A225" s="2">
        <v>9</v>
      </c>
      <c r="B225" s="2" t="s">
        <v>37</v>
      </c>
      <c r="C225" s="2">
        <v>13795</v>
      </c>
      <c r="D225" s="3">
        <v>44399</v>
      </c>
      <c r="E225" s="2" t="s">
        <v>1030</v>
      </c>
      <c r="F225" s="2"/>
      <c r="G225" s="2" t="s">
        <v>1031</v>
      </c>
      <c r="H225" s="2" t="s">
        <v>1032</v>
      </c>
      <c r="I225" s="2" t="s">
        <v>41</v>
      </c>
      <c r="J225" s="3">
        <v>39998</v>
      </c>
      <c r="K225" s="2"/>
      <c r="L225" s="2"/>
      <c r="M225" s="2">
        <v>23</v>
      </c>
      <c r="N225" s="2">
        <v>8</v>
      </c>
      <c r="O225" s="2" t="s">
        <v>53</v>
      </c>
      <c r="P225" s="2" t="s">
        <v>43</v>
      </c>
      <c r="Q225" s="2"/>
      <c r="R225" s="2" t="s">
        <v>44</v>
      </c>
      <c r="S225" s="2">
        <v>8250215703</v>
      </c>
      <c r="T225" s="2" t="s">
        <v>1033</v>
      </c>
      <c r="U225" s="2"/>
      <c r="V225" s="2">
        <v>8290688680</v>
      </c>
      <c r="W225" s="2" t="s">
        <v>1034</v>
      </c>
      <c r="X225" s="2">
        <v>36000</v>
      </c>
      <c r="Y225" s="2" t="s">
        <v>46</v>
      </c>
      <c r="Z225" s="2" t="s">
        <v>46</v>
      </c>
      <c r="AA225" s="2" t="s">
        <v>47</v>
      </c>
      <c r="AB225" s="2">
        <v>12</v>
      </c>
      <c r="AC225" s="2" t="s">
        <v>48</v>
      </c>
      <c r="AD225" s="2">
        <v>0</v>
      </c>
    </row>
    <row r="226" spans="1:30" ht="30" x14ac:dyDescent="0.25">
      <c r="A226" s="2">
        <v>9</v>
      </c>
      <c r="B226" s="2" t="s">
        <v>37</v>
      </c>
      <c r="C226" s="2">
        <v>13792</v>
      </c>
      <c r="D226" s="3">
        <v>44399</v>
      </c>
      <c r="E226" s="2" t="s">
        <v>1035</v>
      </c>
      <c r="F226" s="2"/>
      <c r="G226" s="2" t="s">
        <v>1036</v>
      </c>
      <c r="H226" s="2" t="s">
        <v>1037</v>
      </c>
      <c r="I226" s="2" t="s">
        <v>41</v>
      </c>
      <c r="J226" s="3">
        <v>38783</v>
      </c>
      <c r="K226" s="2"/>
      <c r="L226" s="2"/>
      <c r="M226" s="2">
        <v>23</v>
      </c>
      <c r="N226" s="2">
        <v>8</v>
      </c>
      <c r="O226" s="2" t="s">
        <v>53</v>
      </c>
      <c r="P226" s="2" t="s">
        <v>43</v>
      </c>
      <c r="Q226" s="2"/>
      <c r="R226" s="2" t="s">
        <v>44</v>
      </c>
      <c r="S226" s="2">
        <v>8250215703</v>
      </c>
      <c r="T226" s="2" t="s">
        <v>1038</v>
      </c>
      <c r="U226" s="2" t="s">
        <v>1039</v>
      </c>
      <c r="V226" s="2">
        <v>9602194783</v>
      </c>
      <c r="W226" s="2" t="s">
        <v>1040</v>
      </c>
      <c r="X226" s="2">
        <v>36000</v>
      </c>
      <c r="Y226" s="2" t="s">
        <v>46</v>
      </c>
      <c r="Z226" s="2" t="s">
        <v>240</v>
      </c>
      <c r="AA226" s="2" t="s">
        <v>47</v>
      </c>
      <c r="AB226" s="2">
        <v>15</v>
      </c>
      <c r="AC226" s="2" t="s">
        <v>48</v>
      </c>
      <c r="AD226" s="2">
        <v>3</v>
      </c>
    </row>
    <row r="227" spans="1:30" ht="45" x14ac:dyDescent="0.25">
      <c r="A227" s="2">
        <v>9</v>
      </c>
      <c r="B227" s="2" t="s">
        <v>37</v>
      </c>
      <c r="C227" s="2">
        <v>13724</v>
      </c>
      <c r="D227" s="3">
        <v>44390</v>
      </c>
      <c r="E227" s="2" t="s">
        <v>1041</v>
      </c>
      <c r="F227" s="2"/>
      <c r="G227" s="2" t="s">
        <v>299</v>
      </c>
      <c r="H227" s="2" t="s">
        <v>300</v>
      </c>
      <c r="I227" s="2" t="s">
        <v>41</v>
      </c>
      <c r="J227" s="3">
        <v>39050</v>
      </c>
      <c r="K227" s="2"/>
      <c r="L227" s="2"/>
      <c r="M227" s="2">
        <v>23</v>
      </c>
      <c r="N227" s="2">
        <v>11</v>
      </c>
      <c r="O227" s="2" t="s">
        <v>53</v>
      </c>
      <c r="P227" s="2" t="s">
        <v>43</v>
      </c>
      <c r="Q227" s="2"/>
      <c r="R227" s="2" t="s">
        <v>44</v>
      </c>
      <c r="S227" s="2">
        <v>8250215703</v>
      </c>
      <c r="T227" s="2" t="s">
        <v>1042</v>
      </c>
      <c r="U227" s="2"/>
      <c r="V227" s="2">
        <v>8107314162</v>
      </c>
      <c r="W227" s="2" t="s">
        <v>1043</v>
      </c>
      <c r="X227" s="2">
        <v>60000</v>
      </c>
      <c r="Y227" s="2" t="s">
        <v>46</v>
      </c>
      <c r="Z227" s="2" t="s">
        <v>46</v>
      </c>
      <c r="AA227" s="2" t="s">
        <v>47</v>
      </c>
      <c r="AB227" s="2">
        <v>15</v>
      </c>
      <c r="AC227" s="2" t="s">
        <v>48</v>
      </c>
      <c r="AD227" s="2">
        <v>1</v>
      </c>
    </row>
    <row r="228" spans="1:30" ht="30" x14ac:dyDescent="0.25">
      <c r="A228" s="2">
        <v>9</v>
      </c>
      <c r="B228" s="2" t="s">
        <v>37</v>
      </c>
      <c r="C228" s="2">
        <v>13723</v>
      </c>
      <c r="D228" s="3">
        <v>44390</v>
      </c>
      <c r="E228" s="2" t="s">
        <v>1044</v>
      </c>
      <c r="F228" s="2"/>
      <c r="G228" s="2" t="s">
        <v>1045</v>
      </c>
      <c r="H228" s="2" t="s">
        <v>1046</v>
      </c>
      <c r="I228" s="2" t="s">
        <v>41</v>
      </c>
      <c r="J228" s="3">
        <v>39796</v>
      </c>
      <c r="K228" s="2"/>
      <c r="L228" s="2"/>
      <c r="M228" s="2">
        <v>23</v>
      </c>
      <c r="N228" s="2">
        <v>10</v>
      </c>
      <c r="O228" s="2" t="s">
        <v>42</v>
      </c>
      <c r="P228" s="2" t="s">
        <v>43</v>
      </c>
      <c r="Q228" s="2"/>
      <c r="R228" s="2" t="s">
        <v>44</v>
      </c>
      <c r="S228" s="2">
        <v>8250215703</v>
      </c>
      <c r="T228" s="2" t="s">
        <v>1047</v>
      </c>
      <c r="U228" s="2" t="s">
        <v>1048</v>
      </c>
      <c r="V228" s="2">
        <v>9587375747</v>
      </c>
      <c r="W228" s="2" t="s">
        <v>1049</v>
      </c>
      <c r="X228" s="2">
        <v>40000</v>
      </c>
      <c r="Y228" s="2" t="s">
        <v>46</v>
      </c>
      <c r="Z228" s="2" t="s">
        <v>46</v>
      </c>
      <c r="AA228" s="2" t="s">
        <v>47</v>
      </c>
      <c r="AB228" s="2">
        <v>13</v>
      </c>
      <c r="AC228" s="2" t="s">
        <v>48</v>
      </c>
      <c r="AD228" s="2">
        <v>11</v>
      </c>
    </row>
    <row r="229" spans="1:30" ht="30" x14ac:dyDescent="0.25">
      <c r="A229" s="2">
        <v>9</v>
      </c>
      <c r="B229" s="2" t="s">
        <v>37</v>
      </c>
      <c r="C229" s="2">
        <v>13849</v>
      </c>
      <c r="D229" s="3">
        <v>44406</v>
      </c>
      <c r="E229" s="2" t="s">
        <v>1050</v>
      </c>
      <c r="F229" s="2"/>
      <c r="G229" s="2" t="s">
        <v>982</v>
      </c>
      <c r="H229" s="2" t="s">
        <v>210</v>
      </c>
      <c r="I229" s="2" t="s">
        <v>41</v>
      </c>
      <c r="J229" s="3">
        <v>39058</v>
      </c>
      <c r="K229" s="2"/>
      <c r="L229" s="2"/>
      <c r="M229" s="2">
        <v>23</v>
      </c>
      <c r="N229" s="2">
        <v>12</v>
      </c>
      <c r="O229" s="2" t="s">
        <v>53</v>
      </c>
      <c r="P229" s="2" t="s">
        <v>43</v>
      </c>
      <c r="Q229" s="2"/>
      <c r="R229" s="2" t="s">
        <v>44</v>
      </c>
      <c r="S229" s="2">
        <v>8250215703</v>
      </c>
      <c r="T229" s="2" t="s">
        <v>1051</v>
      </c>
      <c r="U229" s="2" t="s">
        <v>1052</v>
      </c>
      <c r="V229" s="2">
        <v>7611082119</v>
      </c>
      <c r="W229" s="2" t="s">
        <v>601</v>
      </c>
      <c r="X229" s="2">
        <v>48000</v>
      </c>
      <c r="Y229" s="2" t="s">
        <v>46</v>
      </c>
      <c r="Z229" s="2" t="s">
        <v>46</v>
      </c>
      <c r="AA229" s="2" t="s">
        <v>47</v>
      </c>
      <c r="AB229" s="2">
        <v>15</v>
      </c>
      <c r="AC229" s="2" t="s">
        <v>48</v>
      </c>
      <c r="AD229" s="2">
        <v>0</v>
      </c>
    </row>
    <row r="230" spans="1:30" ht="30" x14ac:dyDescent="0.25">
      <c r="A230" s="2">
        <v>9</v>
      </c>
      <c r="B230" s="2" t="s">
        <v>37</v>
      </c>
      <c r="C230" s="2">
        <v>13121</v>
      </c>
      <c r="D230" s="3">
        <v>43292</v>
      </c>
      <c r="E230" s="2" t="s">
        <v>1053</v>
      </c>
      <c r="F230" s="2"/>
      <c r="G230" s="2" t="s">
        <v>1054</v>
      </c>
      <c r="H230" s="2" t="s">
        <v>1055</v>
      </c>
      <c r="I230" s="2" t="s">
        <v>41</v>
      </c>
      <c r="J230" s="3">
        <v>39440</v>
      </c>
      <c r="K230" s="2"/>
      <c r="L230" s="2"/>
      <c r="M230" s="2">
        <v>23</v>
      </c>
      <c r="N230" s="2">
        <v>11</v>
      </c>
      <c r="O230" s="2" t="s">
        <v>53</v>
      </c>
      <c r="P230" s="2" t="s">
        <v>43</v>
      </c>
      <c r="Q230" s="2"/>
      <c r="R230" s="2" t="s">
        <v>44</v>
      </c>
      <c r="S230" s="2">
        <v>8250215703</v>
      </c>
      <c r="T230" s="2" t="s">
        <v>1056</v>
      </c>
      <c r="U230" s="2" t="s">
        <v>1057</v>
      </c>
      <c r="V230" s="2">
        <v>9461547147</v>
      </c>
      <c r="W230" s="2" t="s">
        <v>1058</v>
      </c>
      <c r="X230" s="2">
        <v>36000</v>
      </c>
      <c r="Y230" s="2" t="s">
        <v>46</v>
      </c>
      <c r="Z230" s="2" t="s">
        <v>46</v>
      </c>
      <c r="AA230" s="2" t="s">
        <v>47</v>
      </c>
      <c r="AB230" s="2">
        <v>14</v>
      </c>
      <c r="AC230" s="2" t="s">
        <v>48</v>
      </c>
      <c r="AD230" s="2">
        <v>2</v>
      </c>
    </row>
    <row r="231" spans="1:30" ht="30" x14ac:dyDescent="0.25">
      <c r="A231" s="2">
        <v>9</v>
      </c>
      <c r="B231" s="2" t="s">
        <v>37</v>
      </c>
      <c r="C231" s="2">
        <v>13753</v>
      </c>
      <c r="D231" s="3">
        <v>44394</v>
      </c>
      <c r="E231" s="2" t="s">
        <v>1059</v>
      </c>
      <c r="F231" s="2"/>
      <c r="G231" s="2" t="s">
        <v>1060</v>
      </c>
      <c r="H231" s="2" t="s">
        <v>1061</v>
      </c>
      <c r="I231" s="2" t="s">
        <v>41</v>
      </c>
      <c r="J231" s="3">
        <v>39300</v>
      </c>
      <c r="K231" s="2"/>
      <c r="L231" s="2"/>
      <c r="M231" s="2">
        <v>23</v>
      </c>
      <c r="N231" s="2">
        <v>11</v>
      </c>
      <c r="O231" s="2" t="s">
        <v>53</v>
      </c>
      <c r="P231" s="2" t="s">
        <v>43</v>
      </c>
      <c r="Q231" s="2"/>
      <c r="R231" s="2" t="s">
        <v>44</v>
      </c>
      <c r="S231" s="2">
        <v>8250215703</v>
      </c>
      <c r="T231" s="2" t="s">
        <v>1062</v>
      </c>
      <c r="U231" s="2" t="s">
        <v>1063</v>
      </c>
      <c r="V231" s="2">
        <v>7014984268</v>
      </c>
      <c r="W231" s="2" t="s">
        <v>1064</v>
      </c>
      <c r="X231" s="2">
        <v>36000</v>
      </c>
      <c r="Y231" s="2" t="s">
        <v>46</v>
      </c>
      <c r="Z231" s="2" t="s">
        <v>46</v>
      </c>
      <c r="AA231" s="2" t="s">
        <v>47</v>
      </c>
      <c r="AB231" s="2">
        <v>14</v>
      </c>
      <c r="AC231" s="2" t="s">
        <v>48</v>
      </c>
      <c r="AD231" s="2">
        <v>2</v>
      </c>
    </row>
    <row r="232" spans="1:30" ht="30" x14ac:dyDescent="0.25">
      <c r="A232" s="2">
        <v>9</v>
      </c>
      <c r="B232" s="2" t="s">
        <v>37</v>
      </c>
      <c r="C232" s="2">
        <v>13023</v>
      </c>
      <c r="D232" s="3">
        <v>43284</v>
      </c>
      <c r="E232" s="2" t="s">
        <v>310</v>
      </c>
      <c r="F232" s="2"/>
      <c r="G232" s="2" t="s">
        <v>1065</v>
      </c>
      <c r="H232" s="2" t="s">
        <v>977</v>
      </c>
      <c r="I232" s="2" t="s">
        <v>41</v>
      </c>
      <c r="J232" s="3">
        <v>39634</v>
      </c>
      <c r="K232" s="2"/>
      <c r="L232" s="2"/>
      <c r="M232" s="2">
        <v>23</v>
      </c>
      <c r="N232" s="2">
        <v>3</v>
      </c>
      <c r="O232" s="2" t="s">
        <v>53</v>
      </c>
      <c r="P232" s="2" t="s">
        <v>43</v>
      </c>
      <c r="Q232" s="2"/>
      <c r="R232" s="2" t="s">
        <v>44</v>
      </c>
      <c r="S232" s="2">
        <v>8250215703</v>
      </c>
      <c r="T232" s="2" t="s">
        <v>1066</v>
      </c>
      <c r="U232" s="2" t="s">
        <v>1067</v>
      </c>
      <c r="V232" s="2">
        <v>7727944809</v>
      </c>
      <c r="W232" s="2" t="s">
        <v>1068</v>
      </c>
      <c r="X232" s="2">
        <v>36000</v>
      </c>
      <c r="Y232" s="2" t="s">
        <v>46</v>
      </c>
      <c r="Z232" s="2" t="s">
        <v>46</v>
      </c>
      <c r="AA232" s="2" t="s">
        <v>47</v>
      </c>
      <c r="AB232" s="2">
        <v>13</v>
      </c>
      <c r="AC232" s="2" t="s">
        <v>48</v>
      </c>
      <c r="AD232" s="2">
        <v>3</v>
      </c>
    </row>
    <row r="233" spans="1:30" ht="30" x14ac:dyDescent="0.25">
      <c r="A233" s="2">
        <v>9</v>
      </c>
      <c r="B233" s="2" t="s">
        <v>37</v>
      </c>
      <c r="C233" s="2">
        <v>13924</v>
      </c>
      <c r="D233" s="3">
        <v>44421</v>
      </c>
      <c r="E233" s="2" t="s">
        <v>1069</v>
      </c>
      <c r="F233" s="2"/>
      <c r="G233" s="2" t="s">
        <v>1070</v>
      </c>
      <c r="H233" s="2" t="s">
        <v>1071</v>
      </c>
      <c r="I233" s="2" t="s">
        <v>41</v>
      </c>
      <c r="J233" s="3">
        <v>38862</v>
      </c>
      <c r="K233" s="2"/>
      <c r="L233" s="2"/>
      <c r="M233" s="2">
        <v>23</v>
      </c>
      <c r="N233" s="2">
        <v>10</v>
      </c>
      <c r="O233" s="2" t="s">
        <v>53</v>
      </c>
      <c r="P233" s="2" t="s">
        <v>43</v>
      </c>
      <c r="Q233" s="2"/>
      <c r="R233" s="2" t="s">
        <v>44</v>
      </c>
      <c r="S233" s="2">
        <v>8250215703</v>
      </c>
      <c r="T233" s="2" t="s">
        <v>1072</v>
      </c>
      <c r="U233" s="2"/>
      <c r="V233" s="2">
        <v>9602373042</v>
      </c>
      <c r="W233" s="2" t="s">
        <v>1073</v>
      </c>
      <c r="X233" s="2">
        <v>36000</v>
      </c>
      <c r="Y233" s="2" t="s">
        <v>46</v>
      </c>
      <c r="Z233" s="2" t="s">
        <v>46</v>
      </c>
      <c r="AA233" s="2" t="s">
        <v>47</v>
      </c>
      <c r="AB233" s="2">
        <v>15</v>
      </c>
      <c r="AC233" s="2" t="s">
        <v>48</v>
      </c>
      <c r="AD233" s="2">
        <v>6</v>
      </c>
    </row>
    <row r="234" spans="1:30" ht="30" x14ac:dyDescent="0.25">
      <c r="A234" s="2">
        <v>9</v>
      </c>
      <c r="B234" s="2" t="s">
        <v>37</v>
      </c>
      <c r="C234" s="2">
        <v>13766</v>
      </c>
      <c r="D234" s="3">
        <v>44396</v>
      </c>
      <c r="E234" s="2" t="s">
        <v>1074</v>
      </c>
      <c r="F234" s="2"/>
      <c r="G234" s="2" t="s">
        <v>1075</v>
      </c>
      <c r="H234" s="2" t="s">
        <v>1076</v>
      </c>
      <c r="I234" s="2" t="s">
        <v>41</v>
      </c>
      <c r="J234" s="3">
        <v>39463</v>
      </c>
      <c r="K234" s="2"/>
      <c r="L234" s="2"/>
      <c r="M234" s="2">
        <v>23</v>
      </c>
      <c r="N234" s="2">
        <v>10</v>
      </c>
      <c r="O234" s="2" t="s">
        <v>53</v>
      </c>
      <c r="P234" s="2" t="s">
        <v>43</v>
      </c>
      <c r="Q234" s="2"/>
      <c r="R234" s="2" t="s">
        <v>44</v>
      </c>
      <c r="S234" s="2">
        <v>8250215703</v>
      </c>
      <c r="T234" s="2" t="s">
        <v>1077</v>
      </c>
      <c r="U234" s="2" t="s">
        <v>1078</v>
      </c>
      <c r="V234" s="2">
        <v>6355553245</v>
      </c>
      <c r="W234" s="2" t="s">
        <v>1079</v>
      </c>
      <c r="X234" s="2">
        <v>36000</v>
      </c>
      <c r="Y234" s="2" t="s">
        <v>46</v>
      </c>
      <c r="Z234" s="2" t="s">
        <v>46</v>
      </c>
      <c r="AA234" s="2" t="s">
        <v>47</v>
      </c>
      <c r="AB234" s="2">
        <v>13</v>
      </c>
      <c r="AC234" s="2" t="s">
        <v>48</v>
      </c>
      <c r="AD234" s="2">
        <v>1</v>
      </c>
    </row>
    <row r="235" spans="1:30" ht="30" x14ac:dyDescent="0.25">
      <c r="A235" s="2">
        <v>9</v>
      </c>
      <c r="B235" s="2" t="s">
        <v>37</v>
      </c>
      <c r="C235" s="2">
        <v>13904</v>
      </c>
      <c r="D235" s="3">
        <v>44420</v>
      </c>
      <c r="E235" s="2" t="s">
        <v>373</v>
      </c>
      <c r="F235" s="2"/>
      <c r="G235" s="2" t="s">
        <v>1080</v>
      </c>
      <c r="H235" s="2" t="s">
        <v>1081</v>
      </c>
      <c r="I235" s="2" t="s">
        <v>41</v>
      </c>
      <c r="J235" s="3">
        <v>38916</v>
      </c>
      <c r="K235" s="2"/>
      <c r="L235" s="2"/>
      <c r="M235" s="2">
        <v>23</v>
      </c>
      <c r="N235" s="2">
        <v>9</v>
      </c>
      <c r="O235" s="2" t="s">
        <v>53</v>
      </c>
      <c r="P235" s="2" t="s">
        <v>43</v>
      </c>
      <c r="Q235" s="2"/>
      <c r="R235" s="2" t="s">
        <v>44</v>
      </c>
      <c r="S235" s="2">
        <v>8250215703</v>
      </c>
      <c r="T235" s="2" t="s">
        <v>1082</v>
      </c>
      <c r="U235" s="2" t="s">
        <v>1083</v>
      </c>
      <c r="V235" s="2">
        <v>9951319049</v>
      </c>
      <c r="W235" s="2" t="s">
        <v>816</v>
      </c>
      <c r="X235" s="2">
        <v>36000</v>
      </c>
      <c r="Y235" s="2" t="s">
        <v>46</v>
      </c>
      <c r="Z235" s="2" t="s">
        <v>240</v>
      </c>
      <c r="AA235" s="2" t="s">
        <v>47</v>
      </c>
      <c r="AB235" s="2">
        <v>15</v>
      </c>
      <c r="AC235" s="2" t="s">
        <v>48</v>
      </c>
      <c r="AD235" s="2">
        <v>0</v>
      </c>
    </row>
    <row r="236" spans="1:30" ht="30" x14ac:dyDescent="0.25">
      <c r="A236" s="2">
        <v>9</v>
      </c>
      <c r="B236" s="2" t="s">
        <v>37</v>
      </c>
      <c r="C236" s="2">
        <v>13700</v>
      </c>
      <c r="D236" s="3">
        <v>44379</v>
      </c>
      <c r="E236" s="2" t="s">
        <v>1084</v>
      </c>
      <c r="F236" s="2"/>
      <c r="G236" s="2" t="s">
        <v>1085</v>
      </c>
      <c r="H236" s="2" t="s">
        <v>1086</v>
      </c>
      <c r="I236" s="2" t="s">
        <v>41</v>
      </c>
      <c r="J236" s="3">
        <v>39745</v>
      </c>
      <c r="K236" s="2"/>
      <c r="L236" s="2"/>
      <c r="M236" s="2">
        <v>23</v>
      </c>
      <c r="N236" s="2">
        <v>11</v>
      </c>
      <c r="O236" s="2" t="s">
        <v>78</v>
      </c>
      <c r="P236" s="2" t="s">
        <v>43</v>
      </c>
      <c r="Q236" s="2"/>
      <c r="R236" s="2" t="s">
        <v>44</v>
      </c>
      <c r="S236" s="2">
        <v>8250215703</v>
      </c>
      <c r="T236" s="2" t="s">
        <v>1087</v>
      </c>
      <c r="U236" s="2" t="s">
        <v>1088</v>
      </c>
      <c r="V236" s="2">
        <v>9462603557</v>
      </c>
      <c r="W236" s="2" t="s">
        <v>975</v>
      </c>
      <c r="X236" s="2">
        <v>40000</v>
      </c>
      <c r="Y236" s="2" t="s">
        <v>46</v>
      </c>
      <c r="Z236" s="2" t="s">
        <v>46</v>
      </c>
      <c r="AA236" s="2" t="s">
        <v>47</v>
      </c>
      <c r="AB236" s="2">
        <v>13</v>
      </c>
      <c r="AC236" s="2" t="s">
        <v>48</v>
      </c>
      <c r="AD236" s="2">
        <v>0</v>
      </c>
    </row>
    <row r="237" spans="1:30" ht="30" x14ac:dyDescent="0.25">
      <c r="A237" s="2">
        <v>9</v>
      </c>
      <c r="B237" s="2" t="s">
        <v>37</v>
      </c>
      <c r="C237" s="2">
        <v>13703</v>
      </c>
      <c r="D237" s="3">
        <v>44379</v>
      </c>
      <c r="E237" s="2" t="s">
        <v>1089</v>
      </c>
      <c r="F237" s="2"/>
      <c r="G237" s="2" t="s">
        <v>1090</v>
      </c>
      <c r="H237" s="2" t="s">
        <v>1091</v>
      </c>
      <c r="I237" s="2" t="s">
        <v>41</v>
      </c>
      <c r="J237" s="3">
        <v>39188</v>
      </c>
      <c r="K237" s="2"/>
      <c r="L237" s="2"/>
      <c r="M237" s="2">
        <v>23</v>
      </c>
      <c r="N237" s="2">
        <v>0</v>
      </c>
      <c r="O237" s="2" t="s">
        <v>53</v>
      </c>
      <c r="P237" s="2" t="s">
        <v>43</v>
      </c>
      <c r="Q237" s="2"/>
      <c r="R237" s="2" t="s">
        <v>44</v>
      </c>
      <c r="S237" s="2">
        <v>8250215703</v>
      </c>
      <c r="T237" s="2" t="s">
        <v>1092</v>
      </c>
      <c r="U237" s="2"/>
      <c r="V237" s="2">
        <v>8302954679</v>
      </c>
      <c r="W237" s="2" t="s">
        <v>1093</v>
      </c>
      <c r="X237" s="2">
        <v>60000</v>
      </c>
      <c r="Y237" s="2" t="s">
        <v>46</v>
      </c>
      <c r="Z237" s="2" t="s">
        <v>46</v>
      </c>
      <c r="AA237" s="2" t="s">
        <v>47</v>
      </c>
      <c r="AB237" s="2">
        <v>14</v>
      </c>
      <c r="AC237" s="2" t="s">
        <v>48</v>
      </c>
      <c r="AD237" s="2">
        <v>8</v>
      </c>
    </row>
    <row r="238" spans="1:30" ht="30" x14ac:dyDescent="0.25">
      <c r="A238" s="2">
        <v>9</v>
      </c>
      <c r="B238" s="2" t="s">
        <v>37</v>
      </c>
      <c r="C238" s="2">
        <v>13850</v>
      </c>
      <c r="D238" s="3">
        <v>44406</v>
      </c>
      <c r="E238" s="2" t="s">
        <v>1094</v>
      </c>
      <c r="F238" s="2"/>
      <c r="G238" s="2" t="s">
        <v>378</v>
      </c>
      <c r="H238" s="2" t="s">
        <v>1095</v>
      </c>
      <c r="I238" s="2" t="s">
        <v>41</v>
      </c>
      <c r="J238" s="3">
        <v>39141</v>
      </c>
      <c r="K238" s="2"/>
      <c r="L238" s="2"/>
      <c r="M238" s="2">
        <v>23</v>
      </c>
      <c r="N238" s="2">
        <v>10</v>
      </c>
      <c r="O238" s="2" t="s">
        <v>53</v>
      </c>
      <c r="P238" s="2" t="s">
        <v>43</v>
      </c>
      <c r="Q238" s="2"/>
      <c r="R238" s="2" t="s">
        <v>44</v>
      </c>
      <c r="S238" s="2">
        <v>8250215703</v>
      </c>
      <c r="T238" s="2" t="s">
        <v>320</v>
      </c>
      <c r="U238" s="2" t="s">
        <v>1096</v>
      </c>
      <c r="V238" s="2">
        <v>9929032528</v>
      </c>
      <c r="W238" s="2" t="s">
        <v>1097</v>
      </c>
      <c r="X238" s="2">
        <v>45000</v>
      </c>
      <c r="Y238" s="2" t="s">
        <v>46</v>
      </c>
      <c r="Z238" s="2" t="s">
        <v>46</v>
      </c>
      <c r="AA238" s="2" t="s">
        <v>47</v>
      </c>
      <c r="AB238" s="2">
        <v>14</v>
      </c>
      <c r="AC238" s="2" t="s">
        <v>48</v>
      </c>
      <c r="AD238" s="2">
        <v>1</v>
      </c>
    </row>
    <row r="239" spans="1:30" ht="30" x14ac:dyDescent="0.25">
      <c r="A239" s="2">
        <v>9</v>
      </c>
      <c r="B239" s="2" t="s">
        <v>37</v>
      </c>
      <c r="C239" s="2">
        <v>13840</v>
      </c>
      <c r="D239" s="3">
        <v>44405</v>
      </c>
      <c r="E239" s="2" t="s">
        <v>1094</v>
      </c>
      <c r="F239" s="2"/>
      <c r="G239" s="2" t="s">
        <v>1098</v>
      </c>
      <c r="H239" s="2" t="s">
        <v>1099</v>
      </c>
      <c r="I239" s="2" t="s">
        <v>41</v>
      </c>
      <c r="J239" s="3">
        <v>38665</v>
      </c>
      <c r="K239" s="2"/>
      <c r="L239" s="2"/>
      <c r="M239" s="2">
        <v>23</v>
      </c>
      <c r="N239" s="2">
        <v>8</v>
      </c>
      <c r="O239" s="2" t="s">
        <v>78</v>
      </c>
      <c r="P239" s="2" t="s">
        <v>43</v>
      </c>
      <c r="Q239" s="2"/>
      <c r="R239" s="2" t="s">
        <v>44</v>
      </c>
      <c r="S239" s="2">
        <v>8250215703</v>
      </c>
      <c r="T239" s="2" t="s">
        <v>1100</v>
      </c>
      <c r="U239" s="2" t="s">
        <v>1101</v>
      </c>
      <c r="V239" s="2">
        <v>7851978759</v>
      </c>
      <c r="W239" s="2" t="s">
        <v>1102</v>
      </c>
      <c r="X239" s="2">
        <v>36000</v>
      </c>
      <c r="Y239" s="2" t="s">
        <v>46</v>
      </c>
      <c r="Z239" s="2" t="s">
        <v>46</v>
      </c>
      <c r="AA239" s="2" t="s">
        <v>47</v>
      </c>
      <c r="AB239" s="2">
        <v>16</v>
      </c>
      <c r="AC239" s="2" t="s">
        <v>48</v>
      </c>
      <c r="AD239" s="2">
        <v>0</v>
      </c>
    </row>
    <row r="240" spans="1:30" ht="30" x14ac:dyDescent="0.25">
      <c r="A240" s="2">
        <v>9</v>
      </c>
      <c r="B240" s="2" t="s">
        <v>37</v>
      </c>
      <c r="C240" s="2">
        <v>13852</v>
      </c>
      <c r="D240" s="3">
        <v>44406</v>
      </c>
      <c r="E240" s="2" t="s">
        <v>1103</v>
      </c>
      <c r="F240" s="2"/>
      <c r="G240" s="2" t="s">
        <v>1104</v>
      </c>
      <c r="H240" s="2" t="s">
        <v>599</v>
      </c>
      <c r="I240" s="2" t="s">
        <v>41</v>
      </c>
      <c r="J240" s="3">
        <v>39565</v>
      </c>
      <c r="K240" s="2"/>
      <c r="L240" s="2"/>
      <c r="M240" s="2">
        <v>23</v>
      </c>
      <c r="N240" s="2">
        <v>9</v>
      </c>
      <c r="O240" s="2" t="s">
        <v>773</v>
      </c>
      <c r="P240" s="2" t="s">
        <v>43</v>
      </c>
      <c r="Q240" s="2"/>
      <c r="R240" s="2" t="s">
        <v>44</v>
      </c>
      <c r="S240" s="2">
        <v>8250215703</v>
      </c>
      <c r="T240" s="2" t="s">
        <v>1105</v>
      </c>
      <c r="U240" s="2" t="s">
        <v>1106</v>
      </c>
      <c r="V240" s="2">
        <v>9653855499</v>
      </c>
      <c r="W240" s="2" t="s">
        <v>1107</v>
      </c>
      <c r="X240" s="2">
        <v>40000</v>
      </c>
      <c r="Y240" s="2" t="s">
        <v>46</v>
      </c>
      <c r="Z240" s="2" t="s">
        <v>46</v>
      </c>
      <c r="AA240" s="2" t="s">
        <v>47</v>
      </c>
      <c r="AB240" s="2">
        <v>13</v>
      </c>
      <c r="AC240" s="2" t="s">
        <v>48</v>
      </c>
      <c r="AD240" s="2">
        <v>1</v>
      </c>
    </row>
    <row r="241" spans="1:30" ht="30" x14ac:dyDescent="0.25">
      <c r="A241" s="2">
        <v>9</v>
      </c>
      <c r="B241" s="2" t="s">
        <v>1108</v>
      </c>
      <c r="C241" s="2">
        <v>12331</v>
      </c>
      <c r="D241" s="3">
        <v>42548</v>
      </c>
      <c r="E241" s="2" t="s">
        <v>1109</v>
      </c>
      <c r="F241" s="2"/>
      <c r="G241" s="2" t="s">
        <v>1110</v>
      </c>
      <c r="H241" s="2" t="s">
        <v>1111</v>
      </c>
      <c r="I241" s="2" t="s">
        <v>41</v>
      </c>
      <c r="J241" s="3">
        <v>37547</v>
      </c>
      <c r="K241" s="2"/>
      <c r="L241" s="2"/>
      <c r="M241" s="2">
        <v>23</v>
      </c>
      <c r="N241" s="2">
        <v>0</v>
      </c>
      <c r="O241" s="2" t="s">
        <v>42</v>
      </c>
      <c r="P241" s="2" t="s">
        <v>54</v>
      </c>
      <c r="Q241" s="2"/>
      <c r="R241" s="2" t="s">
        <v>44</v>
      </c>
      <c r="S241" s="2">
        <v>8250215703</v>
      </c>
      <c r="T241" s="2" t="s">
        <v>1112</v>
      </c>
      <c r="U241" s="2"/>
      <c r="V241" s="2">
        <v>9982278688</v>
      </c>
      <c r="W241" s="2" t="s">
        <v>1113</v>
      </c>
      <c r="X241" s="2">
        <v>35000</v>
      </c>
      <c r="Y241" s="2" t="s">
        <v>240</v>
      </c>
      <c r="Z241" s="2" t="s">
        <v>46</v>
      </c>
      <c r="AA241" s="2" t="s">
        <v>57</v>
      </c>
      <c r="AB241" s="2">
        <v>19</v>
      </c>
      <c r="AC241" s="2" t="s">
        <v>48</v>
      </c>
      <c r="AD241" s="2">
        <v>1</v>
      </c>
    </row>
    <row r="242" spans="1:30" ht="45" x14ac:dyDescent="0.25">
      <c r="A242" s="2">
        <v>9</v>
      </c>
      <c r="B242" s="2" t="s">
        <v>1108</v>
      </c>
      <c r="C242" s="2">
        <v>13927</v>
      </c>
      <c r="D242" s="3">
        <v>44421</v>
      </c>
      <c r="E242" s="2" t="s">
        <v>1114</v>
      </c>
      <c r="F242" s="2"/>
      <c r="G242" s="2" t="s">
        <v>728</v>
      </c>
      <c r="H242" s="2" t="s">
        <v>1115</v>
      </c>
      <c r="I242" s="2" t="s">
        <v>41</v>
      </c>
      <c r="J242" s="3">
        <v>39013</v>
      </c>
      <c r="K242" s="2"/>
      <c r="L242" s="2"/>
      <c r="M242" s="2">
        <v>23</v>
      </c>
      <c r="N242" s="2">
        <v>15</v>
      </c>
      <c r="O242" s="2" t="s">
        <v>42</v>
      </c>
      <c r="P242" s="2" t="s">
        <v>54</v>
      </c>
      <c r="Q242" s="2"/>
      <c r="R242" s="2" t="s">
        <v>44</v>
      </c>
      <c r="S242" s="2">
        <v>8250215703</v>
      </c>
      <c r="T242" s="2" t="s">
        <v>1116</v>
      </c>
      <c r="U242" s="2"/>
      <c r="V242" s="2">
        <v>9904063509</v>
      </c>
      <c r="W242" s="2" t="s">
        <v>1117</v>
      </c>
      <c r="X242" s="2">
        <v>60000</v>
      </c>
      <c r="Y242" s="2" t="s">
        <v>46</v>
      </c>
      <c r="Z242" s="2" t="s">
        <v>46</v>
      </c>
      <c r="AA242" s="2" t="s">
        <v>57</v>
      </c>
      <c r="AB242" s="2">
        <v>15</v>
      </c>
      <c r="AC242" s="2" t="s">
        <v>48</v>
      </c>
      <c r="AD242" s="2">
        <v>1</v>
      </c>
    </row>
    <row r="243" spans="1:30" ht="30" x14ac:dyDescent="0.25">
      <c r="A243" s="2">
        <v>9</v>
      </c>
      <c r="B243" s="2" t="s">
        <v>1108</v>
      </c>
      <c r="C243" s="2">
        <v>13853</v>
      </c>
      <c r="D243" s="3">
        <v>44406</v>
      </c>
      <c r="E243" s="2" t="s">
        <v>1118</v>
      </c>
      <c r="F243" s="2"/>
      <c r="G243" s="2" t="s">
        <v>1119</v>
      </c>
      <c r="H243" s="2" t="s">
        <v>1120</v>
      </c>
      <c r="I243" s="2" t="s">
        <v>41</v>
      </c>
      <c r="J243" s="3">
        <v>39085</v>
      </c>
      <c r="K243" s="2"/>
      <c r="L243" s="2"/>
      <c r="M243" s="2">
        <v>23</v>
      </c>
      <c r="N243" s="2">
        <v>9</v>
      </c>
      <c r="O243" s="2" t="s">
        <v>53</v>
      </c>
      <c r="P243" s="2" t="s">
        <v>54</v>
      </c>
      <c r="Q243" s="2"/>
      <c r="R243" s="2" t="s">
        <v>44</v>
      </c>
      <c r="S243" s="2">
        <v>8250215703</v>
      </c>
      <c r="T243" s="2" t="s">
        <v>1121</v>
      </c>
      <c r="U243" s="2" t="s">
        <v>1122</v>
      </c>
      <c r="V243" s="2">
        <v>8824831199</v>
      </c>
      <c r="W243" s="2" t="s">
        <v>1123</v>
      </c>
      <c r="X243" s="2">
        <v>36000</v>
      </c>
      <c r="Y243" s="2" t="s">
        <v>46</v>
      </c>
      <c r="Z243" s="2" t="s">
        <v>46</v>
      </c>
      <c r="AA243" s="2" t="s">
        <v>57</v>
      </c>
      <c r="AB243" s="2">
        <v>14</v>
      </c>
      <c r="AC243" s="2" t="s">
        <v>48</v>
      </c>
      <c r="AD243" s="2">
        <v>1</v>
      </c>
    </row>
    <row r="244" spans="1:30" ht="30" x14ac:dyDescent="0.25">
      <c r="A244" s="2">
        <v>9</v>
      </c>
      <c r="B244" s="2" t="s">
        <v>1108</v>
      </c>
      <c r="C244" s="2">
        <v>12279</v>
      </c>
      <c r="D244" s="3">
        <v>42548</v>
      </c>
      <c r="E244" s="2" t="s">
        <v>1124</v>
      </c>
      <c r="F244" s="2"/>
      <c r="G244" s="2" t="s">
        <v>1125</v>
      </c>
      <c r="H244" s="2" t="s">
        <v>1126</v>
      </c>
      <c r="I244" s="2" t="s">
        <v>41</v>
      </c>
      <c r="J244" s="3">
        <v>38769</v>
      </c>
      <c r="K244" s="2"/>
      <c r="L244" s="2"/>
      <c r="M244" s="2">
        <v>23</v>
      </c>
      <c r="N244" s="2">
        <v>4</v>
      </c>
      <c r="O244" s="2" t="s">
        <v>53</v>
      </c>
      <c r="P244" s="2" t="s">
        <v>54</v>
      </c>
      <c r="Q244" s="2"/>
      <c r="R244" s="2" t="s">
        <v>44</v>
      </c>
      <c r="S244" s="2">
        <v>8250215703</v>
      </c>
      <c r="T244" s="2" t="s">
        <v>1127</v>
      </c>
      <c r="U244" s="2" t="s">
        <v>1128</v>
      </c>
      <c r="V244" s="2">
        <v>8890581494</v>
      </c>
      <c r="W244" s="2" t="s">
        <v>911</v>
      </c>
      <c r="X244" s="2">
        <v>45000</v>
      </c>
      <c r="Y244" s="2" t="s">
        <v>46</v>
      </c>
      <c r="Z244" s="2" t="s">
        <v>46</v>
      </c>
      <c r="AA244" s="2" t="s">
        <v>57</v>
      </c>
      <c r="AB244" s="2">
        <v>15</v>
      </c>
      <c r="AC244" s="2" t="s">
        <v>48</v>
      </c>
      <c r="AD244" s="2">
        <v>1</v>
      </c>
    </row>
    <row r="245" spans="1:30" ht="30" x14ac:dyDescent="0.25">
      <c r="A245" s="2">
        <v>9</v>
      </c>
      <c r="B245" s="2" t="s">
        <v>1108</v>
      </c>
      <c r="C245" s="2">
        <v>13999</v>
      </c>
      <c r="D245" s="3">
        <v>44474</v>
      </c>
      <c r="E245" s="2" t="s">
        <v>1129</v>
      </c>
      <c r="F245" s="2"/>
      <c r="G245" s="2" t="s">
        <v>1130</v>
      </c>
      <c r="H245" s="2" t="s">
        <v>1131</v>
      </c>
      <c r="I245" s="2" t="s">
        <v>41</v>
      </c>
      <c r="J245" s="3">
        <v>39730</v>
      </c>
      <c r="K245" s="2"/>
      <c r="L245" s="2"/>
      <c r="M245" s="2">
        <v>23</v>
      </c>
      <c r="N245" s="2"/>
      <c r="O245" s="2" t="s">
        <v>42</v>
      </c>
      <c r="P245" s="2" t="s">
        <v>54</v>
      </c>
      <c r="Q245" s="2"/>
      <c r="R245" s="2" t="s">
        <v>44</v>
      </c>
      <c r="S245" s="2">
        <v>8250215703</v>
      </c>
      <c r="T245" s="2" t="s">
        <v>1132</v>
      </c>
      <c r="U245" s="2" t="s">
        <v>1133</v>
      </c>
      <c r="V245" s="2">
        <v>7665941887</v>
      </c>
      <c r="W245" s="2" t="s">
        <v>1134</v>
      </c>
      <c r="X245" s="2">
        <v>36000</v>
      </c>
      <c r="Y245" s="2" t="s">
        <v>46</v>
      </c>
      <c r="Z245" s="2" t="s">
        <v>46</v>
      </c>
      <c r="AA245" s="2" t="s">
        <v>57</v>
      </c>
      <c r="AB245" s="2">
        <v>13</v>
      </c>
      <c r="AC245" s="2" t="s">
        <v>48</v>
      </c>
      <c r="AD245" s="2">
        <v>1</v>
      </c>
    </row>
    <row r="246" spans="1:30" ht="30" x14ac:dyDescent="0.25">
      <c r="A246" s="2">
        <v>9</v>
      </c>
      <c r="B246" s="2" t="s">
        <v>1108</v>
      </c>
      <c r="C246" s="2">
        <v>13771</v>
      </c>
      <c r="D246" s="3">
        <v>44396</v>
      </c>
      <c r="E246" s="2" t="s">
        <v>1135</v>
      </c>
      <c r="F246" s="2"/>
      <c r="G246" s="2" t="s">
        <v>1136</v>
      </c>
      <c r="H246" s="2" t="s">
        <v>920</v>
      </c>
      <c r="I246" s="2" t="s">
        <v>41</v>
      </c>
      <c r="J246" s="3">
        <v>39205</v>
      </c>
      <c r="K246" s="2"/>
      <c r="L246" s="2"/>
      <c r="M246" s="2">
        <v>23</v>
      </c>
      <c r="N246" s="2">
        <v>10</v>
      </c>
      <c r="O246" s="2" t="s">
        <v>53</v>
      </c>
      <c r="P246" s="2" t="s">
        <v>43</v>
      </c>
      <c r="Q246" s="2"/>
      <c r="R246" s="2" t="s">
        <v>44</v>
      </c>
      <c r="S246" s="2">
        <v>8250215703</v>
      </c>
      <c r="T246" s="2" t="s">
        <v>1137</v>
      </c>
      <c r="U246" s="2" t="s">
        <v>1138</v>
      </c>
      <c r="V246" s="2">
        <v>8209895686</v>
      </c>
      <c r="W246" s="2" t="s">
        <v>1064</v>
      </c>
      <c r="X246" s="2">
        <v>30000</v>
      </c>
      <c r="Y246" s="2" t="s">
        <v>46</v>
      </c>
      <c r="Z246" s="2" t="s">
        <v>240</v>
      </c>
      <c r="AA246" s="2" t="s">
        <v>47</v>
      </c>
      <c r="AB246" s="2">
        <v>14</v>
      </c>
      <c r="AC246" s="2" t="s">
        <v>48</v>
      </c>
      <c r="AD246" s="2">
        <v>2</v>
      </c>
    </row>
    <row r="247" spans="1:30" ht="30" x14ac:dyDescent="0.25">
      <c r="A247" s="2">
        <v>9</v>
      </c>
      <c r="B247" s="2" t="s">
        <v>1108</v>
      </c>
      <c r="C247" s="2">
        <v>12896</v>
      </c>
      <c r="D247" s="3">
        <v>43276</v>
      </c>
      <c r="E247" s="2" t="s">
        <v>1139</v>
      </c>
      <c r="F247" s="2"/>
      <c r="G247" s="2" t="s">
        <v>1140</v>
      </c>
      <c r="H247" s="2" t="s">
        <v>291</v>
      </c>
      <c r="I247" s="2" t="s">
        <v>41</v>
      </c>
      <c r="J247" s="3">
        <v>39615</v>
      </c>
      <c r="K247" s="2"/>
      <c r="L247" s="2"/>
      <c r="M247" s="2">
        <v>23</v>
      </c>
      <c r="N247" s="2">
        <v>12</v>
      </c>
      <c r="O247" s="2" t="s">
        <v>53</v>
      </c>
      <c r="P247" s="2" t="s">
        <v>43</v>
      </c>
      <c r="Q247" s="2"/>
      <c r="R247" s="2" t="s">
        <v>44</v>
      </c>
      <c r="S247" s="2">
        <v>8250215703</v>
      </c>
      <c r="T247" s="2" t="s">
        <v>1141</v>
      </c>
      <c r="U247" s="2" t="s">
        <v>1142</v>
      </c>
      <c r="V247" s="2">
        <v>7568192611</v>
      </c>
      <c r="W247" s="2" t="s">
        <v>1143</v>
      </c>
      <c r="X247" s="2">
        <v>45000</v>
      </c>
      <c r="Y247" s="2" t="s">
        <v>46</v>
      </c>
      <c r="Z247" s="2" t="s">
        <v>46</v>
      </c>
      <c r="AA247" s="2" t="s">
        <v>47</v>
      </c>
      <c r="AB247" s="2">
        <v>13</v>
      </c>
      <c r="AC247" s="2" t="s">
        <v>48</v>
      </c>
      <c r="AD247" s="2">
        <v>6</v>
      </c>
    </row>
    <row r="248" spans="1:30" ht="30" x14ac:dyDescent="0.25">
      <c r="A248" s="2">
        <v>9</v>
      </c>
      <c r="B248" s="2" t="s">
        <v>1108</v>
      </c>
      <c r="C248" s="2">
        <v>13889</v>
      </c>
      <c r="D248" s="3">
        <v>44413</v>
      </c>
      <c r="E248" s="2" t="s">
        <v>1144</v>
      </c>
      <c r="F248" s="2"/>
      <c r="G248" s="2" t="s">
        <v>1145</v>
      </c>
      <c r="H248" s="2" t="s">
        <v>1146</v>
      </c>
      <c r="I248" s="2" t="s">
        <v>41</v>
      </c>
      <c r="J248" s="3">
        <v>39598</v>
      </c>
      <c r="K248" s="2"/>
      <c r="L248" s="2"/>
      <c r="M248" s="2">
        <v>23</v>
      </c>
      <c r="N248" s="2">
        <v>12</v>
      </c>
      <c r="O248" s="2" t="s">
        <v>53</v>
      </c>
      <c r="P248" s="2" t="s">
        <v>43</v>
      </c>
      <c r="Q248" s="2"/>
      <c r="R248" s="2" t="s">
        <v>44</v>
      </c>
      <c r="S248" s="2">
        <v>8250215703</v>
      </c>
      <c r="T248" s="2" t="s">
        <v>1147</v>
      </c>
      <c r="U248" s="2"/>
      <c r="V248" s="2">
        <v>8561908770</v>
      </c>
      <c r="W248" s="2" t="s">
        <v>1148</v>
      </c>
      <c r="X248" s="2">
        <v>50000</v>
      </c>
      <c r="Y248" s="2" t="s">
        <v>46</v>
      </c>
      <c r="Z248" s="2" t="s">
        <v>240</v>
      </c>
      <c r="AA248" s="2" t="s">
        <v>47</v>
      </c>
      <c r="AB248" s="2">
        <v>13</v>
      </c>
      <c r="AC248" s="2" t="s">
        <v>48</v>
      </c>
      <c r="AD248" s="2">
        <v>1</v>
      </c>
    </row>
    <row r="249" spans="1:30" ht="30" x14ac:dyDescent="0.25">
      <c r="A249" s="2">
        <v>9</v>
      </c>
      <c r="B249" s="2" t="s">
        <v>1108</v>
      </c>
      <c r="C249" s="2">
        <v>13886</v>
      </c>
      <c r="D249" s="3">
        <v>44413</v>
      </c>
      <c r="E249" s="2" t="s">
        <v>1149</v>
      </c>
      <c r="F249" s="2"/>
      <c r="G249" s="2" t="s">
        <v>1150</v>
      </c>
      <c r="H249" s="2" t="s">
        <v>1151</v>
      </c>
      <c r="I249" s="2" t="s">
        <v>41</v>
      </c>
      <c r="J249" s="3">
        <v>39198</v>
      </c>
      <c r="K249" s="2"/>
      <c r="L249" s="2"/>
      <c r="M249" s="2">
        <v>23</v>
      </c>
      <c r="N249" s="2">
        <v>8</v>
      </c>
      <c r="O249" s="2" t="s">
        <v>78</v>
      </c>
      <c r="P249" s="2" t="s">
        <v>43</v>
      </c>
      <c r="Q249" s="2"/>
      <c r="R249" s="2" t="s">
        <v>44</v>
      </c>
      <c r="S249" s="2">
        <v>8250215703</v>
      </c>
      <c r="T249" s="2" t="s">
        <v>1152</v>
      </c>
      <c r="U249" s="2" t="s">
        <v>1153</v>
      </c>
      <c r="V249" s="2">
        <v>7737288911</v>
      </c>
      <c r="W249" s="2" t="s">
        <v>1154</v>
      </c>
      <c r="X249" s="2">
        <v>40000</v>
      </c>
      <c r="Y249" s="2" t="s">
        <v>46</v>
      </c>
      <c r="Z249" s="2" t="s">
        <v>46</v>
      </c>
      <c r="AA249" s="2" t="s">
        <v>47</v>
      </c>
      <c r="AB249" s="2">
        <v>14</v>
      </c>
      <c r="AC249" s="2" t="s">
        <v>48</v>
      </c>
      <c r="AD249" s="2">
        <v>3</v>
      </c>
    </row>
    <row r="250" spans="1:30" ht="30" x14ac:dyDescent="0.25">
      <c r="A250" s="2">
        <v>9</v>
      </c>
      <c r="B250" s="2" t="s">
        <v>1108</v>
      </c>
      <c r="C250" s="2">
        <v>13818</v>
      </c>
      <c r="D250" s="3">
        <v>44403</v>
      </c>
      <c r="E250" s="2" t="s">
        <v>1155</v>
      </c>
      <c r="F250" s="2"/>
      <c r="G250" s="2" t="s">
        <v>1156</v>
      </c>
      <c r="H250" s="2" t="s">
        <v>1157</v>
      </c>
      <c r="I250" s="2" t="s">
        <v>41</v>
      </c>
      <c r="J250" s="3">
        <v>39902</v>
      </c>
      <c r="K250" s="2"/>
      <c r="L250" s="2"/>
      <c r="M250" s="2">
        <v>23</v>
      </c>
      <c r="N250" s="2">
        <v>15</v>
      </c>
      <c r="O250" s="2" t="s">
        <v>53</v>
      </c>
      <c r="P250" s="2" t="s">
        <v>43</v>
      </c>
      <c r="Q250" s="2"/>
      <c r="R250" s="2" t="s">
        <v>44</v>
      </c>
      <c r="S250" s="2">
        <v>8250215703</v>
      </c>
      <c r="T250" s="2" t="s">
        <v>1158</v>
      </c>
      <c r="U250" s="2" t="s">
        <v>1159</v>
      </c>
      <c r="V250" s="2">
        <v>9166061928</v>
      </c>
      <c r="W250" s="2" t="s">
        <v>842</v>
      </c>
      <c r="X250" s="2">
        <v>72000</v>
      </c>
      <c r="Y250" s="2" t="s">
        <v>46</v>
      </c>
      <c r="Z250" s="2" t="s">
        <v>46</v>
      </c>
      <c r="AA250" s="2" t="s">
        <v>47</v>
      </c>
      <c r="AB250" s="2">
        <v>12</v>
      </c>
      <c r="AC250" s="2" t="s">
        <v>48</v>
      </c>
      <c r="AD250" s="2">
        <v>0</v>
      </c>
    </row>
    <row r="251" spans="1:30" ht="45" x14ac:dyDescent="0.25">
      <c r="A251" s="2">
        <v>9</v>
      </c>
      <c r="B251" s="2" t="s">
        <v>1108</v>
      </c>
      <c r="C251" s="2">
        <v>13735</v>
      </c>
      <c r="D251" s="3">
        <v>44390</v>
      </c>
      <c r="E251" s="2" t="s">
        <v>1160</v>
      </c>
      <c r="F251" s="2"/>
      <c r="G251" s="2" t="s">
        <v>1161</v>
      </c>
      <c r="H251" s="2" t="s">
        <v>1162</v>
      </c>
      <c r="I251" s="2" t="s">
        <v>41</v>
      </c>
      <c r="J251" s="3">
        <v>38844</v>
      </c>
      <c r="K251" s="2"/>
      <c r="L251" s="2"/>
      <c r="M251" s="2">
        <v>23</v>
      </c>
      <c r="N251" s="2">
        <v>14</v>
      </c>
      <c r="O251" s="2" t="s">
        <v>78</v>
      </c>
      <c r="P251" s="2" t="s">
        <v>43</v>
      </c>
      <c r="Q251" s="2"/>
      <c r="R251" s="2" t="s">
        <v>44</v>
      </c>
      <c r="S251" s="2">
        <v>8250215703</v>
      </c>
      <c r="T251" s="2" t="s">
        <v>1163</v>
      </c>
      <c r="U251" s="2" t="s">
        <v>1164</v>
      </c>
      <c r="V251" s="2">
        <v>6375912221</v>
      </c>
      <c r="W251" s="2" t="s">
        <v>1165</v>
      </c>
      <c r="X251" s="2">
        <v>60000</v>
      </c>
      <c r="Y251" s="2" t="s">
        <v>46</v>
      </c>
      <c r="Z251" s="2" t="s">
        <v>46</v>
      </c>
      <c r="AA251" s="2" t="s">
        <v>47</v>
      </c>
      <c r="AB251" s="2">
        <v>15</v>
      </c>
      <c r="AC251" s="2" t="s">
        <v>48</v>
      </c>
      <c r="AD251" s="2">
        <v>2</v>
      </c>
    </row>
    <row r="252" spans="1:30" ht="30" x14ac:dyDescent="0.25">
      <c r="A252" s="2">
        <v>9</v>
      </c>
      <c r="B252" s="2" t="s">
        <v>1108</v>
      </c>
      <c r="C252" s="2">
        <v>13885</v>
      </c>
      <c r="D252" s="3">
        <v>44413</v>
      </c>
      <c r="E252" s="2" t="s">
        <v>1166</v>
      </c>
      <c r="F252" s="2"/>
      <c r="G252" s="2" t="s">
        <v>1167</v>
      </c>
      <c r="H252" s="2" t="s">
        <v>1012</v>
      </c>
      <c r="I252" s="2" t="s">
        <v>41</v>
      </c>
      <c r="J252" s="3">
        <v>39268</v>
      </c>
      <c r="K252" s="2"/>
      <c r="L252" s="2"/>
      <c r="M252" s="2">
        <v>23</v>
      </c>
      <c r="N252" s="2">
        <v>15</v>
      </c>
      <c r="O252" s="2" t="s">
        <v>53</v>
      </c>
      <c r="P252" s="2" t="s">
        <v>43</v>
      </c>
      <c r="Q252" s="2"/>
      <c r="R252" s="2" t="s">
        <v>44</v>
      </c>
      <c r="S252" s="2">
        <v>8250215703</v>
      </c>
      <c r="T252" s="2" t="s">
        <v>1168</v>
      </c>
      <c r="U252" s="2" t="s">
        <v>1169</v>
      </c>
      <c r="V252" s="2">
        <v>6376470271</v>
      </c>
      <c r="W252" s="2" t="s">
        <v>1170</v>
      </c>
      <c r="X252" s="2">
        <v>40000</v>
      </c>
      <c r="Y252" s="2" t="s">
        <v>46</v>
      </c>
      <c r="Z252" s="2" t="s">
        <v>46</v>
      </c>
      <c r="AA252" s="2" t="s">
        <v>47</v>
      </c>
      <c r="AB252" s="2">
        <v>14</v>
      </c>
      <c r="AC252" s="2" t="s">
        <v>48</v>
      </c>
      <c r="AD252" s="2">
        <v>0</v>
      </c>
    </row>
    <row r="253" spans="1:30" ht="30" x14ac:dyDescent="0.25">
      <c r="A253" s="2">
        <v>9</v>
      </c>
      <c r="B253" s="2" t="s">
        <v>1108</v>
      </c>
      <c r="C253" s="2">
        <v>13846</v>
      </c>
      <c r="D253" s="3">
        <v>44405</v>
      </c>
      <c r="E253" s="2" t="s">
        <v>1171</v>
      </c>
      <c r="F253" s="2"/>
      <c r="G253" s="2" t="s">
        <v>1172</v>
      </c>
      <c r="H253" s="2" t="s">
        <v>1173</v>
      </c>
      <c r="I253" s="2" t="s">
        <v>41</v>
      </c>
      <c r="J253" s="3">
        <v>38776</v>
      </c>
      <c r="K253" s="2"/>
      <c r="L253" s="2"/>
      <c r="M253" s="2">
        <v>23</v>
      </c>
      <c r="N253" s="2">
        <v>12</v>
      </c>
      <c r="O253" s="2" t="s">
        <v>78</v>
      </c>
      <c r="P253" s="2" t="s">
        <v>43</v>
      </c>
      <c r="Q253" s="2"/>
      <c r="R253" s="2" t="s">
        <v>44</v>
      </c>
      <c r="S253" s="2">
        <v>8250215703</v>
      </c>
      <c r="T253" s="2" t="s">
        <v>1174</v>
      </c>
      <c r="U253" s="2" t="s">
        <v>1175</v>
      </c>
      <c r="V253" s="2">
        <v>9636147249</v>
      </c>
      <c r="W253" s="2" t="s">
        <v>1176</v>
      </c>
      <c r="X253" s="2">
        <v>60000</v>
      </c>
      <c r="Y253" s="2" t="s">
        <v>46</v>
      </c>
      <c r="Z253" s="2" t="s">
        <v>46</v>
      </c>
      <c r="AA253" s="2" t="s">
        <v>47</v>
      </c>
      <c r="AB253" s="2">
        <v>15</v>
      </c>
      <c r="AC253" s="2" t="s">
        <v>48</v>
      </c>
      <c r="AD253" s="2">
        <v>3</v>
      </c>
    </row>
    <row r="254" spans="1:30" ht="30" x14ac:dyDescent="0.25">
      <c r="A254" s="2">
        <v>9</v>
      </c>
      <c r="B254" s="2" t="s">
        <v>1108</v>
      </c>
      <c r="C254" s="2">
        <v>13733</v>
      </c>
      <c r="D254" s="3">
        <v>44390</v>
      </c>
      <c r="E254" s="2" t="s">
        <v>1177</v>
      </c>
      <c r="F254" s="2"/>
      <c r="G254" s="2" t="s">
        <v>230</v>
      </c>
      <c r="H254" s="2" t="s">
        <v>1178</v>
      </c>
      <c r="I254" s="2" t="s">
        <v>41</v>
      </c>
      <c r="J254" s="3">
        <v>39244</v>
      </c>
      <c r="K254" s="2"/>
      <c r="L254" s="2"/>
      <c r="M254" s="2">
        <v>23</v>
      </c>
      <c r="N254" s="2">
        <v>14</v>
      </c>
      <c r="O254" s="2" t="s">
        <v>53</v>
      </c>
      <c r="P254" s="2" t="s">
        <v>43</v>
      </c>
      <c r="Q254" s="2"/>
      <c r="R254" s="2" t="s">
        <v>44</v>
      </c>
      <c r="S254" s="2">
        <v>8250215703</v>
      </c>
      <c r="T254" s="2" t="s">
        <v>1179</v>
      </c>
      <c r="U254" s="2" t="s">
        <v>1180</v>
      </c>
      <c r="V254" s="2">
        <v>7851062133</v>
      </c>
      <c r="W254" s="2" t="s">
        <v>1064</v>
      </c>
      <c r="X254" s="2">
        <v>36000</v>
      </c>
      <c r="Y254" s="2" t="s">
        <v>46</v>
      </c>
      <c r="Z254" s="2" t="s">
        <v>46</v>
      </c>
      <c r="AA254" s="2" t="s">
        <v>47</v>
      </c>
      <c r="AB254" s="2">
        <v>14</v>
      </c>
      <c r="AC254" s="2" t="s">
        <v>48</v>
      </c>
      <c r="AD254" s="2">
        <v>2</v>
      </c>
    </row>
    <row r="255" spans="1:30" ht="30" x14ac:dyDescent="0.25">
      <c r="A255" s="2">
        <v>9</v>
      </c>
      <c r="B255" s="2" t="s">
        <v>1108</v>
      </c>
      <c r="C255" s="2">
        <v>13990</v>
      </c>
      <c r="D255" s="3">
        <v>44463</v>
      </c>
      <c r="E255" s="2" t="s">
        <v>1181</v>
      </c>
      <c r="F255" s="2"/>
      <c r="G255" s="2" t="s">
        <v>1182</v>
      </c>
      <c r="H255" s="2" t="s">
        <v>1183</v>
      </c>
      <c r="I255" s="2" t="s">
        <v>41</v>
      </c>
      <c r="J255" s="3">
        <v>39020</v>
      </c>
      <c r="K255" s="2"/>
      <c r="L255" s="2"/>
      <c r="M255" s="2">
        <v>23</v>
      </c>
      <c r="N255" s="2">
        <v>15</v>
      </c>
      <c r="O255" s="2" t="s">
        <v>53</v>
      </c>
      <c r="P255" s="2" t="s">
        <v>54</v>
      </c>
      <c r="Q255" s="2"/>
      <c r="R255" s="2" t="s">
        <v>44</v>
      </c>
      <c r="S255" s="2">
        <v>8250215703</v>
      </c>
      <c r="T255" s="2" t="s">
        <v>1184</v>
      </c>
      <c r="U255" s="2"/>
      <c r="V255" s="2">
        <v>9694024108</v>
      </c>
      <c r="W255" s="2" t="s">
        <v>902</v>
      </c>
      <c r="X255" s="2">
        <v>35000</v>
      </c>
      <c r="Y255" s="2" t="s">
        <v>46</v>
      </c>
      <c r="Z255" s="2" t="s">
        <v>46</v>
      </c>
      <c r="AA255" s="2" t="s">
        <v>57</v>
      </c>
      <c r="AB255" s="2">
        <v>15</v>
      </c>
      <c r="AC255" s="2" t="s">
        <v>48</v>
      </c>
      <c r="AD255" s="2">
        <v>1</v>
      </c>
    </row>
    <row r="256" spans="1:30" ht="30" x14ac:dyDescent="0.25">
      <c r="A256" s="2">
        <v>9</v>
      </c>
      <c r="B256" s="2" t="s">
        <v>1108</v>
      </c>
      <c r="C256" s="2">
        <v>13817</v>
      </c>
      <c r="D256" s="3">
        <v>44403</v>
      </c>
      <c r="E256" s="2" t="s">
        <v>1185</v>
      </c>
      <c r="F256" s="2"/>
      <c r="G256" s="2" t="s">
        <v>1186</v>
      </c>
      <c r="H256" s="2" t="s">
        <v>1151</v>
      </c>
      <c r="I256" s="2" t="s">
        <v>41</v>
      </c>
      <c r="J256" s="3">
        <v>38921</v>
      </c>
      <c r="K256" s="2"/>
      <c r="L256" s="2"/>
      <c r="M256" s="2">
        <v>23</v>
      </c>
      <c r="N256" s="2">
        <v>12</v>
      </c>
      <c r="O256" s="2" t="s">
        <v>78</v>
      </c>
      <c r="P256" s="2" t="s">
        <v>43</v>
      </c>
      <c r="Q256" s="2"/>
      <c r="R256" s="2" t="s">
        <v>44</v>
      </c>
      <c r="S256" s="2">
        <v>8250215703</v>
      </c>
      <c r="T256" s="2" t="s">
        <v>1187</v>
      </c>
      <c r="U256" s="2" t="s">
        <v>1188</v>
      </c>
      <c r="V256" s="2">
        <v>8949868426</v>
      </c>
      <c r="W256" s="2" t="s">
        <v>1001</v>
      </c>
      <c r="X256" s="2">
        <v>36000</v>
      </c>
      <c r="Y256" s="2" t="s">
        <v>46</v>
      </c>
      <c r="Z256" s="2" t="s">
        <v>46</v>
      </c>
      <c r="AA256" s="2" t="s">
        <v>47</v>
      </c>
      <c r="AB256" s="2">
        <v>15</v>
      </c>
      <c r="AC256" s="2" t="s">
        <v>48</v>
      </c>
      <c r="AD256" s="2">
        <v>0</v>
      </c>
    </row>
    <row r="257" spans="1:30" ht="30" x14ac:dyDescent="0.25">
      <c r="A257" s="2">
        <v>9</v>
      </c>
      <c r="B257" s="2" t="s">
        <v>1108</v>
      </c>
      <c r="C257" s="2">
        <v>13821</v>
      </c>
      <c r="D257" s="3">
        <v>44403</v>
      </c>
      <c r="E257" s="2" t="s">
        <v>1189</v>
      </c>
      <c r="F257" s="2"/>
      <c r="G257" s="2" t="s">
        <v>1190</v>
      </c>
      <c r="H257" s="2" t="s">
        <v>1191</v>
      </c>
      <c r="I257" s="2" t="s">
        <v>41</v>
      </c>
      <c r="J257" s="3">
        <v>39363</v>
      </c>
      <c r="K257" s="2"/>
      <c r="L257" s="2"/>
      <c r="M257" s="2">
        <v>23</v>
      </c>
      <c r="N257" s="2">
        <v>14</v>
      </c>
      <c r="O257" s="2" t="s">
        <v>773</v>
      </c>
      <c r="P257" s="2" t="s">
        <v>43</v>
      </c>
      <c r="Q257" s="2"/>
      <c r="R257" s="2" t="s">
        <v>44</v>
      </c>
      <c r="S257" s="2">
        <v>8250215703</v>
      </c>
      <c r="T257" s="2" t="s">
        <v>1192</v>
      </c>
      <c r="U257" s="2" t="s">
        <v>1193</v>
      </c>
      <c r="V257" s="2">
        <v>9636461193</v>
      </c>
      <c r="W257" s="2" t="s">
        <v>679</v>
      </c>
      <c r="X257" s="2">
        <v>60000</v>
      </c>
      <c r="Y257" s="2" t="s">
        <v>46</v>
      </c>
      <c r="Z257" s="2" t="s">
        <v>46</v>
      </c>
      <c r="AA257" s="2" t="s">
        <v>47</v>
      </c>
      <c r="AB257" s="2">
        <v>14</v>
      </c>
      <c r="AC257" s="2" t="s">
        <v>48</v>
      </c>
      <c r="AD257" s="2">
        <v>0.5</v>
      </c>
    </row>
    <row r="258" spans="1:30" ht="30" x14ac:dyDescent="0.25">
      <c r="A258" s="2">
        <v>9</v>
      </c>
      <c r="B258" s="2" t="s">
        <v>1108</v>
      </c>
      <c r="C258" s="2">
        <v>13750</v>
      </c>
      <c r="D258" s="3">
        <v>44394</v>
      </c>
      <c r="E258" s="2" t="s">
        <v>1194</v>
      </c>
      <c r="F258" s="2"/>
      <c r="G258" s="2" t="s">
        <v>1060</v>
      </c>
      <c r="H258" s="2" t="s">
        <v>1195</v>
      </c>
      <c r="I258" s="2" t="s">
        <v>41</v>
      </c>
      <c r="J258" s="3">
        <v>39471</v>
      </c>
      <c r="K258" s="2"/>
      <c r="L258" s="2"/>
      <c r="M258" s="2">
        <v>23</v>
      </c>
      <c r="N258" s="2">
        <v>15</v>
      </c>
      <c r="O258" s="2" t="s">
        <v>53</v>
      </c>
      <c r="P258" s="2"/>
      <c r="Q258" s="2"/>
      <c r="R258" s="2" t="s">
        <v>44</v>
      </c>
      <c r="S258" s="2">
        <v>8250215703</v>
      </c>
      <c r="T258" s="2" t="s">
        <v>1196</v>
      </c>
      <c r="U258" s="2" t="s">
        <v>1197</v>
      </c>
      <c r="V258" s="2">
        <v>9784426341</v>
      </c>
      <c r="W258" s="2" t="s">
        <v>923</v>
      </c>
      <c r="X258" s="2">
        <v>45000</v>
      </c>
      <c r="Y258" s="2" t="s">
        <v>46</v>
      </c>
      <c r="Z258" s="2" t="s">
        <v>46</v>
      </c>
      <c r="AA258" s="2"/>
      <c r="AB258" s="2">
        <v>13</v>
      </c>
      <c r="AC258" s="2" t="s">
        <v>48</v>
      </c>
      <c r="AD258" s="2">
        <v>0.5</v>
      </c>
    </row>
    <row r="259" spans="1:30" ht="30" x14ac:dyDescent="0.25">
      <c r="A259" s="2">
        <v>9</v>
      </c>
      <c r="B259" s="2" t="s">
        <v>1108</v>
      </c>
      <c r="C259" s="2">
        <v>13768</v>
      </c>
      <c r="D259" s="3">
        <v>44396</v>
      </c>
      <c r="E259" s="2" t="s">
        <v>1198</v>
      </c>
      <c r="F259" s="2"/>
      <c r="G259" s="2" t="s">
        <v>1199</v>
      </c>
      <c r="H259" s="2" t="s">
        <v>1200</v>
      </c>
      <c r="I259" s="2" t="s">
        <v>41</v>
      </c>
      <c r="J259" s="3">
        <v>39141</v>
      </c>
      <c r="K259" s="2"/>
      <c r="L259" s="2"/>
      <c r="M259" s="2">
        <v>23</v>
      </c>
      <c r="N259" s="2">
        <v>12</v>
      </c>
      <c r="O259" s="2" t="s">
        <v>42</v>
      </c>
      <c r="P259" s="2" t="s">
        <v>43</v>
      </c>
      <c r="Q259" s="2"/>
      <c r="R259" s="2" t="s">
        <v>44</v>
      </c>
      <c r="S259" s="2">
        <v>8250215703</v>
      </c>
      <c r="T259" s="2" t="s">
        <v>1201</v>
      </c>
      <c r="U259" s="2"/>
      <c r="V259" s="2">
        <v>9024178330</v>
      </c>
      <c r="W259" s="2" t="s">
        <v>1202</v>
      </c>
      <c r="X259" s="2">
        <v>93000</v>
      </c>
      <c r="Y259" s="2" t="s">
        <v>46</v>
      </c>
      <c r="Z259" s="2" t="s">
        <v>46</v>
      </c>
      <c r="AA259" s="2" t="s">
        <v>47</v>
      </c>
      <c r="AB259" s="2">
        <v>14</v>
      </c>
      <c r="AC259" s="2" t="s">
        <v>48</v>
      </c>
      <c r="AD259" s="2">
        <v>2</v>
      </c>
    </row>
    <row r="260" spans="1:30" ht="30" x14ac:dyDescent="0.25">
      <c r="A260" s="2">
        <v>9</v>
      </c>
      <c r="B260" s="2" t="s">
        <v>1108</v>
      </c>
      <c r="C260" s="2">
        <v>13845</v>
      </c>
      <c r="D260" s="3">
        <v>44405</v>
      </c>
      <c r="E260" s="2" t="s">
        <v>781</v>
      </c>
      <c r="F260" s="2"/>
      <c r="G260" s="2" t="s">
        <v>759</v>
      </c>
      <c r="H260" s="2" t="s">
        <v>1157</v>
      </c>
      <c r="I260" s="2" t="s">
        <v>41</v>
      </c>
      <c r="J260" s="3">
        <v>39397</v>
      </c>
      <c r="K260" s="2"/>
      <c r="L260" s="2"/>
      <c r="M260" s="2">
        <v>23</v>
      </c>
      <c r="N260" s="2">
        <v>14</v>
      </c>
      <c r="O260" s="2" t="s">
        <v>53</v>
      </c>
      <c r="P260" s="2" t="s">
        <v>43</v>
      </c>
      <c r="Q260" s="2"/>
      <c r="R260" s="2" t="s">
        <v>44</v>
      </c>
      <c r="S260" s="2">
        <v>8250215703</v>
      </c>
      <c r="T260" s="2" t="s">
        <v>1203</v>
      </c>
      <c r="U260" s="2" t="s">
        <v>1204</v>
      </c>
      <c r="V260" s="2">
        <v>9079635261</v>
      </c>
      <c r="W260" s="2" t="s">
        <v>923</v>
      </c>
      <c r="X260" s="2">
        <v>36000</v>
      </c>
      <c r="Y260" s="2" t="s">
        <v>46</v>
      </c>
      <c r="Z260" s="2" t="s">
        <v>46</v>
      </c>
      <c r="AA260" s="2" t="s">
        <v>47</v>
      </c>
      <c r="AB260" s="2">
        <v>14</v>
      </c>
      <c r="AC260" s="2" t="s">
        <v>48</v>
      </c>
      <c r="AD260" s="2">
        <v>0.5</v>
      </c>
    </row>
    <row r="261" spans="1:30" ht="30" x14ac:dyDescent="0.25">
      <c r="A261" s="2">
        <v>9</v>
      </c>
      <c r="B261" s="2" t="s">
        <v>1108</v>
      </c>
      <c r="C261" s="2">
        <v>13754</v>
      </c>
      <c r="D261" s="3">
        <v>44394</v>
      </c>
      <c r="E261" s="2" t="s">
        <v>1205</v>
      </c>
      <c r="F261" s="2"/>
      <c r="G261" s="2" t="s">
        <v>1206</v>
      </c>
      <c r="H261" s="2" t="s">
        <v>1207</v>
      </c>
      <c r="I261" s="2" t="s">
        <v>41</v>
      </c>
      <c r="J261" s="3">
        <v>38413</v>
      </c>
      <c r="K261" s="2"/>
      <c r="L261" s="2"/>
      <c r="M261" s="2">
        <v>23</v>
      </c>
      <c r="N261" s="2">
        <v>15</v>
      </c>
      <c r="O261" s="2" t="s">
        <v>78</v>
      </c>
      <c r="P261" s="2" t="s">
        <v>43</v>
      </c>
      <c r="Q261" s="2"/>
      <c r="R261" s="2" t="s">
        <v>44</v>
      </c>
      <c r="S261" s="2">
        <v>8250215703</v>
      </c>
      <c r="T261" s="2" t="s">
        <v>1208</v>
      </c>
      <c r="U261" s="2" t="s">
        <v>1209</v>
      </c>
      <c r="V261" s="2">
        <v>8107374330</v>
      </c>
      <c r="W261" s="2" t="s">
        <v>1001</v>
      </c>
      <c r="X261" s="2">
        <v>36000</v>
      </c>
      <c r="Y261" s="2" t="s">
        <v>46</v>
      </c>
      <c r="Z261" s="2" t="s">
        <v>46</v>
      </c>
      <c r="AA261" s="2" t="s">
        <v>47</v>
      </c>
      <c r="AB261" s="2">
        <v>16</v>
      </c>
      <c r="AC261" s="2" t="s">
        <v>48</v>
      </c>
      <c r="AD261" s="2">
        <v>0</v>
      </c>
    </row>
    <row r="262" spans="1:30" ht="30" x14ac:dyDescent="0.25">
      <c r="A262" s="2">
        <v>9</v>
      </c>
      <c r="B262" s="2" t="s">
        <v>1108</v>
      </c>
      <c r="C262" s="2">
        <v>13751</v>
      </c>
      <c r="D262" s="3">
        <v>44394</v>
      </c>
      <c r="E262" s="2" t="s">
        <v>1210</v>
      </c>
      <c r="F262" s="2"/>
      <c r="G262" s="2" t="s">
        <v>982</v>
      </c>
      <c r="H262" s="2" t="s">
        <v>1151</v>
      </c>
      <c r="I262" s="2" t="s">
        <v>41</v>
      </c>
      <c r="J262" s="3">
        <v>39540</v>
      </c>
      <c r="K262" s="2"/>
      <c r="L262" s="2"/>
      <c r="M262" s="2">
        <v>23</v>
      </c>
      <c r="N262" s="2">
        <v>12</v>
      </c>
      <c r="O262" s="2" t="s">
        <v>53</v>
      </c>
      <c r="P262" s="2" t="s">
        <v>43</v>
      </c>
      <c r="Q262" s="2"/>
      <c r="R262" s="2" t="s">
        <v>44</v>
      </c>
      <c r="S262" s="2">
        <v>8250215703</v>
      </c>
      <c r="T262" s="2" t="s">
        <v>1211</v>
      </c>
      <c r="U262" s="2" t="s">
        <v>1212</v>
      </c>
      <c r="V262" s="2">
        <v>9001499883</v>
      </c>
      <c r="W262" s="2" t="s">
        <v>1064</v>
      </c>
      <c r="X262" s="2">
        <v>30000</v>
      </c>
      <c r="Y262" s="2" t="s">
        <v>46</v>
      </c>
      <c r="Z262" s="2" t="s">
        <v>46</v>
      </c>
      <c r="AA262" s="2" t="s">
        <v>47</v>
      </c>
      <c r="AB262" s="2">
        <v>13</v>
      </c>
      <c r="AC262" s="2" t="s">
        <v>48</v>
      </c>
      <c r="AD262" s="2">
        <v>2</v>
      </c>
    </row>
    <row r="263" spans="1:30" ht="30" x14ac:dyDescent="0.25">
      <c r="A263" s="2">
        <v>9</v>
      </c>
      <c r="B263" s="2" t="s">
        <v>1108</v>
      </c>
      <c r="C263" s="2">
        <v>13784</v>
      </c>
      <c r="D263" s="3">
        <v>44399</v>
      </c>
      <c r="E263" s="2" t="s">
        <v>1210</v>
      </c>
      <c r="F263" s="2"/>
      <c r="G263" s="2" t="s">
        <v>1213</v>
      </c>
      <c r="H263" s="2" t="s">
        <v>1214</v>
      </c>
      <c r="I263" s="2" t="s">
        <v>41</v>
      </c>
      <c r="J263" s="3">
        <v>39619</v>
      </c>
      <c r="K263" s="2"/>
      <c r="L263" s="2"/>
      <c r="M263" s="2">
        <v>23</v>
      </c>
      <c r="N263" s="2">
        <v>14</v>
      </c>
      <c r="O263" s="2" t="s">
        <v>53</v>
      </c>
      <c r="P263" s="2" t="s">
        <v>43</v>
      </c>
      <c r="Q263" s="2"/>
      <c r="R263" s="2" t="s">
        <v>44</v>
      </c>
      <c r="S263" s="2">
        <v>8250215703</v>
      </c>
      <c r="T263" s="2" t="s">
        <v>1215</v>
      </c>
      <c r="U263" s="2" t="s">
        <v>1216</v>
      </c>
      <c r="V263" s="2">
        <v>7073981338</v>
      </c>
      <c r="W263" s="2" t="s">
        <v>1217</v>
      </c>
      <c r="X263" s="2">
        <v>60000</v>
      </c>
      <c r="Y263" s="2" t="s">
        <v>46</v>
      </c>
      <c r="Z263" s="2" t="s">
        <v>46</v>
      </c>
      <c r="AA263" s="2" t="s">
        <v>47</v>
      </c>
      <c r="AB263" s="2">
        <v>13</v>
      </c>
      <c r="AC263" s="2" t="s">
        <v>48</v>
      </c>
      <c r="AD263" s="2">
        <v>0</v>
      </c>
    </row>
    <row r="264" spans="1:30" ht="30" x14ac:dyDescent="0.25">
      <c r="A264" s="2">
        <v>9</v>
      </c>
      <c r="B264" s="2" t="s">
        <v>1108</v>
      </c>
      <c r="C264" s="2">
        <v>13777</v>
      </c>
      <c r="D264" s="3">
        <v>44396</v>
      </c>
      <c r="E264" s="2" t="s">
        <v>1218</v>
      </c>
      <c r="F264" s="2"/>
      <c r="G264" s="2" t="s">
        <v>1219</v>
      </c>
      <c r="H264" s="2" t="s">
        <v>724</v>
      </c>
      <c r="I264" s="2" t="s">
        <v>41</v>
      </c>
      <c r="J264" s="3">
        <v>38704</v>
      </c>
      <c r="K264" s="2"/>
      <c r="L264" s="2"/>
      <c r="M264" s="2">
        <v>23</v>
      </c>
      <c r="N264" s="2">
        <v>12</v>
      </c>
      <c r="O264" s="2" t="s">
        <v>78</v>
      </c>
      <c r="P264" s="2" t="s">
        <v>43</v>
      </c>
      <c r="Q264" s="2"/>
      <c r="R264" s="2" t="s">
        <v>44</v>
      </c>
      <c r="S264" s="2">
        <v>8250215703</v>
      </c>
      <c r="T264" s="2" t="s">
        <v>1220</v>
      </c>
      <c r="U264" s="2" t="s">
        <v>1221</v>
      </c>
      <c r="V264" s="2">
        <v>8890459667</v>
      </c>
      <c r="W264" s="2" t="s">
        <v>1001</v>
      </c>
      <c r="X264" s="2">
        <v>36000</v>
      </c>
      <c r="Y264" s="2" t="s">
        <v>46</v>
      </c>
      <c r="Z264" s="2" t="s">
        <v>46</v>
      </c>
      <c r="AA264" s="2" t="s">
        <v>47</v>
      </c>
      <c r="AB264" s="2">
        <v>16</v>
      </c>
      <c r="AC264" s="2" t="s">
        <v>48</v>
      </c>
      <c r="AD264" s="2">
        <v>0</v>
      </c>
    </row>
    <row r="265" spans="1:30" ht="30" x14ac:dyDescent="0.25">
      <c r="A265" s="2">
        <v>9</v>
      </c>
      <c r="B265" s="2" t="s">
        <v>1108</v>
      </c>
      <c r="C265" s="2">
        <v>12278</v>
      </c>
      <c r="D265" s="3">
        <v>42548</v>
      </c>
      <c r="E265" s="2" t="s">
        <v>1222</v>
      </c>
      <c r="F265" s="2"/>
      <c r="G265" s="2" t="s">
        <v>1223</v>
      </c>
      <c r="H265" s="2" t="s">
        <v>1224</v>
      </c>
      <c r="I265" s="2" t="s">
        <v>41</v>
      </c>
      <c r="J265" s="3">
        <v>38551</v>
      </c>
      <c r="K265" s="2"/>
      <c r="L265" s="2"/>
      <c r="M265" s="2">
        <v>23</v>
      </c>
      <c r="N265" s="2">
        <v>14</v>
      </c>
      <c r="O265" s="2" t="s">
        <v>42</v>
      </c>
      <c r="P265" s="2" t="s">
        <v>43</v>
      </c>
      <c r="Q265" s="2"/>
      <c r="R265" s="2" t="s">
        <v>44</v>
      </c>
      <c r="S265" s="2">
        <v>8250215703</v>
      </c>
      <c r="T265" s="2" t="s">
        <v>1225</v>
      </c>
      <c r="U265" s="2"/>
      <c r="V265" s="2">
        <v>9928532061</v>
      </c>
      <c r="W265" s="2" t="s">
        <v>1226</v>
      </c>
      <c r="X265" s="2">
        <v>30000</v>
      </c>
      <c r="Y265" s="2" t="s">
        <v>46</v>
      </c>
      <c r="Z265" s="2" t="s">
        <v>46</v>
      </c>
      <c r="AA265" s="2" t="s">
        <v>47</v>
      </c>
      <c r="AB265" s="2">
        <v>16</v>
      </c>
      <c r="AC265" s="2" t="s">
        <v>48</v>
      </c>
      <c r="AD265" s="2">
        <v>1</v>
      </c>
    </row>
    <row r="266" spans="1:30" ht="30" x14ac:dyDescent="0.25">
      <c r="A266" s="2">
        <v>9</v>
      </c>
      <c r="B266" s="2" t="s">
        <v>1108</v>
      </c>
      <c r="C266" s="2">
        <v>13709</v>
      </c>
      <c r="D266" s="3">
        <v>44379</v>
      </c>
      <c r="E266" s="2" t="s">
        <v>1227</v>
      </c>
      <c r="F266" s="2"/>
      <c r="G266" s="2" t="s">
        <v>1228</v>
      </c>
      <c r="H266" s="2" t="s">
        <v>1229</v>
      </c>
      <c r="I266" s="2" t="s">
        <v>41</v>
      </c>
      <c r="J266" s="3">
        <v>39249</v>
      </c>
      <c r="K266" s="2"/>
      <c r="L266" s="2"/>
      <c r="M266" s="2">
        <v>23</v>
      </c>
      <c r="N266" s="2">
        <v>12</v>
      </c>
      <c r="O266" s="2" t="s">
        <v>78</v>
      </c>
      <c r="P266" s="2" t="s">
        <v>43</v>
      </c>
      <c r="Q266" s="2"/>
      <c r="R266" s="2" t="s">
        <v>44</v>
      </c>
      <c r="S266" s="2">
        <v>8250215703</v>
      </c>
      <c r="T266" s="2" t="s">
        <v>1230</v>
      </c>
      <c r="U266" s="2" t="s">
        <v>1231</v>
      </c>
      <c r="V266" s="2">
        <v>7023080804</v>
      </c>
      <c r="W266" s="2" t="s">
        <v>1232</v>
      </c>
      <c r="X266" s="2">
        <v>36000</v>
      </c>
      <c r="Y266" s="2" t="s">
        <v>46</v>
      </c>
      <c r="Z266" s="2" t="s">
        <v>46</v>
      </c>
      <c r="AA266" s="2" t="s">
        <v>47</v>
      </c>
      <c r="AB266" s="2">
        <v>14</v>
      </c>
      <c r="AC266" s="2" t="s">
        <v>48</v>
      </c>
      <c r="AD266" s="2">
        <v>1</v>
      </c>
    </row>
    <row r="267" spans="1:30" ht="30" x14ac:dyDescent="0.25">
      <c r="A267" s="2">
        <v>9</v>
      </c>
      <c r="B267" s="2" t="s">
        <v>1108</v>
      </c>
      <c r="C267" s="2">
        <v>13998</v>
      </c>
      <c r="D267" s="3">
        <v>44474</v>
      </c>
      <c r="E267" s="2" t="s">
        <v>1233</v>
      </c>
      <c r="F267" s="2"/>
      <c r="G267" s="2" t="s">
        <v>1234</v>
      </c>
      <c r="H267" s="2" t="s">
        <v>1235</v>
      </c>
      <c r="I267" s="2" t="s">
        <v>41</v>
      </c>
      <c r="J267" s="3">
        <v>39249</v>
      </c>
      <c r="K267" s="2"/>
      <c r="L267" s="2"/>
      <c r="M267" s="2">
        <v>23</v>
      </c>
      <c r="N267" s="2"/>
      <c r="O267" s="2" t="s">
        <v>78</v>
      </c>
      <c r="P267" s="2" t="s">
        <v>43</v>
      </c>
      <c r="Q267" s="2"/>
      <c r="R267" s="2" t="s">
        <v>44</v>
      </c>
      <c r="S267" s="2">
        <v>8250215703</v>
      </c>
      <c r="T267" s="2" t="s">
        <v>1236</v>
      </c>
      <c r="U267" s="2"/>
      <c r="V267" s="2">
        <v>7850057550</v>
      </c>
      <c r="W267" s="2" t="s">
        <v>1237</v>
      </c>
      <c r="X267" s="2">
        <v>203978</v>
      </c>
      <c r="Y267" s="2" t="s">
        <v>46</v>
      </c>
      <c r="Z267" s="2" t="s">
        <v>46</v>
      </c>
      <c r="AA267" s="2" t="s">
        <v>47</v>
      </c>
      <c r="AB267" s="2">
        <v>14</v>
      </c>
      <c r="AC267" s="2" t="s">
        <v>48</v>
      </c>
      <c r="AD267" s="2">
        <v>0.5</v>
      </c>
    </row>
    <row r="268" spans="1:30" ht="30" x14ac:dyDescent="0.25">
      <c r="A268" s="2">
        <v>9</v>
      </c>
      <c r="B268" s="2" t="s">
        <v>1108</v>
      </c>
      <c r="C268" s="2">
        <v>13937</v>
      </c>
      <c r="D268" s="3">
        <v>44426</v>
      </c>
      <c r="E268" s="2" t="s">
        <v>1238</v>
      </c>
      <c r="F268" s="2"/>
      <c r="G268" s="2" t="s">
        <v>1239</v>
      </c>
      <c r="H268" s="2" t="s">
        <v>1240</v>
      </c>
      <c r="I268" s="2" t="s">
        <v>41</v>
      </c>
      <c r="J268" s="3">
        <v>39452</v>
      </c>
      <c r="K268" s="2"/>
      <c r="L268" s="2"/>
      <c r="M268" s="2">
        <v>23</v>
      </c>
      <c r="N268" s="2">
        <v>14</v>
      </c>
      <c r="O268" s="2" t="s">
        <v>53</v>
      </c>
      <c r="P268" s="2" t="s">
        <v>43</v>
      </c>
      <c r="Q268" s="2"/>
      <c r="R268" s="2" t="s">
        <v>44</v>
      </c>
      <c r="S268" s="2">
        <v>8250215703</v>
      </c>
      <c r="T268" s="2" t="s">
        <v>1241</v>
      </c>
      <c r="U268" s="2"/>
      <c r="V268" s="2">
        <v>9352343389</v>
      </c>
      <c r="W268" s="2" t="s">
        <v>1242</v>
      </c>
      <c r="X268" s="2">
        <v>774953</v>
      </c>
      <c r="Y268" s="2" t="s">
        <v>46</v>
      </c>
      <c r="Z268" s="2" t="s">
        <v>46</v>
      </c>
      <c r="AA268" s="2" t="s">
        <v>47</v>
      </c>
      <c r="AB268" s="2">
        <v>13</v>
      </c>
      <c r="AC268" s="2" t="s">
        <v>48</v>
      </c>
      <c r="AD268" s="2">
        <v>14</v>
      </c>
    </row>
    <row r="269" spans="1:30" ht="30" x14ac:dyDescent="0.25">
      <c r="A269" s="2">
        <v>9</v>
      </c>
      <c r="B269" s="2" t="s">
        <v>1108</v>
      </c>
      <c r="C269" s="2">
        <v>13749</v>
      </c>
      <c r="D269" s="3">
        <v>44394</v>
      </c>
      <c r="E269" s="2" t="s">
        <v>1243</v>
      </c>
      <c r="F269" s="2"/>
      <c r="G269" s="2" t="s">
        <v>940</v>
      </c>
      <c r="H269" s="2" t="s">
        <v>1081</v>
      </c>
      <c r="I269" s="2" t="s">
        <v>41</v>
      </c>
      <c r="J269" s="3">
        <v>39534</v>
      </c>
      <c r="K269" s="2"/>
      <c r="L269" s="2"/>
      <c r="M269" s="2">
        <v>23</v>
      </c>
      <c r="N269" s="2">
        <v>15</v>
      </c>
      <c r="O269" s="2" t="s">
        <v>53</v>
      </c>
      <c r="P269" s="2" t="s">
        <v>43</v>
      </c>
      <c r="Q269" s="2"/>
      <c r="R269" s="2" t="s">
        <v>44</v>
      </c>
      <c r="S269" s="2">
        <v>8250215703</v>
      </c>
      <c r="T269" s="2" t="s">
        <v>1244</v>
      </c>
      <c r="U269" s="2" t="s">
        <v>1245</v>
      </c>
      <c r="V269" s="2">
        <v>7984993060</v>
      </c>
      <c r="W269" s="2" t="s">
        <v>1246</v>
      </c>
      <c r="X269" s="2">
        <v>60000</v>
      </c>
      <c r="Y269" s="2" t="s">
        <v>46</v>
      </c>
      <c r="Z269" s="2" t="s">
        <v>46</v>
      </c>
      <c r="AA269" s="2" t="s">
        <v>47</v>
      </c>
      <c r="AB269" s="2">
        <v>13</v>
      </c>
      <c r="AC269" s="2" t="s">
        <v>48</v>
      </c>
      <c r="AD269" s="2">
        <v>0</v>
      </c>
    </row>
    <row r="270" spans="1:30" ht="45" x14ac:dyDescent="0.25">
      <c r="A270" s="2">
        <v>9</v>
      </c>
      <c r="B270" s="2" t="s">
        <v>1108</v>
      </c>
      <c r="C270" s="2">
        <v>13780</v>
      </c>
      <c r="D270" s="3">
        <v>44399</v>
      </c>
      <c r="E270" s="2" t="s">
        <v>1247</v>
      </c>
      <c r="F270" s="2"/>
      <c r="G270" s="2" t="s">
        <v>1248</v>
      </c>
      <c r="H270" s="2" t="s">
        <v>358</v>
      </c>
      <c r="I270" s="2" t="s">
        <v>41</v>
      </c>
      <c r="J270" s="3">
        <v>39153</v>
      </c>
      <c r="K270" s="2"/>
      <c r="L270" s="2"/>
      <c r="M270" s="2">
        <v>23</v>
      </c>
      <c r="N270" s="2">
        <v>12</v>
      </c>
      <c r="O270" s="2" t="s">
        <v>78</v>
      </c>
      <c r="P270" s="2" t="s">
        <v>43</v>
      </c>
      <c r="Q270" s="2"/>
      <c r="R270" s="2" t="s">
        <v>44</v>
      </c>
      <c r="S270" s="2">
        <v>8250215703</v>
      </c>
      <c r="T270" s="2" t="s">
        <v>1249</v>
      </c>
      <c r="U270" s="2" t="s">
        <v>1250</v>
      </c>
      <c r="V270" s="2">
        <v>7568598700</v>
      </c>
      <c r="W270" s="2" t="s">
        <v>1251</v>
      </c>
      <c r="X270" s="2">
        <v>36000</v>
      </c>
      <c r="Y270" s="2" t="s">
        <v>46</v>
      </c>
      <c r="Z270" s="2" t="s">
        <v>46</v>
      </c>
      <c r="AA270" s="2" t="s">
        <v>47</v>
      </c>
      <c r="AB270" s="2">
        <v>14</v>
      </c>
      <c r="AC270" s="2" t="s">
        <v>48</v>
      </c>
      <c r="AD270" s="2">
        <v>0.5</v>
      </c>
    </row>
    <row r="271" spans="1:30" ht="30" x14ac:dyDescent="0.25">
      <c r="A271" s="2">
        <v>9</v>
      </c>
      <c r="B271" s="2" t="s">
        <v>1108</v>
      </c>
      <c r="C271" s="2">
        <v>13324</v>
      </c>
      <c r="D271" s="3">
        <v>42140</v>
      </c>
      <c r="E271" s="2" t="s">
        <v>1247</v>
      </c>
      <c r="F271" s="2"/>
      <c r="G271" s="2" t="s">
        <v>1252</v>
      </c>
      <c r="H271" s="2" t="s">
        <v>1253</v>
      </c>
      <c r="I271" s="2" t="s">
        <v>41</v>
      </c>
      <c r="J271" s="3">
        <v>38915</v>
      </c>
      <c r="K271" s="2"/>
      <c r="L271" s="2"/>
      <c r="M271" s="2">
        <v>23</v>
      </c>
      <c r="N271" s="2">
        <v>16</v>
      </c>
      <c r="O271" s="2" t="s">
        <v>78</v>
      </c>
      <c r="P271" s="2" t="s">
        <v>43</v>
      </c>
      <c r="Q271" s="2"/>
      <c r="R271" s="2" t="s">
        <v>44</v>
      </c>
      <c r="S271" s="2">
        <v>8250215703</v>
      </c>
      <c r="T271" s="2" t="s">
        <v>1254</v>
      </c>
      <c r="U271" s="2" t="s">
        <v>1255</v>
      </c>
      <c r="V271" s="2">
        <v>9929617282</v>
      </c>
      <c r="W271" s="2" t="s">
        <v>1256</v>
      </c>
      <c r="X271" s="2">
        <v>30000</v>
      </c>
      <c r="Y271" s="2" t="s">
        <v>46</v>
      </c>
      <c r="Z271" s="2" t="s">
        <v>240</v>
      </c>
      <c r="AA271" s="2" t="s">
        <v>47</v>
      </c>
      <c r="AB271" s="2">
        <v>15</v>
      </c>
      <c r="AC271" s="2" t="s">
        <v>48</v>
      </c>
      <c r="AD271" s="2">
        <v>0</v>
      </c>
    </row>
    <row r="272" spans="1:30" ht="45" x14ac:dyDescent="0.25">
      <c r="A272" s="2">
        <v>9</v>
      </c>
      <c r="B272" s="2" t="s">
        <v>1108</v>
      </c>
      <c r="C272" s="2">
        <v>13763</v>
      </c>
      <c r="D272" s="3">
        <v>44396</v>
      </c>
      <c r="E272" s="2" t="s">
        <v>1257</v>
      </c>
      <c r="F272" s="2"/>
      <c r="G272" s="2" t="s">
        <v>1258</v>
      </c>
      <c r="H272" s="2" t="s">
        <v>159</v>
      </c>
      <c r="I272" s="2" t="s">
        <v>41</v>
      </c>
      <c r="J272" s="3">
        <v>39424</v>
      </c>
      <c r="K272" s="2"/>
      <c r="L272" s="2"/>
      <c r="M272" s="2">
        <v>23</v>
      </c>
      <c r="N272" s="2">
        <v>12</v>
      </c>
      <c r="O272" s="2" t="s">
        <v>53</v>
      </c>
      <c r="P272" s="2" t="s">
        <v>43</v>
      </c>
      <c r="Q272" s="2"/>
      <c r="R272" s="2" t="s">
        <v>44</v>
      </c>
      <c r="S272" s="2">
        <v>8250215703</v>
      </c>
      <c r="T272" s="2" t="s">
        <v>1259</v>
      </c>
      <c r="U272" s="2"/>
      <c r="V272" s="2">
        <v>9352153600</v>
      </c>
      <c r="W272" s="2" t="s">
        <v>1260</v>
      </c>
      <c r="X272" s="2">
        <v>48000</v>
      </c>
      <c r="Y272" s="2" t="s">
        <v>46</v>
      </c>
      <c r="Z272" s="2" t="s">
        <v>46</v>
      </c>
      <c r="AA272" s="2" t="s">
        <v>47</v>
      </c>
      <c r="AB272" s="2">
        <v>14</v>
      </c>
      <c r="AC272" s="2" t="s">
        <v>48</v>
      </c>
      <c r="AD272" s="2">
        <v>4</v>
      </c>
    </row>
    <row r="273" spans="1:30" ht="30" x14ac:dyDescent="0.25">
      <c r="A273" s="2">
        <v>9</v>
      </c>
      <c r="B273" s="2" t="s">
        <v>1108</v>
      </c>
      <c r="C273" s="2">
        <v>13701</v>
      </c>
      <c r="D273" s="3">
        <v>44379</v>
      </c>
      <c r="E273" s="2" t="s">
        <v>1261</v>
      </c>
      <c r="F273" s="2"/>
      <c r="G273" s="2" t="s">
        <v>1262</v>
      </c>
      <c r="H273" s="2" t="s">
        <v>1263</v>
      </c>
      <c r="I273" s="2" t="s">
        <v>41</v>
      </c>
      <c r="J273" s="3">
        <v>38837</v>
      </c>
      <c r="K273" s="2"/>
      <c r="L273" s="2"/>
      <c r="M273" s="2">
        <v>23</v>
      </c>
      <c r="N273" s="2">
        <v>14</v>
      </c>
      <c r="O273" s="2" t="s">
        <v>53</v>
      </c>
      <c r="P273" s="2" t="s">
        <v>43</v>
      </c>
      <c r="Q273" s="2"/>
      <c r="R273" s="2" t="s">
        <v>44</v>
      </c>
      <c r="S273" s="2">
        <v>8250215703</v>
      </c>
      <c r="T273" s="2" t="s">
        <v>1264</v>
      </c>
      <c r="U273" s="2" t="s">
        <v>1265</v>
      </c>
      <c r="V273" s="2">
        <v>8824111453</v>
      </c>
      <c r="W273" s="2" t="s">
        <v>1266</v>
      </c>
      <c r="X273" s="2">
        <v>36000</v>
      </c>
      <c r="Y273" s="2" t="s">
        <v>46</v>
      </c>
      <c r="Z273" s="2" t="s">
        <v>46</v>
      </c>
      <c r="AA273" s="2" t="s">
        <v>47</v>
      </c>
      <c r="AB273" s="2">
        <v>15</v>
      </c>
      <c r="AC273" s="2" t="s">
        <v>48</v>
      </c>
      <c r="AD273" s="2">
        <v>6</v>
      </c>
    </row>
    <row r="274" spans="1:30" ht="30" x14ac:dyDescent="0.25">
      <c r="A274" s="2">
        <v>9</v>
      </c>
      <c r="B274" s="2" t="s">
        <v>1108</v>
      </c>
      <c r="C274" s="2">
        <v>13710</v>
      </c>
      <c r="D274" s="3">
        <v>44379</v>
      </c>
      <c r="E274" s="2" t="s">
        <v>1267</v>
      </c>
      <c r="F274" s="2"/>
      <c r="G274" s="2" t="s">
        <v>1268</v>
      </c>
      <c r="H274" s="2" t="s">
        <v>1157</v>
      </c>
      <c r="I274" s="2" t="s">
        <v>41</v>
      </c>
      <c r="J274" s="3">
        <v>38401</v>
      </c>
      <c r="K274" s="2"/>
      <c r="L274" s="2"/>
      <c r="M274" s="2">
        <v>23</v>
      </c>
      <c r="N274" s="2">
        <v>12</v>
      </c>
      <c r="O274" s="2" t="s">
        <v>773</v>
      </c>
      <c r="P274" s="2" t="s">
        <v>43</v>
      </c>
      <c r="Q274" s="2"/>
      <c r="R274" s="2" t="s">
        <v>44</v>
      </c>
      <c r="S274" s="2">
        <v>8250215703</v>
      </c>
      <c r="T274" s="2" t="s">
        <v>1269</v>
      </c>
      <c r="U274" s="2"/>
      <c r="V274" s="2">
        <v>8279240619</v>
      </c>
      <c r="W274" s="2" t="s">
        <v>1270</v>
      </c>
      <c r="X274" s="2">
        <v>60000</v>
      </c>
      <c r="Y274" s="2" t="s">
        <v>46</v>
      </c>
      <c r="Z274" s="2" t="s">
        <v>46</v>
      </c>
      <c r="AA274" s="2" t="s">
        <v>47</v>
      </c>
      <c r="AB274" s="2">
        <v>16</v>
      </c>
      <c r="AC274" s="2" t="s">
        <v>48</v>
      </c>
      <c r="AD274" s="2">
        <v>0</v>
      </c>
    </row>
    <row r="275" spans="1:30" ht="30" x14ac:dyDescent="0.25">
      <c r="A275" s="2">
        <v>9</v>
      </c>
      <c r="B275" s="2" t="s">
        <v>1108</v>
      </c>
      <c r="C275" s="2">
        <v>13498</v>
      </c>
      <c r="D275" s="3">
        <v>44067</v>
      </c>
      <c r="E275" s="2" t="s">
        <v>1271</v>
      </c>
      <c r="F275" s="2"/>
      <c r="G275" s="2" t="s">
        <v>1272</v>
      </c>
      <c r="H275" s="2" t="s">
        <v>1086</v>
      </c>
      <c r="I275" s="2" t="s">
        <v>41</v>
      </c>
      <c r="J275" s="3">
        <v>38782</v>
      </c>
      <c r="K275" s="2"/>
      <c r="L275" s="2"/>
      <c r="M275" s="2">
        <v>23</v>
      </c>
      <c r="N275" s="2">
        <v>10</v>
      </c>
      <c r="O275" s="2" t="s">
        <v>78</v>
      </c>
      <c r="P275" s="2" t="s">
        <v>43</v>
      </c>
      <c r="Q275" s="2"/>
      <c r="R275" s="2" t="s">
        <v>44</v>
      </c>
      <c r="S275" s="2">
        <v>8250215703</v>
      </c>
      <c r="T275" s="2" t="s">
        <v>1273</v>
      </c>
      <c r="U275" s="2" t="s">
        <v>1274</v>
      </c>
      <c r="V275" s="2">
        <v>7727956952</v>
      </c>
      <c r="W275" s="2" t="s">
        <v>1275</v>
      </c>
      <c r="X275" s="2">
        <v>50000</v>
      </c>
      <c r="Y275" s="2" t="s">
        <v>46</v>
      </c>
      <c r="Z275" s="2" t="s">
        <v>46</v>
      </c>
      <c r="AA275" s="2" t="s">
        <v>47</v>
      </c>
      <c r="AB275" s="2">
        <v>15</v>
      </c>
      <c r="AC275" s="2" t="s">
        <v>48</v>
      </c>
      <c r="AD275" s="2">
        <v>0</v>
      </c>
    </row>
    <row r="276" spans="1:30" ht="30" x14ac:dyDescent="0.25">
      <c r="A276" s="2">
        <v>9</v>
      </c>
      <c r="B276" s="2" t="s">
        <v>1108</v>
      </c>
      <c r="C276" s="2">
        <v>13890</v>
      </c>
      <c r="D276" s="3">
        <v>44413</v>
      </c>
      <c r="E276" s="2" t="s">
        <v>1276</v>
      </c>
      <c r="F276" s="2"/>
      <c r="G276" s="2" t="s">
        <v>1277</v>
      </c>
      <c r="H276" s="2" t="s">
        <v>1278</v>
      </c>
      <c r="I276" s="2" t="s">
        <v>41</v>
      </c>
      <c r="J276" s="3">
        <v>39620</v>
      </c>
      <c r="K276" s="2"/>
      <c r="L276" s="2"/>
      <c r="M276" s="2">
        <v>23</v>
      </c>
      <c r="N276" s="2">
        <v>12</v>
      </c>
      <c r="O276" s="2" t="s">
        <v>42</v>
      </c>
      <c r="P276" s="2" t="s">
        <v>43</v>
      </c>
      <c r="Q276" s="2"/>
      <c r="R276" s="2" t="s">
        <v>44</v>
      </c>
      <c r="S276" s="2">
        <v>8250215703</v>
      </c>
      <c r="T276" s="2" t="s">
        <v>1279</v>
      </c>
      <c r="U276" s="2" t="s">
        <v>1280</v>
      </c>
      <c r="V276" s="2">
        <v>7737580562</v>
      </c>
      <c r="W276" s="2" t="s">
        <v>1281</v>
      </c>
      <c r="X276" s="2">
        <v>0</v>
      </c>
      <c r="Y276" s="2" t="s">
        <v>46</v>
      </c>
      <c r="Z276" s="2" t="s">
        <v>46</v>
      </c>
      <c r="AA276" s="2" t="s">
        <v>47</v>
      </c>
      <c r="AB276" s="2">
        <v>13</v>
      </c>
      <c r="AC276" s="2" t="s">
        <v>48</v>
      </c>
      <c r="AD276" s="2">
        <v>0</v>
      </c>
    </row>
    <row r="277" spans="1:30" ht="30" x14ac:dyDescent="0.25">
      <c r="A277" s="2">
        <v>9</v>
      </c>
      <c r="B277" s="2" t="s">
        <v>1108</v>
      </c>
      <c r="C277" s="2">
        <v>13797</v>
      </c>
      <c r="D277" s="3">
        <v>44399</v>
      </c>
      <c r="E277" s="2" t="s">
        <v>1282</v>
      </c>
      <c r="F277" s="2"/>
      <c r="G277" s="2" t="s">
        <v>1283</v>
      </c>
      <c r="H277" s="2" t="s">
        <v>830</v>
      </c>
      <c r="I277" s="2" t="s">
        <v>41</v>
      </c>
      <c r="J277" s="3">
        <v>39427</v>
      </c>
      <c r="K277" s="2"/>
      <c r="L277" s="2"/>
      <c r="M277" s="2">
        <v>23</v>
      </c>
      <c r="N277" s="2">
        <v>12</v>
      </c>
      <c r="O277" s="2" t="s">
        <v>53</v>
      </c>
      <c r="P277" s="2" t="s">
        <v>43</v>
      </c>
      <c r="Q277" s="2"/>
      <c r="R277" s="2" t="s">
        <v>44</v>
      </c>
      <c r="S277" s="2">
        <v>8250215703</v>
      </c>
      <c r="T277" s="2" t="s">
        <v>1284</v>
      </c>
      <c r="U277" s="2" t="s">
        <v>1285</v>
      </c>
      <c r="V277" s="2">
        <v>7742470717</v>
      </c>
      <c r="W277" s="2" t="s">
        <v>1286</v>
      </c>
      <c r="X277" s="2">
        <v>38000</v>
      </c>
      <c r="Y277" s="2" t="s">
        <v>46</v>
      </c>
      <c r="Z277" s="2" t="s">
        <v>240</v>
      </c>
      <c r="AA277" s="2" t="s">
        <v>47</v>
      </c>
      <c r="AB277" s="2">
        <v>14</v>
      </c>
      <c r="AC277" s="2" t="s">
        <v>48</v>
      </c>
      <c r="AD277" s="2">
        <v>1</v>
      </c>
    </row>
    <row r="278" spans="1:30" ht="30" x14ac:dyDescent="0.25">
      <c r="A278" s="2">
        <v>9</v>
      </c>
      <c r="B278" s="2" t="s">
        <v>1108</v>
      </c>
      <c r="C278" s="2">
        <v>13752</v>
      </c>
      <c r="D278" s="3">
        <v>44394</v>
      </c>
      <c r="E278" s="2" t="s">
        <v>1287</v>
      </c>
      <c r="F278" s="2"/>
      <c r="G278" s="2" t="s">
        <v>1288</v>
      </c>
      <c r="H278" s="2" t="s">
        <v>1289</v>
      </c>
      <c r="I278" s="2" t="s">
        <v>41</v>
      </c>
      <c r="J278" s="3">
        <v>38987</v>
      </c>
      <c r="K278" s="2"/>
      <c r="L278" s="2"/>
      <c r="M278" s="2">
        <v>23</v>
      </c>
      <c r="N278" s="2">
        <v>10</v>
      </c>
      <c r="O278" s="2" t="s">
        <v>53</v>
      </c>
      <c r="P278" s="2" t="s">
        <v>43</v>
      </c>
      <c r="Q278" s="2"/>
      <c r="R278" s="2" t="s">
        <v>44</v>
      </c>
      <c r="S278" s="2">
        <v>8250215703</v>
      </c>
      <c r="T278" s="2" t="s">
        <v>1290</v>
      </c>
      <c r="U278" s="2" t="s">
        <v>1291</v>
      </c>
      <c r="V278" s="2">
        <v>6375603343</v>
      </c>
      <c r="W278" s="2" t="s">
        <v>371</v>
      </c>
      <c r="X278" s="2">
        <v>36000</v>
      </c>
      <c r="Y278" s="2" t="s">
        <v>46</v>
      </c>
      <c r="Z278" s="2" t="s">
        <v>46</v>
      </c>
      <c r="AA278" s="2" t="s">
        <v>47</v>
      </c>
      <c r="AB278" s="2">
        <v>15</v>
      </c>
      <c r="AC278" s="2" t="s">
        <v>48</v>
      </c>
      <c r="AD278" s="2">
        <v>3</v>
      </c>
    </row>
    <row r="279" spans="1:30" ht="30" x14ac:dyDescent="0.25">
      <c r="A279" s="2">
        <v>9</v>
      </c>
      <c r="B279" s="2" t="s">
        <v>1108</v>
      </c>
      <c r="C279" s="2">
        <v>13738</v>
      </c>
      <c r="D279" s="3">
        <v>44390</v>
      </c>
      <c r="E279" s="2" t="s">
        <v>1292</v>
      </c>
      <c r="F279" s="2"/>
      <c r="G279" s="2" t="s">
        <v>1293</v>
      </c>
      <c r="H279" s="2" t="s">
        <v>941</v>
      </c>
      <c r="I279" s="2" t="s">
        <v>41</v>
      </c>
      <c r="J279" s="3">
        <v>38651</v>
      </c>
      <c r="K279" s="2"/>
      <c r="L279" s="2"/>
      <c r="M279" s="2">
        <v>23</v>
      </c>
      <c r="N279" s="2">
        <v>12</v>
      </c>
      <c r="O279" s="2" t="s">
        <v>78</v>
      </c>
      <c r="P279" s="2" t="s">
        <v>43</v>
      </c>
      <c r="Q279" s="2"/>
      <c r="R279" s="2" t="s">
        <v>44</v>
      </c>
      <c r="S279" s="2">
        <v>8250215703</v>
      </c>
      <c r="T279" s="2" t="s">
        <v>1294</v>
      </c>
      <c r="U279" s="2" t="s">
        <v>1295</v>
      </c>
      <c r="V279" s="2">
        <v>7742233328</v>
      </c>
      <c r="W279" s="2" t="s">
        <v>816</v>
      </c>
      <c r="X279" s="2">
        <v>36000</v>
      </c>
      <c r="Y279" s="2" t="s">
        <v>46</v>
      </c>
      <c r="Z279" s="2" t="s">
        <v>46</v>
      </c>
      <c r="AA279" s="2" t="s">
        <v>47</v>
      </c>
      <c r="AB279" s="2">
        <v>16</v>
      </c>
      <c r="AC279" s="2" t="s">
        <v>48</v>
      </c>
      <c r="AD279" s="2">
        <v>0</v>
      </c>
    </row>
    <row r="280" spans="1:30" ht="30" x14ac:dyDescent="0.25">
      <c r="A280" s="2">
        <v>9</v>
      </c>
      <c r="B280" s="2" t="s">
        <v>1108</v>
      </c>
      <c r="C280" s="2">
        <v>13905</v>
      </c>
      <c r="D280" s="3">
        <v>44420</v>
      </c>
      <c r="E280" s="2" t="s">
        <v>1296</v>
      </c>
      <c r="F280" s="2"/>
      <c r="G280" s="2" t="s">
        <v>1297</v>
      </c>
      <c r="H280" s="2" t="s">
        <v>1298</v>
      </c>
      <c r="I280" s="2" t="s">
        <v>41</v>
      </c>
      <c r="J280" s="3">
        <v>38902</v>
      </c>
      <c r="K280" s="2"/>
      <c r="L280" s="2"/>
      <c r="M280" s="2">
        <v>23</v>
      </c>
      <c r="N280" s="2">
        <v>10</v>
      </c>
      <c r="O280" s="2" t="s">
        <v>78</v>
      </c>
      <c r="P280" s="2" t="s">
        <v>43</v>
      </c>
      <c r="Q280" s="2"/>
      <c r="R280" s="2" t="s">
        <v>44</v>
      </c>
      <c r="S280" s="2">
        <v>8250215703</v>
      </c>
      <c r="T280" s="2" t="s">
        <v>1299</v>
      </c>
      <c r="U280" s="2"/>
      <c r="V280" s="2">
        <v>7023353325</v>
      </c>
      <c r="W280" s="2" t="s">
        <v>911</v>
      </c>
      <c r="X280" s="2">
        <v>405458</v>
      </c>
      <c r="Y280" s="2" t="s">
        <v>46</v>
      </c>
      <c r="Z280" s="2" t="s">
        <v>46</v>
      </c>
      <c r="AA280" s="2" t="s">
        <v>47</v>
      </c>
      <c r="AB280" s="2">
        <v>15</v>
      </c>
      <c r="AC280" s="2" t="s">
        <v>48</v>
      </c>
      <c r="AD280" s="2">
        <v>2</v>
      </c>
    </row>
    <row r="281" spans="1:30" ht="30" x14ac:dyDescent="0.25">
      <c r="A281" s="2">
        <v>9</v>
      </c>
      <c r="B281" s="2" t="s">
        <v>1108</v>
      </c>
      <c r="C281" s="2">
        <v>13769</v>
      </c>
      <c r="D281" s="3">
        <v>44396</v>
      </c>
      <c r="E281" s="2" t="s">
        <v>1300</v>
      </c>
      <c r="F281" s="2" t="s">
        <v>229</v>
      </c>
      <c r="G281" s="2" t="s">
        <v>1301</v>
      </c>
      <c r="H281" s="2" t="s">
        <v>1302</v>
      </c>
      <c r="I281" s="2" t="s">
        <v>41</v>
      </c>
      <c r="J281" s="3">
        <v>39203</v>
      </c>
      <c r="K281" s="2"/>
      <c r="L281" s="2"/>
      <c r="M281" s="2">
        <v>23</v>
      </c>
      <c r="N281" s="2">
        <v>12</v>
      </c>
      <c r="O281" s="2" t="s">
        <v>53</v>
      </c>
      <c r="P281" s="2" t="s">
        <v>43</v>
      </c>
      <c r="Q281" s="2"/>
      <c r="R281" s="2" t="s">
        <v>44</v>
      </c>
      <c r="S281" s="2">
        <v>8250215703</v>
      </c>
      <c r="T281" s="2" t="s">
        <v>1303</v>
      </c>
      <c r="U281" s="2"/>
      <c r="V281" s="2">
        <v>9460726109</v>
      </c>
      <c r="W281" s="2" t="s">
        <v>1304</v>
      </c>
      <c r="X281" s="2">
        <v>0</v>
      </c>
      <c r="Y281" s="2" t="s">
        <v>46</v>
      </c>
      <c r="Z281" s="2" t="s">
        <v>46</v>
      </c>
      <c r="AA281" s="2" t="s">
        <v>47</v>
      </c>
      <c r="AB281" s="2">
        <v>14</v>
      </c>
      <c r="AC281" s="2" t="s">
        <v>48</v>
      </c>
      <c r="AD281" s="2">
        <v>1</v>
      </c>
    </row>
    <row r="282" spans="1:30" ht="30" x14ac:dyDescent="0.25">
      <c r="A282" s="2">
        <v>9</v>
      </c>
      <c r="B282" s="2" t="s">
        <v>1108</v>
      </c>
      <c r="C282" s="2">
        <v>13785</v>
      </c>
      <c r="D282" s="3">
        <v>44399</v>
      </c>
      <c r="E282" s="2" t="s">
        <v>1305</v>
      </c>
      <c r="F282" s="2"/>
      <c r="G282" s="2" t="s">
        <v>1306</v>
      </c>
      <c r="H282" s="2" t="s">
        <v>1307</v>
      </c>
      <c r="I282" s="2" t="s">
        <v>41</v>
      </c>
      <c r="J282" s="3">
        <v>38964</v>
      </c>
      <c r="K282" s="2"/>
      <c r="L282" s="2"/>
      <c r="M282" s="2">
        <v>23</v>
      </c>
      <c r="N282" s="2">
        <v>10</v>
      </c>
      <c r="O282" s="2" t="s">
        <v>78</v>
      </c>
      <c r="P282" s="2" t="s">
        <v>43</v>
      </c>
      <c r="Q282" s="2"/>
      <c r="R282" s="2" t="s">
        <v>44</v>
      </c>
      <c r="S282" s="2">
        <v>8250215703</v>
      </c>
      <c r="T282" s="2" t="s">
        <v>1308</v>
      </c>
      <c r="U282" s="2"/>
      <c r="V282" s="2">
        <v>9521783925</v>
      </c>
      <c r="W282" s="2" t="s">
        <v>1309</v>
      </c>
      <c r="X282" s="2">
        <v>50000</v>
      </c>
      <c r="Y282" s="2" t="s">
        <v>46</v>
      </c>
      <c r="Z282" s="2" t="s">
        <v>46</v>
      </c>
      <c r="AA282" s="2" t="s">
        <v>47</v>
      </c>
      <c r="AB282" s="2">
        <v>15</v>
      </c>
      <c r="AC282" s="2" t="s">
        <v>48</v>
      </c>
      <c r="AD282" s="2">
        <v>2</v>
      </c>
    </row>
    <row r="283" spans="1:30" ht="30" x14ac:dyDescent="0.25">
      <c r="A283" s="2">
        <v>9</v>
      </c>
      <c r="B283" s="2" t="s">
        <v>1108</v>
      </c>
      <c r="C283" s="2">
        <v>13132</v>
      </c>
      <c r="D283" s="3">
        <v>43304</v>
      </c>
      <c r="E283" s="2" t="s">
        <v>756</v>
      </c>
      <c r="F283" s="2"/>
      <c r="G283" s="2" t="s">
        <v>590</v>
      </c>
      <c r="H283" s="2" t="s">
        <v>591</v>
      </c>
      <c r="I283" s="2" t="s">
        <v>41</v>
      </c>
      <c r="J283" s="3">
        <v>39283</v>
      </c>
      <c r="K283" s="2"/>
      <c r="L283" s="2"/>
      <c r="M283" s="2">
        <v>23</v>
      </c>
      <c r="N283" s="2">
        <v>14</v>
      </c>
      <c r="O283" s="2" t="s">
        <v>53</v>
      </c>
      <c r="P283" s="2" t="s">
        <v>43</v>
      </c>
      <c r="Q283" s="2"/>
      <c r="R283" s="2" t="s">
        <v>44</v>
      </c>
      <c r="S283" s="2">
        <v>8250215703</v>
      </c>
      <c r="T283" s="2" t="s">
        <v>1310</v>
      </c>
      <c r="U283" s="2" t="s">
        <v>593</v>
      </c>
      <c r="V283" s="2">
        <v>8290004046</v>
      </c>
      <c r="W283" s="2" t="s">
        <v>1311</v>
      </c>
      <c r="X283" s="2">
        <v>36000</v>
      </c>
      <c r="Y283" s="2" t="s">
        <v>46</v>
      </c>
      <c r="Z283" s="2" t="s">
        <v>46</v>
      </c>
      <c r="AA283" s="2" t="s">
        <v>47</v>
      </c>
      <c r="AB283" s="2">
        <v>14</v>
      </c>
      <c r="AC283" s="2" t="s">
        <v>48</v>
      </c>
      <c r="AD283" s="2">
        <v>24</v>
      </c>
    </row>
    <row r="284" spans="1:30" ht="30" x14ac:dyDescent="0.25">
      <c r="A284" s="2">
        <v>9</v>
      </c>
      <c r="B284" s="2" t="s">
        <v>1108</v>
      </c>
      <c r="C284" s="2">
        <v>12263</v>
      </c>
      <c r="D284" s="3">
        <v>42548</v>
      </c>
      <c r="E284" s="2" t="s">
        <v>756</v>
      </c>
      <c r="F284" s="2"/>
      <c r="G284" s="2" t="s">
        <v>1312</v>
      </c>
      <c r="H284" s="2" t="s">
        <v>1313</v>
      </c>
      <c r="I284" s="2" t="s">
        <v>41</v>
      </c>
      <c r="J284" s="3">
        <v>38944</v>
      </c>
      <c r="K284" s="2"/>
      <c r="L284" s="2"/>
      <c r="M284" s="2">
        <v>23</v>
      </c>
      <c r="N284" s="2">
        <v>12</v>
      </c>
      <c r="O284" s="2" t="s">
        <v>53</v>
      </c>
      <c r="P284" s="2" t="s">
        <v>43</v>
      </c>
      <c r="Q284" s="2"/>
      <c r="R284" s="2" t="s">
        <v>44</v>
      </c>
      <c r="S284" s="2">
        <v>8250215703</v>
      </c>
      <c r="T284" s="2"/>
      <c r="U284" s="2"/>
      <c r="V284" s="2">
        <v>9549721826</v>
      </c>
      <c r="W284" s="2" t="s">
        <v>283</v>
      </c>
      <c r="X284" s="2">
        <v>30000</v>
      </c>
      <c r="Y284" s="2" t="s">
        <v>46</v>
      </c>
      <c r="Z284" s="2" t="s">
        <v>46</v>
      </c>
      <c r="AA284" s="2" t="s">
        <v>47</v>
      </c>
      <c r="AB284" s="2">
        <v>15</v>
      </c>
      <c r="AC284" s="2" t="s">
        <v>48</v>
      </c>
      <c r="AD284" s="2">
        <v>1</v>
      </c>
    </row>
    <row r="285" spans="1:30" ht="30" x14ac:dyDescent="0.25">
      <c r="A285" s="2">
        <v>9</v>
      </c>
      <c r="B285" s="2" t="s">
        <v>1108</v>
      </c>
      <c r="C285" s="2">
        <v>13778</v>
      </c>
      <c r="D285" s="3">
        <v>44396</v>
      </c>
      <c r="E285" s="2" t="s">
        <v>1140</v>
      </c>
      <c r="F285" s="2"/>
      <c r="G285" s="2" t="s">
        <v>1314</v>
      </c>
      <c r="H285" s="2" t="s">
        <v>1315</v>
      </c>
      <c r="I285" s="2" t="s">
        <v>41</v>
      </c>
      <c r="J285" s="3">
        <v>39367</v>
      </c>
      <c r="K285" s="2"/>
      <c r="L285" s="2"/>
      <c r="M285" s="2">
        <v>23</v>
      </c>
      <c r="N285" s="2">
        <v>12</v>
      </c>
      <c r="O285" s="2" t="s">
        <v>53</v>
      </c>
      <c r="P285" s="2" t="s">
        <v>43</v>
      </c>
      <c r="Q285" s="2"/>
      <c r="R285" s="2" t="s">
        <v>44</v>
      </c>
      <c r="S285" s="2">
        <v>8250215703</v>
      </c>
      <c r="T285" s="2" t="s">
        <v>1316</v>
      </c>
      <c r="U285" s="2" t="s">
        <v>1317</v>
      </c>
      <c r="V285" s="2">
        <v>7568486547</v>
      </c>
      <c r="W285" s="2" t="s">
        <v>1064</v>
      </c>
      <c r="X285" s="2">
        <v>40000</v>
      </c>
      <c r="Y285" s="2" t="s">
        <v>46</v>
      </c>
      <c r="Z285" s="2" t="s">
        <v>46</v>
      </c>
      <c r="AA285" s="2" t="s">
        <v>47</v>
      </c>
      <c r="AB285" s="2">
        <v>14</v>
      </c>
      <c r="AC285" s="2" t="s">
        <v>48</v>
      </c>
      <c r="AD285" s="2">
        <v>2</v>
      </c>
    </row>
    <row r="286" spans="1:30" ht="30" x14ac:dyDescent="0.25">
      <c r="A286" s="2">
        <v>9</v>
      </c>
      <c r="B286" s="2" t="s">
        <v>1108</v>
      </c>
      <c r="C286" s="2">
        <v>13773</v>
      </c>
      <c r="D286" s="3">
        <v>44396</v>
      </c>
      <c r="E286" s="2" t="s">
        <v>1318</v>
      </c>
      <c r="F286" s="2"/>
      <c r="G286" s="2" t="s">
        <v>560</v>
      </c>
      <c r="H286" s="2" t="s">
        <v>1319</v>
      </c>
      <c r="I286" s="2" t="s">
        <v>41</v>
      </c>
      <c r="J286" s="3">
        <v>38479</v>
      </c>
      <c r="K286" s="2"/>
      <c r="L286" s="2"/>
      <c r="M286" s="2">
        <v>23</v>
      </c>
      <c r="N286" s="2">
        <v>12</v>
      </c>
      <c r="O286" s="2" t="s">
        <v>53</v>
      </c>
      <c r="P286" s="2" t="s">
        <v>43</v>
      </c>
      <c r="Q286" s="2"/>
      <c r="R286" s="2" t="s">
        <v>44</v>
      </c>
      <c r="S286" s="2">
        <v>8250215703</v>
      </c>
      <c r="T286" s="2" t="s">
        <v>1320</v>
      </c>
      <c r="U286" s="2"/>
      <c r="V286" s="2">
        <v>7976776040</v>
      </c>
      <c r="W286" s="2" t="s">
        <v>1321</v>
      </c>
      <c r="X286" s="2">
        <v>36000</v>
      </c>
      <c r="Y286" s="2" t="s">
        <v>46</v>
      </c>
      <c r="Z286" s="2" t="s">
        <v>46</v>
      </c>
      <c r="AA286" s="2" t="s">
        <v>47</v>
      </c>
      <c r="AB286" s="2">
        <v>16</v>
      </c>
      <c r="AC286" s="2" t="s">
        <v>48</v>
      </c>
      <c r="AD286" s="2">
        <v>4</v>
      </c>
    </row>
    <row r="287" spans="1:30" ht="30" x14ac:dyDescent="0.25">
      <c r="A287" s="2">
        <v>9</v>
      </c>
      <c r="B287" s="2" t="s">
        <v>1108</v>
      </c>
      <c r="C287" s="2">
        <v>13843</v>
      </c>
      <c r="D287" s="3">
        <v>44405</v>
      </c>
      <c r="E287" s="2" t="s">
        <v>1322</v>
      </c>
      <c r="F287" s="2"/>
      <c r="G287" s="2" t="s">
        <v>1323</v>
      </c>
      <c r="H287" s="2" t="s">
        <v>1324</v>
      </c>
      <c r="I287" s="2" t="s">
        <v>41</v>
      </c>
      <c r="J287" s="3">
        <v>39368</v>
      </c>
      <c r="K287" s="2"/>
      <c r="L287" s="2"/>
      <c r="M287" s="2">
        <v>23</v>
      </c>
      <c r="N287" s="2">
        <v>14</v>
      </c>
      <c r="O287" s="2" t="s">
        <v>53</v>
      </c>
      <c r="P287" s="2" t="s">
        <v>43</v>
      </c>
      <c r="Q287" s="2"/>
      <c r="R287" s="2" t="s">
        <v>44</v>
      </c>
      <c r="S287" s="2">
        <v>8250215703</v>
      </c>
      <c r="T287" s="2" t="s">
        <v>1325</v>
      </c>
      <c r="U287" s="2" t="s">
        <v>1326</v>
      </c>
      <c r="V287" s="2">
        <v>9784803899</v>
      </c>
      <c r="W287" s="2" t="s">
        <v>1327</v>
      </c>
      <c r="X287" s="2">
        <v>120000</v>
      </c>
      <c r="Y287" s="2" t="s">
        <v>46</v>
      </c>
      <c r="Z287" s="2" t="s">
        <v>46</v>
      </c>
      <c r="AA287" s="2" t="s">
        <v>47</v>
      </c>
      <c r="AB287" s="2">
        <v>14</v>
      </c>
      <c r="AC287" s="2" t="s">
        <v>48</v>
      </c>
      <c r="AD287" s="2">
        <v>0.5</v>
      </c>
    </row>
    <row r="288" spans="1:30" ht="30" x14ac:dyDescent="0.25">
      <c r="A288" s="2">
        <v>9</v>
      </c>
      <c r="B288" s="2" t="s">
        <v>1108</v>
      </c>
      <c r="C288" s="2">
        <v>13891</v>
      </c>
      <c r="D288" s="3">
        <v>44413</v>
      </c>
      <c r="E288" s="2" t="s">
        <v>1239</v>
      </c>
      <c r="F288" s="2"/>
      <c r="G288" s="2" t="s">
        <v>1328</v>
      </c>
      <c r="H288" s="2" t="s">
        <v>899</v>
      </c>
      <c r="I288" s="2" t="s">
        <v>41</v>
      </c>
      <c r="J288" s="3">
        <v>38576</v>
      </c>
      <c r="K288" s="2"/>
      <c r="L288" s="2"/>
      <c r="M288" s="2">
        <v>23</v>
      </c>
      <c r="N288" s="2">
        <v>15</v>
      </c>
      <c r="O288" s="2" t="s">
        <v>53</v>
      </c>
      <c r="P288" s="2" t="s">
        <v>43</v>
      </c>
      <c r="Q288" s="2"/>
      <c r="R288" s="2" t="s">
        <v>44</v>
      </c>
      <c r="S288" s="2">
        <v>8250215703</v>
      </c>
      <c r="T288" s="2" t="s">
        <v>1329</v>
      </c>
      <c r="U288" s="2"/>
      <c r="V288" s="2">
        <v>8077009331</v>
      </c>
      <c r="W288" s="2" t="s">
        <v>1330</v>
      </c>
      <c r="X288" s="2">
        <v>160000</v>
      </c>
      <c r="Y288" s="2" t="s">
        <v>46</v>
      </c>
      <c r="Z288" s="2" t="s">
        <v>46</v>
      </c>
      <c r="AA288" s="2" t="s">
        <v>47</v>
      </c>
      <c r="AB288" s="2">
        <v>16</v>
      </c>
      <c r="AC288" s="2" t="s">
        <v>48</v>
      </c>
      <c r="AD288" s="2">
        <v>7</v>
      </c>
    </row>
    <row r="289" spans="1:30" ht="30" x14ac:dyDescent="0.25">
      <c r="A289" s="2">
        <v>9</v>
      </c>
      <c r="B289" s="2" t="s">
        <v>1108</v>
      </c>
      <c r="C289" s="2">
        <v>13822</v>
      </c>
      <c r="D289" s="3">
        <v>44403</v>
      </c>
      <c r="E289" s="2" t="s">
        <v>1331</v>
      </c>
      <c r="F289" s="2"/>
      <c r="G289" s="2" t="s">
        <v>1332</v>
      </c>
      <c r="H289" s="2" t="s">
        <v>1071</v>
      </c>
      <c r="I289" s="2" t="s">
        <v>41</v>
      </c>
      <c r="J289" s="3">
        <v>38745</v>
      </c>
      <c r="K289" s="2"/>
      <c r="L289" s="2"/>
      <c r="M289" s="2">
        <v>23</v>
      </c>
      <c r="N289" s="2">
        <v>12</v>
      </c>
      <c r="O289" s="2" t="s">
        <v>53</v>
      </c>
      <c r="P289" s="2" t="s">
        <v>43</v>
      </c>
      <c r="Q289" s="2"/>
      <c r="R289" s="2" t="s">
        <v>44</v>
      </c>
      <c r="S289" s="2">
        <v>8250215703</v>
      </c>
      <c r="T289" s="2" t="s">
        <v>1333</v>
      </c>
      <c r="U289" s="2" t="s">
        <v>1334</v>
      </c>
      <c r="V289" s="2">
        <v>9982205146</v>
      </c>
      <c r="W289" s="2" t="s">
        <v>1335</v>
      </c>
      <c r="X289" s="2">
        <v>12000</v>
      </c>
      <c r="Y289" s="2" t="s">
        <v>46</v>
      </c>
      <c r="Z289" s="2" t="s">
        <v>46</v>
      </c>
      <c r="AA289" s="2" t="s">
        <v>47</v>
      </c>
      <c r="AB289" s="2">
        <v>15</v>
      </c>
      <c r="AC289" s="2" t="s">
        <v>48</v>
      </c>
      <c r="AD289" s="2">
        <v>3</v>
      </c>
    </row>
    <row r="290" spans="1:30" ht="30" x14ac:dyDescent="0.25">
      <c r="A290" s="2">
        <v>9</v>
      </c>
      <c r="B290" s="2" t="s">
        <v>1108</v>
      </c>
      <c r="C290" s="2">
        <v>13755</v>
      </c>
      <c r="D290" s="3">
        <v>44394</v>
      </c>
      <c r="E290" s="2" t="s">
        <v>1336</v>
      </c>
      <c r="F290" s="2" t="s">
        <v>229</v>
      </c>
      <c r="G290" s="2" t="s">
        <v>1135</v>
      </c>
      <c r="H290" s="2" t="s">
        <v>1157</v>
      </c>
      <c r="I290" s="2" t="s">
        <v>41</v>
      </c>
      <c r="J290" s="3">
        <v>39665</v>
      </c>
      <c r="K290" s="2"/>
      <c r="L290" s="2"/>
      <c r="M290" s="2">
        <v>23</v>
      </c>
      <c r="N290" s="2">
        <v>14</v>
      </c>
      <c r="O290" s="2" t="s">
        <v>53</v>
      </c>
      <c r="P290" s="2" t="s">
        <v>43</v>
      </c>
      <c r="Q290" s="2"/>
      <c r="R290" s="2" t="s">
        <v>44</v>
      </c>
      <c r="S290" s="2">
        <v>8250215703</v>
      </c>
      <c r="T290" s="2" t="s">
        <v>1337</v>
      </c>
      <c r="U290" s="2" t="s">
        <v>1338</v>
      </c>
      <c r="V290" s="2">
        <v>7023081379</v>
      </c>
      <c r="W290" s="2" t="s">
        <v>1339</v>
      </c>
      <c r="X290" s="2">
        <v>76000</v>
      </c>
      <c r="Y290" s="2" t="s">
        <v>46</v>
      </c>
      <c r="Z290" s="2" t="s">
        <v>46</v>
      </c>
      <c r="AA290" s="2" t="s">
        <v>47</v>
      </c>
      <c r="AB290" s="2">
        <v>13</v>
      </c>
      <c r="AC290" s="2" t="s">
        <v>48</v>
      </c>
      <c r="AD290" s="2">
        <v>0</v>
      </c>
    </row>
    <row r="291" spans="1:30" ht="30" x14ac:dyDescent="0.25">
      <c r="A291" s="2">
        <v>9</v>
      </c>
      <c r="B291" s="2" t="s">
        <v>1108</v>
      </c>
      <c r="C291" s="2">
        <v>13782</v>
      </c>
      <c r="D291" s="3">
        <v>42919</v>
      </c>
      <c r="E291" s="2" t="s">
        <v>1340</v>
      </c>
      <c r="F291" s="2"/>
      <c r="G291" s="2" t="s">
        <v>1341</v>
      </c>
      <c r="H291" s="2" t="s">
        <v>1018</v>
      </c>
      <c r="I291" s="2" t="s">
        <v>41</v>
      </c>
      <c r="J291" s="3">
        <v>39537</v>
      </c>
      <c r="K291" s="2"/>
      <c r="L291" s="2"/>
      <c r="M291" s="2">
        <v>23</v>
      </c>
      <c r="N291" s="2">
        <v>12</v>
      </c>
      <c r="O291" s="2" t="s">
        <v>42</v>
      </c>
      <c r="P291" s="2" t="s">
        <v>43</v>
      </c>
      <c r="Q291" s="2"/>
      <c r="R291" s="2" t="s">
        <v>44</v>
      </c>
      <c r="S291" s="2">
        <v>8250215703</v>
      </c>
      <c r="T291" s="2" t="s">
        <v>1342</v>
      </c>
      <c r="U291" s="2"/>
      <c r="V291" s="2">
        <v>6367649078</v>
      </c>
      <c r="W291" s="2" t="s">
        <v>1343</v>
      </c>
      <c r="X291" s="2">
        <v>36000</v>
      </c>
      <c r="Y291" s="2" t="s">
        <v>46</v>
      </c>
      <c r="Z291" s="2" t="s">
        <v>46</v>
      </c>
      <c r="AA291" s="2" t="s">
        <v>47</v>
      </c>
      <c r="AB291" s="2">
        <v>13</v>
      </c>
      <c r="AC291" s="2" t="s">
        <v>48</v>
      </c>
      <c r="AD291" s="2">
        <v>1</v>
      </c>
    </row>
    <row r="292" spans="1:30" ht="30" x14ac:dyDescent="0.25">
      <c r="A292" s="2">
        <v>9</v>
      </c>
      <c r="B292" s="2" t="s">
        <v>1108</v>
      </c>
      <c r="C292" s="2">
        <v>13800</v>
      </c>
      <c r="D292" s="3">
        <v>44399</v>
      </c>
      <c r="E292" s="2" t="s">
        <v>1344</v>
      </c>
      <c r="F292" s="2"/>
      <c r="G292" s="2" t="s">
        <v>1345</v>
      </c>
      <c r="H292" s="2" t="s">
        <v>1346</v>
      </c>
      <c r="I292" s="2" t="s">
        <v>41</v>
      </c>
      <c r="J292" s="3">
        <v>39625</v>
      </c>
      <c r="K292" s="2"/>
      <c r="L292" s="2"/>
      <c r="M292" s="2">
        <v>23</v>
      </c>
      <c r="N292" s="2">
        <v>14</v>
      </c>
      <c r="O292" s="2" t="s">
        <v>773</v>
      </c>
      <c r="P292" s="2" t="s">
        <v>43</v>
      </c>
      <c r="Q292" s="2"/>
      <c r="R292" s="2" t="s">
        <v>44</v>
      </c>
      <c r="S292" s="2">
        <v>8250215703</v>
      </c>
      <c r="T292" s="2" t="s">
        <v>1347</v>
      </c>
      <c r="U292" s="2" t="s">
        <v>1348</v>
      </c>
      <c r="V292" s="2">
        <v>8952891987</v>
      </c>
      <c r="W292" s="2" t="s">
        <v>1349</v>
      </c>
      <c r="X292" s="2">
        <v>60000</v>
      </c>
      <c r="Y292" s="2" t="s">
        <v>46</v>
      </c>
      <c r="Z292" s="2" t="s">
        <v>46</v>
      </c>
      <c r="AA292" s="2" t="s">
        <v>47</v>
      </c>
      <c r="AB292" s="2">
        <v>13</v>
      </c>
      <c r="AC292" s="2" t="s">
        <v>48</v>
      </c>
      <c r="AD292" s="2">
        <v>4</v>
      </c>
    </row>
    <row r="293" spans="1:30" ht="30" x14ac:dyDescent="0.25">
      <c r="A293" s="2">
        <v>9</v>
      </c>
      <c r="B293" s="2" t="s">
        <v>1108</v>
      </c>
      <c r="C293" s="2">
        <v>13610</v>
      </c>
      <c r="D293" s="3">
        <v>44119</v>
      </c>
      <c r="E293" s="2" t="s">
        <v>1350</v>
      </c>
      <c r="F293" s="2"/>
      <c r="G293" s="2" t="s">
        <v>1351</v>
      </c>
      <c r="H293" s="2" t="s">
        <v>1352</v>
      </c>
      <c r="I293" s="2" t="s">
        <v>41</v>
      </c>
      <c r="J293" s="3">
        <v>40148</v>
      </c>
      <c r="K293" s="2"/>
      <c r="L293" s="2"/>
      <c r="M293" s="2">
        <v>23</v>
      </c>
      <c r="N293" s="2">
        <v>12</v>
      </c>
      <c r="O293" s="2" t="s">
        <v>53</v>
      </c>
      <c r="P293" s="2" t="s">
        <v>43</v>
      </c>
      <c r="Q293" s="2"/>
      <c r="R293" s="2" t="s">
        <v>44</v>
      </c>
      <c r="S293" s="2">
        <v>8250215703</v>
      </c>
      <c r="T293" s="2" t="s">
        <v>1353</v>
      </c>
      <c r="U293" s="2"/>
      <c r="V293" s="2">
        <v>9829234874</v>
      </c>
      <c r="W293" s="2" t="s">
        <v>1354</v>
      </c>
      <c r="X293" s="2">
        <v>24000</v>
      </c>
      <c r="Y293" s="2" t="s">
        <v>46</v>
      </c>
      <c r="Z293" s="2" t="s">
        <v>46</v>
      </c>
      <c r="AA293" s="2" t="s">
        <v>47</v>
      </c>
      <c r="AB293" s="2">
        <v>12</v>
      </c>
      <c r="AC293" s="2" t="s">
        <v>48</v>
      </c>
      <c r="AD293" s="2">
        <v>2</v>
      </c>
    </row>
    <row r="294" spans="1:30" ht="30" x14ac:dyDescent="0.25">
      <c r="A294" s="2">
        <v>9</v>
      </c>
      <c r="B294" s="2" t="s">
        <v>1108</v>
      </c>
      <c r="C294" s="2">
        <v>12280</v>
      </c>
      <c r="D294" s="3">
        <v>42548</v>
      </c>
      <c r="E294" s="2" t="s">
        <v>1355</v>
      </c>
      <c r="F294" s="2"/>
      <c r="G294" s="2" t="s">
        <v>1356</v>
      </c>
      <c r="H294" s="2" t="s">
        <v>1357</v>
      </c>
      <c r="I294" s="2" t="s">
        <v>41</v>
      </c>
      <c r="J294" s="3">
        <v>39323</v>
      </c>
      <c r="K294" s="2"/>
      <c r="L294" s="2"/>
      <c r="M294" s="2">
        <v>23</v>
      </c>
      <c r="N294" s="2">
        <v>5</v>
      </c>
      <c r="O294" s="2" t="s">
        <v>53</v>
      </c>
      <c r="P294" s="2" t="s">
        <v>54</v>
      </c>
      <c r="Q294" s="2"/>
      <c r="R294" s="2" t="s">
        <v>44</v>
      </c>
      <c r="S294" s="2">
        <v>8250215703</v>
      </c>
      <c r="T294" s="2" t="s">
        <v>1358</v>
      </c>
      <c r="U294" s="2" t="s">
        <v>1359</v>
      </c>
      <c r="V294" s="2">
        <v>9828302781</v>
      </c>
      <c r="W294" s="2" t="s">
        <v>453</v>
      </c>
      <c r="X294" s="2">
        <v>36000</v>
      </c>
      <c r="Y294" s="2" t="s">
        <v>46</v>
      </c>
      <c r="Z294" s="2" t="s">
        <v>46</v>
      </c>
      <c r="AA294" s="2" t="s">
        <v>57</v>
      </c>
      <c r="AB294" s="2">
        <v>14</v>
      </c>
      <c r="AC294" s="2" t="s">
        <v>48</v>
      </c>
      <c r="AD294" s="2">
        <v>0</v>
      </c>
    </row>
    <row r="295" spans="1:30" ht="30" x14ac:dyDescent="0.25">
      <c r="A295" s="2">
        <v>9</v>
      </c>
      <c r="B295" s="2" t="s">
        <v>1108</v>
      </c>
      <c r="C295" s="2">
        <v>13764</v>
      </c>
      <c r="D295" s="3">
        <v>44396</v>
      </c>
      <c r="E295" s="2" t="s">
        <v>1360</v>
      </c>
      <c r="F295" s="2"/>
      <c r="G295" s="2" t="s">
        <v>1144</v>
      </c>
      <c r="H295" s="2" t="s">
        <v>1361</v>
      </c>
      <c r="I295" s="2" t="s">
        <v>41</v>
      </c>
      <c r="J295" s="3">
        <v>39146</v>
      </c>
      <c r="K295" s="2"/>
      <c r="L295" s="2"/>
      <c r="M295" s="2">
        <v>23</v>
      </c>
      <c r="N295" s="2">
        <v>15</v>
      </c>
      <c r="O295" s="2" t="s">
        <v>53</v>
      </c>
      <c r="P295" s="2" t="s">
        <v>43</v>
      </c>
      <c r="Q295" s="2"/>
      <c r="R295" s="2" t="s">
        <v>44</v>
      </c>
      <c r="S295" s="2">
        <v>8250215703</v>
      </c>
      <c r="T295" s="2" t="s">
        <v>1362</v>
      </c>
      <c r="U295" s="2" t="s">
        <v>1363</v>
      </c>
      <c r="V295" s="2">
        <v>8949957232</v>
      </c>
      <c r="W295" s="2" t="s">
        <v>1364</v>
      </c>
      <c r="X295" s="2">
        <v>40000</v>
      </c>
      <c r="Y295" s="2" t="s">
        <v>46</v>
      </c>
      <c r="Z295" s="2" t="s">
        <v>46</v>
      </c>
      <c r="AA295" s="2" t="s">
        <v>47</v>
      </c>
      <c r="AB295" s="2">
        <v>14</v>
      </c>
      <c r="AC295" s="2" t="s">
        <v>48</v>
      </c>
      <c r="AD295" s="2">
        <v>3</v>
      </c>
    </row>
    <row r="296" spans="1:30" ht="30" x14ac:dyDescent="0.25">
      <c r="A296" s="2">
        <v>9</v>
      </c>
      <c r="B296" s="2" t="s">
        <v>1108</v>
      </c>
      <c r="C296" s="2">
        <v>13767</v>
      </c>
      <c r="D296" s="3">
        <v>44396</v>
      </c>
      <c r="E296" s="2" t="s">
        <v>1365</v>
      </c>
      <c r="F296" s="2"/>
      <c r="G296" s="2" t="s">
        <v>1366</v>
      </c>
      <c r="H296" s="2" t="s">
        <v>941</v>
      </c>
      <c r="I296" s="2" t="s">
        <v>41</v>
      </c>
      <c r="J296" s="3">
        <v>39385</v>
      </c>
      <c r="K296" s="2"/>
      <c r="L296" s="2"/>
      <c r="M296" s="2">
        <v>23</v>
      </c>
      <c r="N296" s="2">
        <v>12</v>
      </c>
      <c r="O296" s="2" t="s">
        <v>53</v>
      </c>
      <c r="P296" s="2" t="s">
        <v>43</v>
      </c>
      <c r="Q296" s="2"/>
      <c r="R296" s="2" t="s">
        <v>44</v>
      </c>
      <c r="S296" s="2">
        <v>8250215703</v>
      </c>
      <c r="T296" s="2" t="s">
        <v>1367</v>
      </c>
      <c r="U296" s="2" t="s">
        <v>1368</v>
      </c>
      <c r="V296" s="2">
        <v>8302530740</v>
      </c>
      <c r="W296" s="2" t="s">
        <v>821</v>
      </c>
      <c r="X296" s="2">
        <v>36000</v>
      </c>
      <c r="Y296" s="2" t="s">
        <v>46</v>
      </c>
      <c r="Z296" s="2" t="s">
        <v>46</v>
      </c>
      <c r="AA296" s="2" t="s">
        <v>47</v>
      </c>
      <c r="AB296" s="2">
        <v>14</v>
      </c>
      <c r="AC296" s="2" t="s">
        <v>48</v>
      </c>
      <c r="AD296" s="2">
        <v>1</v>
      </c>
    </row>
    <row r="297" spans="1:30" ht="45" x14ac:dyDescent="0.25">
      <c r="A297" s="2">
        <v>9</v>
      </c>
      <c r="B297" s="2" t="s">
        <v>1108</v>
      </c>
      <c r="C297" s="2">
        <v>13974</v>
      </c>
      <c r="D297" s="3">
        <v>44450</v>
      </c>
      <c r="E297" s="2" t="s">
        <v>1369</v>
      </c>
      <c r="F297" s="2"/>
      <c r="G297" s="2" t="s">
        <v>1370</v>
      </c>
      <c r="H297" s="2" t="s">
        <v>1371</v>
      </c>
      <c r="I297" s="2" t="s">
        <v>41</v>
      </c>
      <c r="J297" s="3">
        <v>38718</v>
      </c>
      <c r="K297" s="2"/>
      <c r="L297" s="2"/>
      <c r="M297" s="2">
        <v>23</v>
      </c>
      <c r="N297" s="2">
        <v>15</v>
      </c>
      <c r="O297" s="2" t="s">
        <v>53</v>
      </c>
      <c r="P297" s="2" t="s">
        <v>43</v>
      </c>
      <c r="Q297" s="2"/>
      <c r="R297" s="2" t="s">
        <v>44</v>
      </c>
      <c r="S297" s="2">
        <v>8250215703</v>
      </c>
      <c r="T297" s="2" t="s">
        <v>1372</v>
      </c>
      <c r="U297" s="2" t="s">
        <v>1373</v>
      </c>
      <c r="V297" s="2">
        <v>8003339425</v>
      </c>
      <c r="W297" s="2" t="s">
        <v>1374</v>
      </c>
      <c r="X297" s="2">
        <v>50000</v>
      </c>
      <c r="Y297" s="2" t="s">
        <v>46</v>
      </c>
      <c r="Z297" s="2" t="s">
        <v>46</v>
      </c>
      <c r="AA297" s="2" t="s">
        <v>47</v>
      </c>
      <c r="AB297" s="2">
        <v>15</v>
      </c>
      <c r="AC297" s="2" t="s">
        <v>48</v>
      </c>
      <c r="AD297" s="2">
        <v>4</v>
      </c>
    </row>
    <row r="298" spans="1:30" ht="30" x14ac:dyDescent="0.25">
      <c r="A298" s="2">
        <v>9</v>
      </c>
      <c r="B298" s="2" t="s">
        <v>1108</v>
      </c>
      <c r="C298" s="2">
        <v>13799</v>
      </c>
      <c r="D298" s="3">
        <v>44399</v>
      </c>
      <c r="E298" s="2" t="s">
        <v>1375</v>
      </c>
      <c r="F298" s="2"/>
      <c r="G298" s="2" t="s">
        <v>1376</v>
      </c>
      <c r="H298" s="2" t="s">
        <v>1377</v>
      </c>
      <c r="I298" s="2" t="s">
        <v>41</v>
      </c>
      <c r="J298" s="3">
        <v>38984</v>
      </c>
      <c r="K298" s="2"/>
      <c r="L298" s="2"/>
      <c r="M298" s="2">
        <v>23</v>
      </c>
      <c r="N298" s="2">
        <v>14</v>
      </c>
      <c r="O298" s="2" t="s">
        <v>42</v>
      </c>
      <c r="P298" s="2" t="s">
        <v>54</v>
      </c>
      <c r="Q298" s="2"/>
      <c r="R298" s="2" t="s">
        <v>44</v>
      </c>
      <c r="S298" s="2">
        <v>8250215703</v>
      </c>
      <c r="T298" s="2" t="s">
        <v>1378</v>
      </c>
      <c r="U298" s="2"/>
      <c r="V298" s="2">
        <v>9799458136</v>
      </c>
      <c r="W298" s="2" t="s">
        <v>1379</v>
      </c>
      <c r="X298" s="2">
        <v>60000</v>
      </c>
      <c r="Y298" s="2" t="s">
        <v>46</v>
      </c>
      <c r="Z298" s="2" t="s">
        <v>46</v>
      </c>
      <c r="AA298" s="2" t="s">
        <v>57</v>
      </c>
      <c r="AB298" s="2">
        <v>15</v>
      </c>
      <c r="AC298" s="2" t="s">
        <v>48</v>
      </c>
      <c r="AD298" s="2">
        <v>1</v>
      </c>
    </row>
    <row r="299" spans="1:30" ht="30" x14ac:dyDescent="0.25">
      <c r="A299" s="2">
        <v>9</v>
      </c>
      <c r="B299" s="2" t="s">
        <v>1108</v>
      </c>
      <c r="C299" s="2">
        <v>13798</v>
      </c>
      <c r="D299" s="3">
        <v>44399</v>
      </c>
      <c r="E299" s="2" t="s">
        <v>1380</v>
      </c>
      <c r="F299" s="2"/>
      <c r="G299" s="2" t="s">
        <v>1381</v>
      </c>
      <c r="H299" s="2" t="s">
        <v>1382</v>
      </c>
      <c r="I299" s="2" t="s">
        <v>41</v>
      </c>
      <c r="J299" s="3">
        <v>38988</v>
      </c>
      <c r="K299" s="2"/>
      <c r="L299" s="2"/>
      <c r="M299" s="2">
        <v>23</v>
      </c>
      <c r="N299" s="2">
        <v>12</v>
      </c>
      <c r="O299" s="2" t="s">
        <v>42</v>
      </c>
      <c r="P299" s="2" t="s">
        <v>54</v>
      </c>
      <c r="Q299" s="2"/>
      <c r="R299" s="2" t="s">
        <v>44</v>
      </c>
      <c r="S299" s="2">
        <v>8250215703</v>
      </c>
      <c r="T299" s="2" t="s">
        <v>1383</v>
      </c>
      <c r="U299" s="2"/>
      <c r="V299" s="2">
        <v>9414473208</v>
      </c>
      <c r="W299" s="2" t="s">
        <v>1134</v>
      </c>
      <c r="X299" s="2">
        <v>60000</v>
      </c>
      <c r="Y299" s="2" t="s">
        <v>46</v>
      </c>
      <c r="Z299" s="2" t="s">
        <v>46</v>
      </c>
      <c r="AA299" s="2" t="s">
        <v>57</v>
      </c>
      <c r="AB299" s="2">
        <v>15</v>
      </c>
      <c r="AC299" s="2" t="s">
        <v>48</v>
      </c>
      <c r="AD299" s="2">
        <v>1</v>
      </c>
    </row>
    <row r="300" spans="1:30" ht="30" x14ac:dyDescent="0.25">
      <c r="A300" s="2">
        <v>9</v>
      </c>
      <c r="B300" s="2" t="s">
        <v>1108</v>
      </c>
      <c r="C300" s="2">
        <v>13892</v>
      </c>
      <c r="D300" s="3">
        <v>44413</v>
      </c>
      <c r="E300" s="2" t="s">
        <v>1384</v>
      </c>
      <c r="F300" s="2"/>
      <c r="G300" s="2" t="s">
        <v>1385</v>
      </c>
      <c r="H300" s="2" t="s">
        <v>1386</v>
      </c>
      <c r="I300" s="2" t="s">
        <v>41</v>
      </c>
      <c r="J300" s="3">
        <v>39624</v>
      </c>
      <c r="K300" s="2"/>
      <c r="L300" s="2"/>
      <c r="M300" s="2">
        <v>23</v>
      </c>
      <c r="N300" s="2">
        <v>12</v>
      </c>
      <c r="O300" s="2" t="s">
        <v>42</v>
      </c>
      <c r="P300" s="2" t="s">
        <v>43</v>
      </c>
      <c r="Q300" s="2"/>
      <c r="R300" s="2" t="s">
        <v>44</v>
      </c>
      <c r="S300" s="2">
        <v>8250215703</v>
      </c>
      <c r="T300" s="2" t="s">
        <v>1387</v>
      </c>
      <c r="U300" s="2"/>
      <c r="V300" s="2">
        <v>6378874211</v>
      </c>
      <c r="W300" s="2" t="s">
        <v>1281</v>
      </c>
      <c r="X300" s="2">
        <v>0</v>
      </c>
      <c r="Y300" s="2" t="s">
        <v>46</v>
      </c>
      <c r="Z300" s="2" t="s">
        <v>46</v>
      </c>
      <c r="AA300" s="2" t="s">
        <v>47</v>
      </c>
      <c r="AB300" s="2">
        <v>13</v>
      </c>
      <c r="AC300" s="2" t="s">
        <v>48</v>
      </c>
      <c r="AD300" s="2">
        <v>0</v>
      </c>
    </row>
    <row r="301" spans="1:30" ht="30" x14ac:dyDescent="0.25">
      <c r="A301" s="2">
        <v>9</v>
      </c>
      <c r="B301" s="2" t="s">
        <v>1108</v>
      </c>
      <c r="C301" s="2">
        <v>13732</v>
      </c>
      <c r="D301" s="3">
        <v>44390</v>
      </c>
      <c r="E301" s="2" t="s">
        <v>1388</v>
      </c>
      <c r="F301" s="2"/>
      <c r="G301" s="2" t="s">
        <v>1389</v>
      </c>
      <c r="H301" s="2" t="s">
        <v>1390</v>
      </c>
      <c r="I301" s="2" t="s">
        <v>41</v>
      </c>
      <c r="J301" s="3">
        <v>39350</v>
      </c>
      <c r="K301" s="2"/>
      <c r="L301" s="2"/>
      <c r="M301" s="2">
        <v>23</v>
      </c>
      <c r="N301" s="2">
        <v>10</v>
      </c>
      <c r="O301" s="2" t="s">
        <v>78</v>
      </c>
      <c r="P301" s="2" t="s">
        <v>43</v>
      </c>
      <c r="Q301" s="2"/>
      <c r="R301" s="2" t="s">
        <v>44</v>
      </c>
      <c r="S301" s="2">
        <v>8250215703</v>
      </c>
      <c r="T301" s="2" t="s">
        <v>1391</v>
      </c>
      <c r="U301" s="2"/>
      <c r="V301" s="2">
        <v>7742282378</v>
      </c>
      <c r="W301" s="2" t="s">
        <v>1237</v>
      </c>
      <c r="X301" s="2">
        <v>40000</v>
      </c>
      <c r="Y301" s="2" t="s">
        <v>46</v>
      </c>
      <c r="Z301" s="2" t="s">
        <v>46</v>
      </c>
      <c r="AA301" s="2" t="s">
        <v>47</v>
      </c>
      <c r="AB301" s="2">
        <v>14</v>
      </c>
      <c r="AC301" s="2" t="s">
        <v>48</v>
      </c>
      <c r="AD301" s="2">
        <v>0.5</v>
      </c>
    </row>
    <row r="302" spans="1:30" ht="30" x14ac:dyDescent="0.25">
      <c r="A302" s="2">
        <v>9</v>
      </c>
      <c r="B302" s="2" t="s">
        <v>1108</v>
      </c>
      <c r="C302" s="2">
        <v>13884</v>
      </c>
      <c r="D302" s="3">
        <v>44413</v>
      </c>
      <c r="E302" s="2" t="s">
        <v>1392</v>
      </c>
      <c r="F302" s="2"/>
      <c r="G302" s="2" t="s">
        <v>1393</v>
      </c>
      <c r="H302" s="2" t="s">
        <v>243</v>
      </c>
      <c r="I302" s="2" t="s">
        <v>41</v>
      </c>
      <c r="J302" s="3">
        <v>39340</v>
      </c>
      <c r="K302" s="2"/>
      <c r="L302" s="2"/>
      <c r="M302" s="2">
        <v>23</v>
      </c>
      <c r="N302" s="2">
        <v>12</v>
      </c>
      <c r="O302" s="2" t="s">
        <v>78</v>
      </c>
      <c r="P302" s="2" t="s">
        <v>43</v>
      </c>
      <c r="Q302" s="2"/>
      <c r="R302" s="2" t="s">
        <v>44</v>
      </c>
      <c r="S302" s="2">
        <v>8250215703</v>
      </c>
      <c r="T302" s="2" t="s">
        <v>1394</v>
      </c>
      <c r="U302" s="2"/>
      <c r="V302" s="2">
        <v>8690736588</v>
      </c>
      <c r="W302" s="2" t="s">
        <v>1395</v>
      </c>
      <c r="X302" s="2">
        <v>45000</v>
      </c>
      <c r="Y302" s="2" t="s">
        <v>46</v>
      </c>
      <c r="Z302" s="2" t="s">
        <v>46</v>
      </c>
      <c r="AA302" s="2" t="s">
        <v>47</v>
      </c>
      <c r="AB302" s="2">
        <v>14</v>
      </c>
      <c r="AC302" s="2" t="s">
        <v>48</v>
      </c>
      <c r="AD302" s="2">
        <v>1</v>
      </c>
    </row>
    <row r="303" spans="1:30" ht="30" x14ac:dyDescent="0.25">
      <c r="A303" s="2">
        <v>9</v>
      </c>
      <c r="B303" s="2" t="s">
        <v>1108</v>
      </c>
      <c r="C303" s="2">
        <v>13781</v>
      </c>
      <c r="D303" s="3">
        <v>44399</v>
      </c>
      <c r="E303" s="2" t="s">
        <v>1396</v>
      </c>
      <c r="F303" s="2"/>
      <c r="G303" s="2" t="s">
        <v>1397</v>
      </c>
      <c r="H303" s="2" t="s">
        <v>88</v>
      </c>
      <c r="I303" s="2" t="s">
        <v>41</v>
      </c>
      <c r="J303" s="3">
        <v>39170</v>
      </c>
      <c r="K303" s="2"/>
      <c r="L303" s="2"/>
      <c r="M303" s="2">
        <v>23</v>
      </c>
      <c r="N303" s="2">
        <v>12</v>
      </c>
      <c r="O303" s="2" t="s">
        <v>42</v>
      </c>
      <c r="P303" s="2" t="s">
        <v>43</v>
      </c>
      <c r="Q303" s="2"/>
      <c r="R303" s="2" t="s">
        <v>44</v>
      </c>
      <c r="S303" s="2">
        <v>8250215703</v>
      </c>
      <c r="T303" s="2" t="s">
        <v>1398</v>
      </c>
      <c r="U303" s="2"/>
      <c r="V303" s="2">
        <v>9928537810</v>
      </c>
      <c r="W303" s="2" t="s">
        <v>1399</v>
      </c>
      <c r="X303" s="2">
        <v>300000</v>
      </c>
      <c r="Y303" s="2" t="s">
        <v>46</v>
      </c>
      <c r="Z303" s="2" t="s">
        <v>46</v>
      </c>
      <c r="AA303" s="2" t="s">
        <v>47</v>
      </c>
      <c r="AB303" s="2">
        <v>14</v>
      </c>
      <c r="AC303" s="2" t="s">
        <v>48</v>
      </c>
      <c r="AD303" s="2">
        <v>1</v>
      </c>
    </row>
    <row r="304" spans="1:30" ht="30" x14ac:dyDescent="0.25">
      <c r="A304" s="2">
        <v>9</v>
      </c>
      <c r="B304" s="2" t="s">
        <v>1108</v>
      </c>
      <c r="C304" s="2">
        <v>13734</v>
      </c>
      <c r="D304" s="3">
        <v>44390</v>
      </c>
      <c r="E304" s="2" t="s">
        <v>1400</v>
      </c>
      <c r="F304" s="2"/>
      <c r="G304" s="2" t="s">
        <v>904</v>
      </c>
      <c r="H304" s="2" t="s">
        <v>1401</v>
      </c>
      <c r="I304" s="2" t="s">
        <v>41</v>
      </c>
      <c r="J304" s="3">
        <v>39573</v>
      </c>
      <c r="K304" s="2"/>
      <c r="L304" s="2"/>
      <c r="M304" s="2">
        <v>23</v>
      </c>
      <c r="N304" s="2">
        <v>12</v>
      </c>
      <c r="O304" s="2" t="s">
        <v>53</v>
      </c>
      <c r="P304" s="2" t="s">
        <v>43</v>
      </c>
      <c r="Q304" s="2"/>
      <c r="R304" s="2" t="s">
        <v>44</v>
      </c>
      <c r="S304" s="2">
        <v>8250215703</v>
      </c>
      <c r="T304" s="2" t="s">
        <v>1402</v>
      </c>
      <c r="U304" s="2" t="s">
        <v>1403</v>
      </c>
      <c r="V304" s="2">
        <v>9352159614</v>
      </c>
      <c r="W304" s="2" t="s">
        <v>1404</v>
      </c>
      <c r="X304" s="2">
        <v>36000</v>
      </c>
      <c r="Y304" s="2" t="s">
        <v>46</v>
      </c>
      <c r="Z304" s="2" t="s">
        <v>46</v>
      </c>
      <c r="AA304" s="2" t="s">
        <v>47</v>
      </c>
      <c r="AB304" s="2">
        <v>13</v>
      </c>
      <c r="AC304" s="2" t="s">
        <v>48</v>
      </c>
      <c r="AD304" s="2">
        <v>2</v>
      </c>
    </row>
    <row r="305" spans="1:30" ht="30" x14ac:dyDescent="0.25">
      <c r="A305" s="2">
        <v>9</v>
      </c>
      <c r="B305" s="2" t="s">
        <v>1108</v>
      </c>
      <c r="C305" s="2">
        <v>13737</v>
      </c>
      <c r="D305" s="3">
        <v>44390</v>
      </c>
      <c r="E305" s="2" t="s">
        <v>1405</v>
      </c>
      <c r="F305" s="2"/>
      <c r="G305" s="2" t="s">
        <v>1406</v>
      </c>
      <c r="H305" s="2" t="s">
        <v>856</v>
      </c>
      <c r="I305" s="2" t="s">
        <v>41</v>
      </c>
      <c r="J305" s="3">
        <v>39543</v>
      </c>
      <c r="K305" s="2"/>
      <c r="L305" s="2"/>
      <c r="M305" s="2">
        <v>23</v>
      </c>
      <c r="N305" s="2">
        <v>14</v>
      </c>
      <c r="O305" s="2" t="s">
        <v>53</v>
      </c>
      <c r="P305" s="2" t="s">
        <v>43</v>
      </c>
      <c r="Q305" s="2"/>
      <c r="R305" s="2" t="s">
        <v>44</v>
      </c>
      <c r="S305" s="2">
        <v>8250215703</v>
      </c>
      <c r="T305" s="2" t="s">
        <v>1407</v>
      </c>
      <c r="U305" s="2" t="s">
        <v>1408</v>
      </c>
      <c r="V305" s="2">
        <v>9784562691</v>
      </c>
      <c r="W305" s="2" t="s">
        <v>842</v>
      </c>
      <c r="X305" s="2">
        <v>40000</v>
      </c>
      <c r="Y305" s="2" t="s">
        <v>46</v>
      </c>
      <c r="Z305" s="2" t="s">
        <v>46</v>
      </c>
      <c r="AA305" s="2" t="s">
        <v>47</v>
      </c>
      <c r="AB305" s="2">
        <v>13</v>
      </c>
      <c r="AC305" s="2" t="s">
        <v>48</v>
      </c>
      <c r="AD305" s="2">
        <v>0</v>
      </c>
    </row>
    <row r="306" spans="1:30" ht="30" x14ac:dyDescent="0.25">
      <c r="A306" s="2">
        <v>9</v>
      </c>
      <c r="B306" s="2" t="s">
        <v>1108</v>
      </c>
      <c r="C306" s="2">
        <v>13708</v>
      </c>
      <c r="D306" s="3">
        <v>44379</v>
      </c>
      <c r="E306" s="2" t="s">
        <v>1409</v>
      </c>
      <c r="F306" s="2"/>
      <c r="G306" s="2" t="s">
        <v>1410</v>
      </c>
      <c r="H306" s="2" t="s">
        <v>1178</v>
      </c>
      <c r="I306" s="2" t="s">
        <v>41</v>
      </c>
      <c r="J306" s="3">
        <v>39235</v>
      </c>
      <c r="K306" s="2"/>
      <c r="L306" s="2"/>
      <c r="M306" s="2">
        <v>23</v>
      </c>
      <c r="N306" s="2">
        <v>12</v>
      </c>
      <c r="O306" s="2" t="s">
        <v>78</v>
      </c>
      <c r="P306" s="2" t="s">
        <v>43</v>
      </c>
      <c r="Q306" s="2"/>
      <c r="R306" s="2" t="s">
        <v>44</v>
      </c>
      <c r="S306" s="2">
        <v>8250215703</v>
      </c>
      <c r="T306" s="2" t="s">
        <v>1411</v>
      </c>
      <c r="U306" s="2" t="s">
        <v>1412</v>
      </c>
      <c r="V306" s="2">
        <v>7597188966</v>
      </c>
      <c r="W306" s="2" t="s">
        <v>334</v>
      </c>
      <c r="X306" s="2">
        <v>40000</v>
      </c>
      <c r="Y306" s="2" t="s">
        <v>46</v>
      </c>
      <c r="Z306" s="2" t="s">
        <v>46</v>
      </c>
      <c r="AA306" s="2" t="s">
        <v>47</v>
      </c>
      <c r="AB306" s="2">
        <v>14</v>
      </c>
      <c r="AC306" s="2" t="s">
        <v>48</v>
      </c>
      <c r="AD306" s="2">
        <v>2</v>
      </c>
    </row>
    <row r="307" spans="1:30" ht="30" x14ac:dyDescent="0.25">
      <c r="A307" s="2">
        <v>9</v>
      </c>
      <c r="B307" s="2" t="s">
        <v>1108</v>
      </c>
      <c r="C307" s="2">
        <v>13571</v>
      </c>
      <c r="D307" s="3">
        <v>44089</v>
      </c>
      <c r="E307" s="2" t="s">
        <v>1413</v>
      </c>
      <c r="F307" s="2"/>
      <c r="G307" s="2" t="s">
        <v>1414</v>
      </c>
      <c r="H307" s="2" t="s">
        <v>1415</v>
      </c>
      <c r="I307" s="2" t="s">
        <v>41</v>
      </c>
      <c r="J307" s="3">
        <v>39995</v>
      </c>
      <c r="K307" s="2"/>
      <c r="L307" s="2"/>
      <c r="M307" s="2">
        <v>23</v>
      </c>
      <c r="N307" s="2">
        <v>14</v>
      </c>
      <c r="O307" s="2" t="s">
        <v>53</v>
      </c>
      <c r="P307" s="2" t="s">
        <v>43</v>
      </c>
      <c r="Q307" s="2"/>
      <c r="R307" s="2" t="s">
        <v>44</v>
      </c>
      <c r="S307" s="2">
        <v>8250215703</v>
      </c>
      <c r="T307" s="2" t="s">
        <v>1416</v>
      </c>
      <c r="U307" s="2" t="s">
        <v>1417</v>
      </c>
      <c r="V307" s="2">
        <v>9001442557</v>
      </c>
      <c r="W307" s="2" t="s">
        <v>1418</v>
      </c>
      <c r="X307" s="2">
        <v>80000</v>
      </c>
      <c r="Y307" s="2" t="s">
        <v>46</v>
      </c>
      <c r="Z307" s="2" t="s">
        <v>46</v>
      </c>
      <c r="AA307" s="2" t="s">
        <v>47</v>
      </c>
      <c r="AB307" s="2">
        <v>12</v>
      </c>
      <c r="AC307" s="2" t="s">
        <v>48</v>
      </c>
      <c r="AD307" s="2">
        <v>1</v>
      </c>
    </row>
    <row r="308" spans="1:30" ht="30" x14ac:dyDescent="0.25">
      <c r="A308" s="2">
        <v>9</v>
      </c>
      <c r="B308" s="2" t="s">
        <v>1108</v>
      </c>
      <c r="C308" s="2">
        <v>13783</v>
      </c>
      <c r="D308" s="3">
        <v>44399</v>
      </c>
      <c r="E308" s="2" t="s">
        <v>1419</v>
      </c>
      <c r="F308" s="2"/>
      <c r="G308" s="2" t="s">
        <v>1420</v>
      </c>
      <c r="H308" s="2" t="s">
        <v>1157</v>
      </c>
      <c r="I308" s="2" t="s">
        <v>41</v>
      </c>
      <c r="J308" s="3">
        <v>38482</v>
      </c>
      <c r="K308" s="2"/>
      <c r="L308" s="2"/>
      <c r="M308" s="2">
        <v>23</v>
      </c>
      <c r="N308" s="2">
        <v>15</v>
      </c>
      <c r="O308" s="2" t="s">
        <v>78</v>
      </c>
      <c r="P308" s="2" t="s">
        <v>43</v>
      </c>
      <c r="Q308" s="2"/>
      <c r="R308" s="2" t="s">
        <v>44</v>
      </c>
      <c r="S308" s="2">
        <v>8250215703</v>
      </c>
      <c r="T308" s="2" t="s">
        <v>1421</v>
      </c>
      <c r="U308" s="2" t="s">
        <v>1422</v>
      </c>
      <c r="V308" s="2">
        <v>7878501427</v>
      </c>
      <c r="W308" s="2" t="s">
        <v>1423</v>
      </c>
      <c r="X308" s="2">
        <v>36000</v>
      </c>
      <c r="Y308" s="2" t="s">
        <v>46</v>
      </c>
      <c r="Z308" s="2" t="s">
        <v>46</v>
      </c>
      <c r="AA308" s="2" t="s">
        <v>47</v>
      </c>
      <c r="AB308" s="2">
        <v>16</v>
      </c>
      <c r="AC308" s="2" t="s">
        <v>48</v>
      </c>
      <c r="AD308" s="2">
        <v>0</v>
      </c>
    </row>
    <row r="309" spans="1:30" ht="30" x14ac:dyDescent="0.25">
      <c r="A309" s="2">
        <v>9</v>
      </c>
      <c r="B309" s="2" t="s">
        <v>1108</v>
      </c>
      <c r="C309" s="2">
        <v>13820</v>
      </c>
      <c r="D309" s="3">
        <v>44403</v>
      </c>
      <c r="E309" s="2" t="s">
        <v>1424</v>
      </c>
      <c r="F309" s="2"/>
      <c r="G309" s="2" t="s">
        <v>1135</v>
      </c>
      <c r="H309" s="2" t="s">
        <v>700</v>
      </c>
      <c r="I309" s="2" t="s">
        <v>41</v>
      </c>
      <c r="J309" s="3">
        <v>39020</v>
      </c>
      <c r="K309" s="2"/>
      <c r="L309" s="2"/>
      <c r="M309" s="2">
        <v>23</v>
      </c>
      <c r="N309" s="2">
        <v>12</v>
      </c>
      <c r="O309" s="2" t="s">
        <v>53</v>
      </c>
      <c r="P309" s="2" t="s">
        <v>43</v>
      </c>
      <c r="Q309" s="2"/>
      <c r="R309" s="2" t="s">
        <v>44</v>
      </c>
      <c r="S309" s="2">
        <v>8250215703</v>
      </c>
      <c r="T309" s="2" t="s">
        <v>1425</v>
      </c>
      <c r="U309" s="2" t="s">
        <v>1426</v>
      </c>
      <c r="V309" s="2">
        <v>6352195532</v>
      </c>
      <c r="W309" s="2" t="s">
        <v>923</v>
      </c>
      <c r="X309" s="2">
        <v>42000</v>
      </c>
      <c r="Y309" s="2" t="s">
        <v>46</v>
      </c>
      <c r="Z309" s="2" t="s">
        <v>46</v>
      </c>
      <c r="AA309" s="2" t="s">
        <v>47</v>
      </c>
      <c r="AB309" s="2">
        <v>15</v>
      </c>
      <c r="AC309" s="2" t="s">
        <v>48</v>
      </c>
      <c r="AD309" s="2">
        <v>0.5</v>
      </c>
    </row>
    <row r="310" spans="1:30" ht="30" x14ac:dyDescent="0.25">
      <c r="A310" s="2">
        <v>9</v>
      </c>
      <c r="B310" s="2" t="s">
        <v>1108</v>
      </c>
      <c r="C310" s="2">
        <v>13707</v>
      </c>
      <c r="D310" s="3">
        <v>44379</v>
      </c>
      <c r="E310" s="2" t="s">
        <v>1427</v>
      </c>
      <c r="F310" s="2"/>
      <c r="G310" s="2" t="s">
        <v>1428</v>
      </c>
      <c r="H310" s="2" t="s">
        <v>1429</v>
      </c>
      <c r="I310" s="2" t="s">
        <v>41</v>
      </c>
      <c r="J310" s="3">
        <v>39733</v>
      </c>
      <c r="K310" s="2"/>
      <c r="L310" s="2"/>
      <c r="M310" s="2">
        <v>23</v>
      </c>
      <c r="N310" s="2">
        <v>14</v>
      </c>
      <c r="O310" s="2" t="s">
        <v>42</v>
      </c>
      <c r="P310" s="2" t="s">
        <v>43</v>
      </c>
      <c r="Q310" s="2"/>
      <c r="R310" s="2" t="s">
        <v>44</v>
      </c>
      <c r="S310" s="2">
        <v>8250215703</v>
      </c>
      <c r="T310" s="2" t="s">
        <v>1430</v>
      </c>
      <c r="U310" s="2"/>
      <c r="V310" s="2">
        <v>9636336190</v>
      </c>
      <c r="W310" s="2" t="s">
        <v>1431</v>
      </c>
      <c r="X310" s="2">
        <v>40000</v>
      </c>
      <c r="Y310" s="2" t="s">
        <v>46</v>
      </c>
      <c r="Z310" s="2" t="s">
        <v>46</v>
      </c>
      <c r="AA310" s="2" t="s">
        <v>47</v>
      </c>
      <c r="AB310" s="2">
        <v>13</v>
      </c>
      <c r="AC310" s="2" t="s">
        <v>48</v>
      </c>
      <c r="AD310" s="2">
        <v>10</v>
      </c>
    </row>
    <row r="311" spans="1:30" ht="30" x14ac:dyDescent="0.25">
      <c r="A311" s="2">
        <v>9</v>
      </c>
      <c r="B311" s="2" t="s">
        <v>1108</v>
      </c>
      <c r="C311" s="2">
        <v>13887</v>
      </c>
      <c r="D311" s="3">
        <v>44413</v>
      </c>
      <c r="E311" s="2" t="s">
        <v>1432</v>
      </c>
      <c r="F311" s="2"/>
      <c r="G311" s="2" t="s">
        <v>1433</v>
      </c>
      <c r="H311" s="2" t="s">
        <v>695</v>
      </c>
      <c r="I311" s="2" t="s">
        <v>41</v>
      </c>
      <c r="J311" s="3">
        <v>39227</v>
      </c>
      <c r="K311" s="2"/>
      <c r="L311" s="2"/>
      <c r="M311" s="2">
        <v>23</v>
      </c>
      <c r="N311" s="2">
        <v>15</v>
      </c>
      <c r="O311" s="2" t="s">
        <v>53</v>
      </c>
      <c r="P311" s="2" t="s">
        <v>43</v>
      </c>
      <c r="Q311" s="2"/>
      <c r="R311" s="2" t="s">
        <v>44</v>
      </c>
      <c r="S311" s="2">
        <v>8250215703</v>
      </c>
      <c r="T311" s="2" t="s">
        <v>1434</v>
      </c>
      <c r="U311" s="2"/>
      <c r="V311" s="2">
        <v>7340540213</v>
      </c>
      <c r="W311" s="2" t="s">
        <v>1079</v>
      </c>
      <c r="X311" s="2">
        <v>36000</v>
      </c>
      <c r="Y311" s="2" t="s">
        <v>46</v>
      </c>
      <c r="Z311" s="2" t="s">
        <v>46</v>
      </c>
      <c r="AA311" s="2" t="s">
        <v>47</v>
      </c>
      <c r="AB311" s="2">
        <v>14</v>
      </c>
      <c r="AC311" s="2" t="s">
        <v>48</v>
      </c>
      <c r="AD311" s="2">
        <v>1</v>
      </c>
    </row>
    <row r="312" spans="1:30" ht="45" x14ac:dyDescent="0.25">
      <c r="A312" s="2">
        <v>9</v>
      </c>
      <c r="B312" s="2" t="s">
        <v>1108</v>
      </c>
      <c r="C312" s="2">
        <v>13770</v>
      </c>
      <c r="D312" s="3">
        <v>44396</v>
      </c>
      <c r="E312" s="2" t="s">
        <v>1435</v>
      </c>
      <c r="F312" s="2"/>
      <c r="G312" s="2" t="s">
        <v>1436</v>
      </c>
      <c r="H312" s="2" t="s">
        <v>1437</v>
      </c>
      <c r="I312" s="2" t="s">
        <v>41</v>
      </c>
      <c r="J312" s="3">
        <v>39673</v>
      </c>
      <c r="K312" s="2"/>
      <c r="L312" s="2"/>
      <c r="M312" s="2">
        <v>23</v>
      </c>
      <c r="N312" s="2">
        <v>12</v>
      </c>
      <c r="O312" s="2" t="s">
        <v>53</v>
      </c>
      <c r="P312" s="2" t="s">
        <v>43</v>
      </c>
      <c r="Q312" s="2"/>
      <c r="R312" s="2" t="s">
        <v>44</v>
      </c>
      <c r="S312" s="2">
        <v>8250215703</v>
      </c>
      <c r="T312" s="2" t="s">
        <v>1438</v>
      </c>
      <c r="U312" s="2" t="s">
        <v>1439</v>
      </c>
      <c r="V312" s="2">
        <v>9828087191</v>
      </c>
      <c r="W312" s="2" t="s">
        <v>1440</v>
      </c>
      <c r="X312" s="2">
        <v>36000</v>
      </c>
      <c r="Y312" s="2" t="s">
        <v>46</v>
      </c>
      <c r="Z312" s="2" t="s">
        <v>46</v>
      </c>
      <c r="AA312" s="2" t="s">
        <v>47</v>
      </c>
      <c r="AB312" s="2">
        <v>13</v>
      </c>
      <c r="AC312" s="2" t="s">
        <v>48</v>
      </c>
      <c r="AD312" s="2">
        <v>1</v>
      </c>
    </row>
    <row r="313" spans="1:30" ht="30" x14ac:dyDescent="0.25">
      <c r="A313" s="2">
        <v>9</v>
      </c>
      <c r="B313" s="2" t="s">
        <v>1108</v>
      </c>
      <c r="C313" s="2">
        <v>13973</v>
      </c>
      <c r="D313" s="3">
        <v>44450</v>
      </c>
      <c r="E313" s="2" t="s">
        <v>1441</v>
      </c>
      <c r="F313" s="2"/>
      <c r="G313" s="2" t="s">
        <v>1442</v>
      </c>
      <c r="H313" s="2" t="s">
        <v>585</v>
      </c>
      <c r="I313" s="2" t="s">
        <v>41</v>
      </c>
      <c r="J313" s="3">
        <v>39209</v>
      </c>
      <c r="K313" s="2"/>
      <c r="L313" s="2"/>
      <c r="M313" s="2">
        <v>23</v>
      </c>
      <c r="N313" s="2">
        <v>14</v>
      </c>
      <c r="O313" s="2" t="s">
        <v>53</v>
      </c>
      <c r="P313" s="2" t="s">
        <v>43</v>
      </c>
      <c r="Q313" s="2"/>
      <c r="R313" s="2" t="s">
        <v>44</v>
      </c>
      <c r="S313" s="2">
        <v>8250215703</v>
      </c>
      <c r="T313" s="2" t="s">
        <v>1443</v>
      </c>
      <c r="U313" s="2"/>
      <c r="V313" s="2">
        <v>7737775751</v>
      </c>
      <c r="W313" s="2" t="s">
        <v>1444</v>
      </c>
      <c r="X313" s="2">
        <v>90000</v>
      </c>
      <c r="Y313" s="2" t="s">
        <v>46</v>
      </c>
      <c r="Z313" s="2" t="s">
        <v>46</v>
      </c>
      <c r="AA313" s="2" t="s">
        <v>47</v>
      </c>
      <c r="AB313" s="2">
        <v>14</v>
      </c>
      <c r="AC313" s="2" t="s">
        <v>48</v>
      </c>
      <c r="AD313" s="2">
        <v>1</v>
      </c>
    </row>
    <row r="314" spans="1:30" ht="30" x14ac:dyDescent="0.25">
      <c r="A314" s="2">
        <v>9</v>
      </c>
      <c r="B314" s="2" t="s">
        <v>1108</v>
      </c>
      <c r="C314" s="2">
        <v>13888</v>
      </c>
      <c r="D314" s="3">
        <v>44413</v>
      </c>
      <c r="E314" s="2" t="s">
        <v>1445</v>
      </c>
      <c r="F314" s="2"/>
      <c r="G314" s="2" t="s">
        <v>1446</v>
      </c>
      <c r="H314" s="2" t="s">
        <v>1447</v>
      </c>
      <c r="I314" s="2" t="s">
        <v>41</v>
      </c>
      <c r="J314" s="3">
        <v>39344</v>
      </c>
      <c r="K314" s="2"/>
      <c r="L314" s="2"/>
      <c r="M314" s="2">
        <v>23</v>
      </c>
      <c r="N314" s="2">
        <v>16</v>
      </c>
      <c r="O314" s="2" t="s">
        <v>78</v>
      </c>
      <c r="P314" s="2" t="s">
        <v>43</v>
      </c>
      <c r="Q314" s="2"/>
      <c r="R314" s="2" t="s">
        <v>44</v>
      </c>
      <c r="S314" s="2">
        <v>8250215703</v>
      </c>
      <c r="T314" s="2" t="s">
        <v>1448</v>
      </c>
      <c r="U314" s="2"/>
      <c r="V314" s="2">
        <v>9001640649</v>
      </c>
      <c r="W314" s="2" t="s">
        <v>1449</v>
      </c>
      <c r="X314" s="2">
        <v>55000</v>
      </c>
      <c r="Y314" s="2" t="s">
        <v>46</v>
      </c>
      <c r="Z314" s="2" t="s">
        <v>46</v>
      </c>
      <c r="AA314" s="2" t="s">
        <v>47</v>
      </c>
      <c r="AB314" s="2">
        <v>14</v>
      </c>
      <c r="AC314" s="2" t="s">
        <v>48</v>
      </c>
      <c r="AD314" s="2">
        <v>1</v>
      </c>
    </row>
    <row r="315" spans="1:30" ht="45" x14ac:dyDescent="0.25">
      <c r="A315" s="2">
        <v>9</v>
      </c>
      <c r="B315" s="2" t="s">
        <v>1108</v>
      </c>
      <c r="C315" s="2">
        <v>13736</v>
      </c>
      <c r="D315" s="3">
        <v>44390</v>
      </c>
      <c r="E315" s="2" t="s">
        <v>1450</v>
      </c>
      <c r="F315" s="2"/>
      <c r="G315" s="2" t="s">
        <v>502</v>
      </c>
      <c r="H315" s="2" t="s">
        <v>1086</v>
      </c>
      <c r="I315" s="2" t="s">
        <v>41</v>
      </c>
      <c r="J315" s="3">
        <v>38907</v>
      </c>
      <c r="K315" s="2"/>
      <c r="L315" s="2"/>
      <c r="M315" s="2">
        <v>23</v>
      </c>
      <c r="N315" s="2">
        <v>12</v>
      </c>
      <c r="O315" s="2" t="s">
        <v>53</v>
      </c>
      <c r="P315" s="2" t="s">
        <v>43</v>
      </c>
      <c r="Q315" s="2"/>
      <c r="R315" s="2" t="s">
        <v>44</v>
      </c>
      <c r="S315" s="2">
        <v>8250215703</v>
      </c>
      <c r="T315" s="2" t="s">
        <v>1451</v>
      </c>
      <c r="U315" s="2" t="s">
        <v>1452</v>
      </c>
      <c r="V315" s="2">
        <v>7877403250</v>
      </c>
      <c r="W315" s="2" t="s">
        <v>1453</v>
      </c>
      <c r="X315" s="2">
        <v>36000</v>
      </c>
      <c r="Y315" s="2" t="s">
        <v>46</v>
      </c>
      <c r="Z315" s="2" t="s">
        <v>46</v>
      </c>
      <c r="AA315" s="2" t="s">
        <v>47</v>
      </c>
      <c r="AB315" s="2">
        <v>15</v>
      </c>
      <c r="AC315" s="2" t="s">
        <v>48</v>
      </c>
      <c r="AD315" s="2">
        <v>2</v>
      </c>
    </row>
    <row r="316" spans="1:30" ht="30" x14ac:dyDescent="0.25">
      <c r="A316" s="2">
        <v>10</v>
      </c>
      <c r="B316" s="2" t="s">
        <v>37</v>
      </c>
      <c r="C316" s="2">
        <v>13677</v>
      </c>
      <c r="D316" s="3">
        <v>44219</v>
      </c>
      <c r="E316" s="2" t="s">
        <v>1454</v>
      </c>
      <c r="F316" s="2"/>
      <c r="G316" s="2" t="s">
        <v>1455</v>
      </c>
      <c r="H316" s="2" t="s">
        <v>1456</v>
      </c>
      <c r="I316" s="2" t="s">
        <v>41</v>
      </c>
      <c r="J316" s="3">
        <v>38571</v>
      </c>
      <c r="K316" s="2"/>
      <c r="L316" s="2"/>
      <c r="M316" s="2">
        <v>43</v>
      </c>
      <c r="N316" s="2">
        <v>42</v>
      </c>
      <c r="O316" s="2" t="s">
        <v>53</v>
      </c>
      <c r="P316" s="2" t="s">
        <v>43</v>
      </c>
      <c r="Q316" s="2"/>
      <c r="R316" s="2" t="s">
        <v>44</v>
      </c>
      <c r="S316" s="2">
        <v>8250215703</v>
      </c>
      <c r="T316" s="2" t="s">
        <v>1457</v>
      </c>
      <c r="U316" s="2"/>
      <c r="V316" s="2">
        <v>7414032351</v>
      </c>
      <c r="W316" s="2" t="s">
        <v>975</v>
      </c>
      <c r="X316" s="2">
        <v>36000</v>
      </c>
      <c r="Y316" s="2" t="s">
        <v>46</v>
      </c>
      <c r="Z316" s="2" t="s">
        <v>46</v>
      </c>
      <c r="AA316" s="2" t="s">
        <v>47</v>
      </c>
      <c r="AB316" s="2">
        <v>16</v>
      </c>
      <c r="AC316" s="2" t="s">
        <v>48</v>
      </c>
      <c r="AD316" s="2">
        <v>0</v>
      </c>
    </row>
    <row r="317" spans="1:30" ht="30" x14ac:dyDescent="0.25">
      <c r="A317" s="2">
        <v>10</v>
      </c>
      <c r="B317" s="2" t="s">
        <v>37</v>
      </c>
      <c r="C317" s="2">
        <v>13443</v>
      </c>
      <c r="D317" s="3">
        <v>44047</v>
      </c>
      <c r="E317" s="2" t="s">
        <v>1458</v>
      </c>
      <c r="F317" s="2"/>
      <c r="G317" s="2" t="s">
        <v>1459</v>
      </c>
      <c r="H317" s="2" t="s">
        <v>1460</v>
      </c>
      <c r="I317" s="2" t="s">
        <v>41</v>
      </c>
      <c r="J317" s="3">
        <v>38930</v>
      </c>
      <c r="K317" s="2"/>
      <c r="L317" s="2"/>
      <c r="M317" s="2">
        <v>43</v>
      </c>
      <c r="N317" s="2">
        <v>43</v>
      </c>
      <c r="O317" s="2" t="s">
        <v>53</v>
      </c>
      <c r="P317" s="2" t="s">
        <v>43</v>
      </c>
      <c r="Q317" s="2"/>
      <c r="R317" s="2" t="s">
        <v>44</v>
      </c>
      <c r="S317" s="2">
        <v>8250215703</v>
      </c>
      <c r="T317" s="2" t="s">
        <v>1461</v>
      </c>
      <c r="U317" s="2" t="s">
        <v>1462</v>
      </c>
      <c r="V317" s="2">
        <v>9636236174</v>
      </c>
      <c r="W317" s="2" t="s">
        <v>1463</v>
      </c>
      <c r="X317" s="2">
        <v>396820</v>
      </c>
      <c r="Y317" s="2" t="s">
        <v>46</v>
      </c>
      <c r="Z317" s="2" t="s">
        <v>46</v>
      </c>
      <c r="AA317" s="2" t="s">
        <v>47</v>
      </c>
      <c r="AB317" s="2">
        <v>15</v>
      </c>
      <c r="AC317" s="2" t="s">
        <v>48</v>
      </c>
      <c r="AD317" s="2">
        <v>1</v>
      </c>
    </row>
    <row r="318" spans="1:30" ht="30" x14ac:dyDescent="0.25">
      <c r="A318" s="2">
        <v>10</v>
      </c>
      <c r="B318" s="2" t="s">
        <v>37</v>
      </c>
      <c r="C318" s="2">
        <v>13440</v>
      </c>
      <c r="D318" s="3">
        <v>44047</v>
      </c>
      <c r="E318" s="2" t="s">
        <v>1464</v>
      </c>
      <c r="F318" s="2"/>
      <c r="G318" s="2" t="s">
        <v>982</v>
      </c>
      <c r="H318" s="2" t="s">
        <v>1157</v>
      </c>
      <c r="I318" s="2" t="s">
        <v>41</v>
      </c>
      <c r="J318" s="3">
        <v>38294</v>
      </c>
      <c r="K318" s="2"/>
      <c r="L318" s="2"/>
      <c r="M318" s="2">
        <v>43</v>
      </c>
      <c r="N318" s="2">
        <v>42</v>
      </c>
      <c r="O318" s="2" t="s">
        <v>53</v>
      </c>
      <c r="P318" s="2" t="s">
        <v>43</v>
      </c>
      <c r="Q318" s="2"/>
      <c r="R318" s="2" t="s">
        <v>44</v>
      </c>
      <c r="S318" s="2">
        <v>8250215703</v>
      </c>
      <c r="T318" s="2" t="s">
        <v>1465</v>
      </c>
      <c r="U318" s="2"/>
      <c r="V318" s="2">
        <v>7339751671</v>
      </c>
      <c r="W318" s="2" t="s">
        <v>1466</v>
      </c>
      <c r="X318" s="2">
        <v>42000</v>
      </c>
      <c r="Y318" s="2" t="s">
        <v>46</v>
      </c>
      <c r="Z318" s="2" t="s">
        <v>46</v>
      </c>
      <c r="AA318" s="2" t="s">
        <v>47</v>
      </c>
      <c r="AB318" s="2">
        <v>17</v>
      </c>
      <c r="AC318" s="2" t="s">
        <v>48</v>
      </c>
      <c r="AD318" s="2">
        <v>0</v>
      </c>
    </row>
    <row r="319" spans="1:30" ht="30" x14ac:dyDescent="0.25">
      <c r="A319" s="2">
        <v>10</v>
      </c>
      <c r="B319" s="2" t="s">
        <v>37</v>
      </c>
      <c r="C319" s="2">
        <v>13442</v>
      </c>
      <c r="D319" s="3">
        <v>44047</v>
      </c>
      <c r="E319" s="2" t="s">
        <v>1467</v>
      </c>
      <c r="F319" s="2"/>
      <c r="G319" s="2" t="s">
        <v>1468</v>
      </c>
      <c r="H319" s="2" t="s">
        <v>1469</v>
      </c>
      <c r="I319" s="2" t="s">
        <v>41</v>
      </c>
      <c r="J319" s="3">
        <v>38090</v>
      </c>
      <c r="K319" s="2"/>
      <c r="L319" s="2"/>
      <c r="M319" s="2">
        <v>43</v>
      </c>
      <c r="N319" s="2">
        <v>43</v>
      </c>
      <c r="O319" s="2" t="s">
        <v>53</v>
      </c>
      <c r="P319" s="2" t="s">
        <v>43</v>
      </c>
      <c r="Q319" s="2"/>
      <c r="R319" s="2" t="s">
        <v>44</v>
      </c>
      <c r="S319" s="2">
        <v>8250215703</v>
      </c>
      <c r="T319" s="2" t="s">
        <v>1470</v>
      </c>
      <c r="U319" s="2" t="s">
        <v>1471</v>
      </c>
      <c r="V319" s="2">
        <v>6375421786</v>
      </c>
      <c r="W319" s="2" t="s">
        <v>821</v>
      </c>
      <c r="X319" s="2">
        <v>36000</v>
      </c>
      <c r="Y319" s="2" t="s">
        <v>46</v>
      </c>
      <c r="Z319" s="2" t="s">
        <v>46</v>
      </c>
      <c r="AA319" s="2" t="s">
        <v>47</v>
      </c>
      <c r="AB319" s="2">
        <v>17</v>
      </c>
      <c r="AC319" s="2" t="s">
        <v>48</v>
      </c>
      <c r="AD319" s="2">
        <v>1</v>
      </c>
    </row>
    <row r="320" spans="1:30" ht="30" x14ac:dyDescent="0.25">
      <c r="A320" s="2">
        <v>10</v>
      </c>
      <c r="B320" s="2" t="s">
        <v>37</v>
      </c>
      <c r="C320" s="2">
        <v>13659</v>
      </c>
      <c r="D320" s="3">
        <v>44124</v>
      </c>
      <c r="E320" s="2" t="s">
        <v>1472</v>
      </c>
      <c r="F320" s="2"/>
      <c r="G320" s="2" t="s">
        <v>800</v>
      </c>
      <c r="H320" s="2" t="s">
        <v>801</v>
      </c>
      <c r="I320" s="2" t="s">
        <v>41</v>
      </c>
      <c r="J320" s="3">
        <v>38584</v>
      </c>
      <c r="K320" s="2"/>
      <c r="L320" s="2"/>
      <c r="M320" s="2">
        <v>43</v>
      </c>
      <c r="N320" s="2">
        <v>40</v>
      </c>
      <c r="O320" s="2" t="s">
        <v>53</v>
      </c>
      <c r="P320" s="2" t="s">
        <v>43</v>
      </c>
      <c r="Q320" s="2"/>
      <c r="R320" s="2" t="s">
        <v>44</v>
      </c>
      <c r="S320" s="2">
        <v>8250215703</v>
      </c>
      <c r="T320" s="2" t="s">
        <v>1473</v>
      </c>
      <c r="U320" s="2" t="s">
        <v>1474</v>
      </c>
      <c r="V320" s="2">
        <v>9166813683</v>
      </c>
      <c r="W320" s="2" t="s">
        <v>1475</v>
      </c>
      <c r="X320" s="2">
        <v>100000</v>
      </c>
      <c r="Y320" s="2" t="s">
        <v>46</v>
      </c>
      <c r="Z320" s="2" t="s">
        <v>46</v>
      </c>
      <c r="AA320" s="2" t="s">
        <v>47</v>
      </c>
      <c r="AB320" s="2">
        <v>16</v>
      </c>
      <c r="AC320" s="2" t="s">
        <v>48</v>
      </c>
      <c r="AD320" s="2">
        <v>1</v>
      </c>
    </row>
    <row r="321" spans="1:30" ht="30" x14ac:dyDescent="0.25">
      <c r="A321" s="2">
        <v>10</v>
      </c>
      <c r="B321" s="2" t="s">
        <v>37</v>
      </c>
      <c r="C321" s="2">
        <v>13676</v>
      </c>
      <c r="D321" s="3">
        <v>44215</v>
      </c>
      <c r="E321" s="2" t="s">
        <v>1476</v>
      </c>
      <c r="F321" s="2"/>
      <c r="G321" s="2" t="s">
        <v>1477</v>
      </c>
      <c r="H321" s="2" t="s">
        <v>1478</v>
      </c>
      <c r="I321" s="2" t="s">
        <v>41</v>
      </c>
      <c r="J321" s="3">
        <v>38336</v>
      </c>
      <c r="K321" s="2"/>
      <c r="L321" s="2"/>
      <c r="M321" s="2">
        <v>43</v>
      </c>
      <c r="N321" s="2">
        <v>40</v>
      </c>
      <c r="O321" s="2" t="s">
        <v>773</v>
      </c>
      <c r="P321" s="2" t="s">
        <v>43</v>
      </c>
      <c r="Q321" s="2"/>
      <c r="R321" s="2" t="s">
        <v>44</v>
      </c>
      <c r="S321" s="2">
        <v>8250215703</v>
      </c>
      <c r="T321" s="2" t="s">
        <v>1479</v>
      </c>
      <c r="U321" s="2" t="s">
        <v>1480</v>
      </c>
      <c r="V321" s="2">
        <v>9588983779</v>
      </c>
      <c r="W321" s="2" t="s">
        <v>975</v>
      </c>
      <c r="X321" s="2">
        <v>80000</v>
      </c>
      <c r="Y321" s="2" t="s">
        <v>46</v>
      </c>
      <c r="Z321" s="2" t="s">
        <v>46</v>
      </c>
      <c r="AA321" s="2" t="s">
        <v>47</v>
      </c>
      <c r="AB321" s="2">
        <v>17</v>
      </c>
      <c r="AC321" s="2" t="s">
        <v>48</v>
      </c>
      <c r="AD321" s="2">
        <v>0</v>
      </c>
    </row>
    <row r="322" spans="1:30" ht="30" x14ac:dyDescent="0.25">
      <c r="A322" s="2">
        <v>10</v>
      </c>
      <c r="B322" s="2" t="s">
        <v>37</v>
      </c>
      <c r="C322" s="2">
        <v>13349</v>
      </c>
      <c r="D322" s="3">
        <v>43661</v>
      </c>
      <c r="E322" s="2" t="s">
        <v>1481</v>
      </c>
      <c r="F322" s="2"/>
      <c r="G322" s="2" t="s">
        <v>378</v>
      </c>
      <c r="H322" s="2" t="s">
        <v>1482</v>
      </c>
      <c r="I322" s="2" t="s">
        <v>41</v>
      </c>
      <c r="J322" s="3">
        <v>38972</v>
      </c>
      <c r="K322" s="2"/>
      <c r="L322" s="2"/>
      <c r="M322" s="2">
        <v>43</v>
      </c>
      <c r="N322" s="2">
        <v>39</v>
      </c>
      <c r="O322" s="2" t="s">
        <v>78</v>
      </c>
      <c r="P322" s="2" t="s">
        <v>43</v>
      </c>
      <c r="Q322" s="2"/>
      <c r="R322" s="2" t="s">
        <v>44</v>
      </c>
      <c r="S322" s="2">
        <v>8250215703</v>
      </c>
      <c r="T322" s="2" t="s">
        <v>1483</v>
      </c>
      <c r="U322" s="2" t="s">
        <v>1484</v>
      </c>
      <c r="V322" s="2">
        <v>9001641875</v>
      </c>
      <c r="W322" s="2" t="s">
        <v>1485</v>
      </c>
      <c r="X322" s="2">
        <v>35000</v>
      </c>
      <c r="Y322" s="2" t="s">
        <v>46</v>
      </c>
      <c r="Z322" s="2" t="s">
        <v>46</v>
      </c>
      <c r="AA322" s="2" t="s">
        <v>47</v>
      </c>
      <c r="AB322" s="2">
        <v>15</v>
      </c>
      <c r="AC322" s="2" t="s">
        <v>48</v>
      </c>
      <c r="AD322" s="2">
        <v>20</v>
      </c>
    </row>
    <row r="323" spans="1:30" ht="30" x14ac:dyDescent="0.25">
      <c r="A323" s="2">
        <v>10</v>
      </c>
      <c r="B323" s="2" t="s">
        <v>37</v>
      </c>
      <c r="C323" s="2">
        <v>12699</v>
      </c>
      <c r="D323" s="3">
        <v>42919</v>
      </c>
      <c r="E323" s="2" t="s">
        <v>1486</v>
      </c>
      <c r="F323" s="2"/>
      <c r="G323" s="2" t="s">
        <v>685</v>
      </c>
      <c r="H323" s="2" t="s">
        <v>1076</v>
      </c>
      <c r="I323" s="2" t="s">
        <v>41</v>
      </c>
      <c r="J323" s="3">
        <v>38335</v>
      </c>
      <c r="K323" s="2"/>
      <c r="L323" s="2"/>
      <c r="M323" s="2">
        <v>43</v>
      </c>
      <c r="N323" s="2">
        <v>39</v>
      </c>
      <c r="O323" s="2" t="s">
        <v>53</v>
      </c>
      <c r="P323" s="2" t="s">
        <v>43</v>
      </c>
      <c r="Q323" s="2"/>
      <c r="R323" s="2" t="s">
        <v>44</v>
      </c>
      <c r="S323" s="2">
        <v>8250215703</v>
      </c>
      <c r="T323" s="2" t="s">
        <v>1487</v>
      </c>
      <c r="U323" s="2" t="s">
        <v>1488</v>
      </c>
      <c r="V323" s="2">
        <v>9660927332</v>
      </c>
      <c r="W323" s="2" t="s">
        <v>1489</v>
      </c>
      <c r="X323" s="2">
        <v>36000</v>
      </c>
      <c r="Y323" s="2" t="s">
        <v>46</v>
      </c>
      <c r="Z323" s="2" t="s">
        <v>46</v>
      </c>
      <c r="AA323" s="2" t="s">
        <v>47</v>
      </c>
      <c r="AB323" s="2">
        <v>17</v>
      </c>
      <c r="AC323" s="2" t="s">
        <v>48</v>
      </c>
      <c r="AD323" s="2">
        <v>1</v>
      </c>
    </row>
    <row r="324" spans="1:30" ht="30" x14ac:dyDescent="0.25">
      <c r="A324" s="2">
        <v>10</v>
      </c>
      <c r="B324" s="2" t="s">
        <v>37</v>
      </c>
      <c r="C324" s="2">
        <v>13658</v>
      </c>
      <c r="D324" s="3">
        <v>44124</v>
      </c>
      <c r="E324" s="2" t="s">
        <v>1490</v>
      </c>
      <c r="F324" s="2"/>
      <c r="G324" s="2" t="s">
        <v>1491</v>
      </c>
      <c r="H324" s="2" t="s">
        <v>1492</v>
      </c>
      <c r="I324" s="2" t="s">
        <v>41</v>
      </c>
      <c r="J324" s="3">
        <v>39017</v>
      </c>
      <c r="K324" s="2"/>
      <c r="L324" s="2"/>
      <c r="M324" s="2">
        <v>43</v>
      </c>
      <c r="N324" s="2">
        <v>41</v>
      </c>
      <c r="O324" s="2" t="s">
        <v>53</v>
      </c>
      <c r="P324" s="2" t="s">
        <v>43</v>
      </c>
      <c r="Q324" s="2"/>
      <c r="R324" s="2" t="s">
        <v>44</v>
      </c>
      <c r="S324" s="2">
        <v>8250215703</v>
      </c>
      <c r="T324" s="2" t="s">
        <v>1493</v>
      </c>
      <c r="U324" s="2" t="s">
        <v>1494</v>
      </c>
      <c r="V324" s="2">
        <v>8890444297</v>
      </c>
      <c r="W324" s="2" t="s">
        <v>1495</v>
      </c>
      <c r="X324" s="2">
        <v>42000</v>
      </c>
      <c r="Y324" s="2" t="s">
        <v>46</v>
      </c>
      <c r="Z324" s="2" t="s">
        <v>46</v>
      </c>
      <c r="AA324" s="2" t="s">
        <v>47</v>
      </c>
      <c r="AB324" s="2">
        <v>15</v>
      </c>
      <c r="AC324" s="2" t="s">
        <v>48</v>
      </c>
      <c r="AD324" s="2">
        <v>0</v>
      </c>
    </row>
    <row r="325" spans="1:30" ht="30" x14ac:dyDescent="0.25">
      <c r="A325" s="2">
        <v>10</v>
      </c>
      <c r="B325" s="2" t="s">
        <v>37</v>
      </c>
      <c r="C325" s="2">
        <v>13560</v>
      </c>
      <c r="D325" s="3">
        <v>44089</v>
      </c>
      <c r="E325" s="2" t="s">
        <v>1496</v>
      </c>
      <c r="F325" s="2"/>
      <c r="G325" s="2" t="s">
        <v>1497</v>
      </c>
      <c r="H325" s="2" t="s">
        <v>1498</v>
      </c>
      <c r="I325" s="2" t="s">
        <v>41</v>
      </c>
      <c r="J325" s="3">
        <v>39047</v>
      </c>
      <c r="K325" s="2"/>
      <c r="L325" s="2"/>
      <c r="M325" s="2">
        <v>43</v>
      </c>
      <c r="N325" s="2">
        <v>40</v>
      </c>
      <c r="O325" s="2" t="s">
        <v>53</v>
      </c>
      <c r="P325" s="2" t="s">
        <v>43</v>
      </c>
      <c r="Q325" s="2"/>
      <c r="R325" s="2" t="s">
        <v>44</v>
      </c>
      <c r="S325" s="2">
        <v>8250215703</v>
      </c>
      <c r="T325" s="2" t="s">
        <v>1499</v>
      </c>
      <c r="U325" s="2"/>
      <c r="V325" s="2">
        <v>9950782357</v>
      </c>
      <c r="W325" s="2" t="s">
        <v>1500</v>
      </c>
      <c r="X325" s="2">
        <v>52000</v>
      </c>
      <c r="Y325" s="2" t="s">
        <v>46</v>
      </c>
      <c r="Z325" s="2" t="s">
        <v>46</v>
      </c>
      <c r="AA325" s="2" t="s">
        <v>47</v>
      </c>
      <c r="AB325" s="2">
        <v>15</v>
      </c>
      <c r="AC325" s="2" t="s">
        <v>48</v>
      </c>
      <c r="AD325" s="2">
        <v>8</v>
      </c>
    </row>
    <row r="326" spans="1:30" ht="30" x14ac:dyDescent="0.25">
      <c r="A326" s="2">
        <v>10</v>
      </c>
      <c r="B326" s="2" t="s">
        <v>37</v>
      </c>
      <c r="C326" s="2">
        <v>13519</v>
      </c>
      <c r="D326" s="3">
        <v>44074</v>
      </c>
      <c r="E326" s="2" t="s">
        <v>1501</v>
      </c>
      <c r="F326" s="2"/>
      <c r="G326" s="2" t="s">
        <v>1502</v>
      </c>
      <c r="H326" s="2" t="s">
        <v>1503</v>
      </c>
      <c r="I326" s="2" t="s">
        <v>41</v>
      </c>
      <c r="J326" s="3">
        <v>39021</v>
      </c>
      <c r="K326" s="2"/>
      <c r="L326" s="2"/>
      <c r="M326" s="2">
        <v>43</v>
      </c>
      <c r="N326" s="2">
        <v>41</v>
      </c>
      <c r="O326" s="2" t="s">
        <v>53</v>
      </c>
      <c r="P326" s="2" t="s">
        <v>43</v>
      </c>
      <c r="Q326" s="2"/>
      <c r="R326" s="2" t="s">
        <v>44</v>
      </c>
      <c r="S326" s="2">
        <v>8250215703</v>
      </c>
      <c r="T326" s="2" t="s">
        <v>1504</v>
      </c>
      <c r="U326" s="2" t="s">
        <v>1505</v>
      </c>
      <c r="V326" s="2">
        <v>8559951162</v>
      </c>
      <c r="W326" s="2" t="s">
        <v>1506</v>
      </c>
      <c r="X326" s="2">
        <v>36000</v>
      </c>
      <c r="Y326" s="2" t="s">
        <v>46</v>
      </c>
      <c r="Z326" s="2" t="s">
        <v>46</v>
      </c>
      <c r="AA326" s="2" t="s">
        <v>47</v>
      </c>
      <c r="AB326" s="2">
        <v>15</v>
      </c>
      <c r="AC326" s="2" t="s">
        <v>48</v>
      </c>
      <c r="AD326" s="2">
        <v>2</v>
      </c>
    </row>
    <row r="327" spans="1:30" ht="45" x14ac:dyDescent="0.25">
      <c r="A327" s="2">
        <v>10</v>
      </c>
      <c r="B327" s="2" t="s">
        <v>37</v>
      </c>
      <c r="C327" s="2">
        <v>13786</v>
      </c>
      <c r="D327" s="3">
        <v>44399</v>
      </c>
      <c r="E327" s="2" t="s">
        <v>1507</v>
      </c>
      <c r="F327" s="2"/>
      <c r="G327" s="2" t="s">
        <v>1508</v>
      </c>
      <c r="H327" s="2" t="s">
        <v>1509</v>
      </c>
      <c r="I327" s="2" t="s">
        <v>41</v>
      </c>
      <c r="J327" s="3">
        <v>38516</v>
      </c>
      <c r="K327" s="2"/>
      <c r="L327" s="2"/>
      <c r="M327" s="2">
        <v>43</v>
      </c>
      <c r="N327" s="2">
        <v>41</v>
      </c>
      <c r="O327" s="2" t="s">
        <v>53</v>
      </c>
      <c r="P327" s="2" t="s">
        <v>43</v>
      </c>
      <c r="Q327" s="2"/>
      <c r="R327" s="2" t="s">
        <v>44</v>
      </c>
      <c r="S327" s="2">
        <v>8250215703</v>
      </c>
      <c r="T327" s="2" t="s">
        <v>1510</v>
      </c>
      <c r="U327" s="2" t="s">
        <v>1511</v>
      </c>
      <c r="V327" s="2">
        <v>9001528700</v>
      </c>
      <c r="W327" s="2" t="s">
        <v>1512</v>
      </c>
      <c r="X327" s="2">
        <v>359500</v>
      </c>
      <c r="Y327" s="2" t="s">
        <v>46</v>
      </c>
      <c r="Z327" s="2" t="s">
        <v>46</v>
      </c>
      <c r="AA327" s="2" t="s">
        <v>47</v>
      </c>
      <c r="AB327" s="2">
        <v>16</v>
      </c>
      <c r="AC327" s="2" t="s">
        <v>48</v>
      </c>
      <c r="AD327" s="2">
        <v>5</v>
      </c>
    </row>
    <row r="328" spans="1:30" ht="30" x14ac:dyDescent="0.25">
      <c r="A328" s="2">
        <v>10</v>
      </c>
      <c r="B328" s="2" t="s">
        <v>37</v>
      </c>
      <c r="C328" s="2">
        <v>13551</v>
      </c>
      <c r="D328" s="3">
        <v>44085</v>
      </c>
      <c r="E328" s="2" t="s">
        <v>1513</v>
      </c>
      <c r="F328" s="2"/>
      <c r="G328" s="2" t="s">
        <v>1514</v>
      </c>
      <c r="H328" s="2" t="s">
        <v>1157</v>
      </c>
      <c r="I328" s="2" t="s">
        <v>41</v>
      </c>
      <c r="J328" s="3">
        <v>39127</v>
      </c>
      <c r="K328" s="2"/>
      <c r="L328" s="2"/>
      <c r="M328" s="2">
        <v>43</v>
      </c>
      <c r="N328" s="2">
        <v>40</v>
      </c>
      <c r="O328" s="2" t="s">
        <v>78</v>
      </c>
      <c r="P328" s="2" t="s">
        <v>43</v>
      </c>
      <c r="Q328" s="2"/>
      <c r="R328" s="2" t="s">
        <v>44</v>
      </c>
      <c r="S328" s="2">
        <v>8250215703</v>
      </c>
      <c r="T328" s="2" t="s">
        <v>1515</v>
      </c>
      <c r="U328" s="2" t="s">
        <v>1516</v>
      </c>
      <c r="V328" s="2">
        <v>9928648615</v>
      </c>
      <c r="W328" s="2" t="s">
        <v>679</v>
      </c>
      <c r="X328" s="2">
        <v>40000</v>
      </c>
      <c r="Y328" s="2" t="s">
        <v>46</v>
      </c>
      <c r="Z328" s="2" t="s">
        <v>46</v>
      </c>
      <c r="AA328" s="2" t="s">
        <v>47</v>
      </c>
      <c r="AB328" s="2">
        <v>14</v>
      </c>
      <c r="AC328" s="2" t="s">
        <v>48</v>
      </c>
      <c r="AD328" s="2">
        <v>0.5</v>
      </c>
    </row>
    <row r="329" spans="1:30" ht="30" x14ac:dyDescent="0.25">
      <c r="A329" s="2">
        <v>10</v>
      </c>
      <c r="B329" s="2" t="s">
        <v>37</v>
      </c>
      <c r="C329" s="2">
        <v>13699</v>
      </c>
      <c r="D329" s="3">
        <v>44379</v>
      </c>
      <c r="E329" s="2" t="s">
        <v>1517</v>
      </c>
      <c r="F329" s="2"/>
      <c r="G329" s="2" t="s">
        <v>1518</v>
      </c>
      <c r="H329" s="2" t="s">
        <v>1519</v>
      </c>
      <c r="I329" s="2" t="s">
        <v>41</v>
      </c>
      <c r="J329" s="3">
        <v>39865</v>
      </c>
      <c r="K329" s="2"/>
      <c r="L329" s="2"/>
      <c r="M329" s="2">
        <v>43</v>
      </c>
      <c r="N329" s="2">
        <v>43</v>
      </c>
      <c r="O329" s="2" t="s">
        <v>53</v>
      </c>
      <c r="P329" s="2" t="s">
        <v>43</v>
      </c>
      <c r="Q329" s="2"/>
      <c r="R329" s="2" t="s">
        <v>44</v>
      </c>
      <c r="S329" s="2">
        <v>8250215703</v>
      </c>
      <c r="T329" s="2" t="s">
        <v>1520</v>
      </c>
      <c r="U329" s="2" t="s">
        <v>1521</v>
      </c>
      <c r="V329" s="2">
        <v>9587304505</v>
      </c>
      <c r="W329" s="2" t="s">
        <v>1522</v>
      </c>
      <c r="X329" s="2">
        <v>150000</v>
      </c>
      <c r="Y329" s="2" t="s">
        <v>46</v>
      </c>
      <c r="Z329" s="2" t="s">
        <v>46</v>
      </c>
      <c r="AA329" s="2" t="s">
        <v>47</v>
      </c>
      <c r="AB329" s="2">
        <v>12</v>
      </c>
      <c r="AC329" s="2" t="s">
        <v>48</v>
      </c>
      <c r="AD329" s="2">
        <v>2</v>
      </c>
    </row>
    <row r="330" spans="1:30" ht="30" x14ac:dyDescent="0.25">
      <c r="A330" s="2">
        <v>10</v>
      </c>
      <c r="B330" s="2" t="s">
        <v>37</v>
      </c>
      <c r="C330" s="2">
        <v>13445</v>
      </c>
      <c r="D330" s="3">
        <v>44047</v>
      </c>
      <c r="E330" s="2" t="s">
        <v>1523</v>
      </c>
      <c r="F330" s="2"/>
      <c r="G330" s="2" t="s">
        <v>1524</v>
      </c>
      <c r="H330" s="2" t="s">
        <v>1157</v>
      </c>
      <c r="I330" s="2" t="s">
        <v>41</v>
      </c>
      <c r="J330" s="3">
        <v>39006</v>
      </c>
      <c r="K330" s="2"/>
      <c r="L330" s="2"/>
      <c r="M330" s="2">
        <v>43</v>
      </c>
      <c r="N330" s="2">
        <v>41</v>
      </c>
      <c r="O330" s="2" t="s">
        <v>53</v>
      </c>
      <c r="P330" s="2" t="s">
        <v>43</v>
      </c>
      <c r="Q330" s="2"/>
      <c r="R330" s="2" t="s">
        <v>44</v>
      </c>
      <c r="S330" s="2">
        <v>8250215703</v>
      </c>
      <c r="T330" s="2" t="s">
        <v>1525</v>
      </c>
      <c r="U330" s="2" t="s">
        <v>1526</v>
      </c>
      <c r="V330" s="2">
        <v>7665153467</v>
      </c>
      <c r="W330" s="2" t="s">
        <v>1064</v>
      </c>
      <c r="X330" s="2">
        <v>35000</v>
      </c>
      <c r="Y330" s="2" t="s">
        <v>46</v>
      </c>
      <c r="Z330" s="2" t="s">
        <v>46</v>
      </c>
      <c r="AA330" s="2" t="s">
        <v>47</v>
      </c>
      <c r="AB330" s="2">
        <v>15</v>
      </c>
      <c r="AC330" s="2" t="s">
        <v>48</v>
      </c>
      <c r="AD330" s="2">
        <v>1.7</v>
      </c>
    </row>
    <row r="331" spans="1:30" ht="30" x14ac:dyDescent="0.25">
      <c r="A331" s="2">
        <v>10</v>
      </c>
      <c r="B331" s="2" t="s">
        <v>37</v>
      </c>
      <c r="C331" s="2">
        <v>13472</v>
      </c>
      <c r="D331" s="3">
        <v>44047</v>
      </c>
      <c r="E331" s="2" t="s">
        <v>1527</v>
      </c>
      <c r="F331" s="2"/>
      <c r="G331" s="2" t="s">
        <v>1528</v>
      </c>
      <c r="H331" s="2" t="s">
        <v>1529</v>
      </c>
      <c r="I331" s="2" t="s">
        <v>41</v>
      </c>
      <c r="J331" s="3">
        <v>38762</v>
      </c>
      <c r="K331" s="2"/>
      <c r="L331" s="2"/>
      <c r="M331" s="2">
        <v>43</v>
      </c>
      <c r="N331" s="2">
        <v>39</v>
      </c>
      <c r="O331" s="2" t="s">
        <v>53</v>
      </c>
      <c r="P331" s="2" t="s">
        <v>43</v>
      </c>
      <c r="Q331" s="2"/>
      <c r="R331" s="2" t="s">
        <v>44</v>
      </c>
      <c r="S331" s="2">
        <v>8250215703</v>
      </c>
      <c r="T331" s="2" t="s">
        <v>1530</v>
      </c>
      <c r="U331" s="2" t="s">
        <v>1531</v>
      </c>
      <c r="V331" s="2">
        <v>9601917109</v>
      </c>
      <c r="W331" s="2" t="s">
        <v>1064</v>
      </c>
      <c r="X331" s="2">
        <v>35000</v>
      </c>
      <c r="Y331" s="2" t="s">
        <v>46</v>
      </c>
      <c r="Z331" s="2" t="s">
        <v>46</v>
      </c>
      <c r="AA331" s="2" t="s">
        <v>47</v>
      </c>
      <c r="AB331" s="2">
        <v>15</v>
      </c>
      <c r="AC331" s="2" t="s">
        <v>48</v>
      </c>
      <c r="AD331" s="2">
        <v>2</v>
      </c>
    </row>
    <row r="332" spans="1:30" ht="30" x14ac:dyDescent="0.25">
      <c r="A332" s="2">
        <v>10</v>
      </c>
      <c r="B332" s="2" t="s">
        <v>37</v>
      </c>
      <c r="C332" s="2">
        <v>13682</v>
      </c>
      <c r="D332" s="3">
        <v>44226</v>
      </c>
      <c r="E332" s="2" t="s">
        <v>1532</v>
      </c>
      <c r="F332" s="2"/>
      <c r="G332" s="2" t="s">
        <v>1533</v>
      </c>
      <c r="H332" s="2" t="s">
        <v>1534</v>
      </c>
      <c r="I332" s="2" t="s">
        <v>41</v>
      </c>
      <c r="J332" s="3">
        <v>39420</v>
      </c>
      <c r="K332" s="2"/>
      <c r="L332" s="2"/>
      <c r="M332" s="2">
        <v>43</v>
      </c>
      <c r="N332" s="2">
        <v>41</v>
      </c>
      <c r="O332" s="2" t="s">
        <v>53</v>
      </c>
      <c r="P332" s="2" t="s">
        <v>43</v>
      </c>
      <c r="Q332" s="2"/>
      <c r="R332" s="2" t="s">
        <v>44</v>
      </c>
      <c r="S332" s="2">
        <v>8250215703</v>
      </c>
      <c r="T332" s="2" t="s">
        <v>1535</v>
      </c>
      <c r="U332" s="2"/>
      <c r="V332" s="2">
        <v>9799987508</v>
      </c>
      <c r="W332" s="2" t="s">
        <v>1536</v>
      </c>
      <c r="X332" s="2">
        <v>100000</v>
      </c>
      <c r="Y332" s="2" t="s">
        <v>46</v>
      </c>
      <c r="Z332" s="2" t="s">
        <v>46</v>
      </c>
      <c r="AA332" s="2" t="s">
        <v>47</v>
      </c>
      <c r="AB332" s="2">
        <v>14</v>
      </c>
      <c r="AC332" s="2" t="s">
        <v>48</v>
      </c>
      <c r="AD332" s="2">
        <v>1</v>
      </c>
    </row>
    <row r="333" spans="1:30" ht="45" x14ac:dyDescent="0.25">
      <c r="A333" s="2">
        <v>10</v>
      </c>
      <c r="B333" s="2" t="s">
        <v>37</v>
      </c>
      <c r="C333" s="2">
        <v>13576</v>
      </c>
      <c r="D333" s="3">
        <v>44095</v>
      </c>
      <c r="E333" s="2" t="s">
        <v>1537</v>
      </c>
      <c r="F333" s="2"/>
      <c r="G333" s="2" t="s">
        <v>1538</v>
      </c>
      <c r="H333" s="2" t="s">
        <v>1539</v>
      </c>
      <c r="I333" s="2" t="s">
        <v>41</v>
      </c>
      <c r="J333" s="3">
        <v>38341</v>
      </c>
      <c r="K333" s="2"/>
      <c r="L333" s="2"/>
      <c r="M333" s="2">
        <v>43</v>
      </c>
      <c r="N333" s="2">
        <v>37</v>
      </c>
      <c r="O333" s="2" t="s">
        <v>78</v>
      </c>
      <c r="P333" s="2" t="s">
        <v>43</v>
      </c>
      <c r="Q333" s="2"/>
      <c r="R333" s="2" t="s">
        <v>44</v>
      </c>
      <c r="S333" s="2">
        <v>8250215703</v>
      </c>
      <c r="T333" s="2" t="s">
        <v>1540</v>
      </c>
      <c r="U333" s="2" t="s">
        <v>1541</v>
      </c>
      <c r="V333" s="2">
        <v>9587491680</v>
      </c>
      <c r="W333" s="2" t="s">
        <v>1542</v>
      </c>
      <c r="X333" s="2">
        <v>36000</v>
      </c>
      <c r="Y333" s="2" t="s">
        <v>46</v>
      </c>
      <c r="Z333" s="2" t="s">
        <v>46</v>
      </c>
      <c r="AA333" s="2" t="s">
        <v>47</v>
      </c>
      <c r="AB333" s="2">
        <v>17</v>
      </c>
      <c r="AC333" s="2" t="s">
        <v>48</v>
      </c>
      <c r="AD333" s="2">
        <v>2</v>
      </c>
    </row>
    <row r="334" spans="1:30" ht="30" x14ac:dyDescent="0.25">
      <c r="A334" s="2">
        <v>10</v>
      </c>
      <c r="B334" s="2" t="s">
        <v>37</v>
      </c>
      <c r="C334" s="2">
        <v>13561</v>
      </c>
      <c r="D334" s="3">
        <v>44089</v>
      </c>
      <c r="E334" s="2" t="s">
        <v>1543</v>
      </c>
      <c r="F334" s="2"/>
      <c r="G334" s="2" t="s">
        <v>957</v>
      </c>
      <c r="H334" s="2" t="s">
        <v>1544</v>
      </c>
      <c r="I334" s="2" t="s">
        <v>41</v>
      </c>
      <c r="J334" s="3">
        <v>37724</v>
      </c>
      <c r="K334" s="2"/>
      <c r="L334" s="2"/>
      <c r="M334" s="2">
        <v>43</v>
      </c>
      <c r="N334" s="2">
        <v>39</v>
      </c>
      <c r="O334" s="2" t="s">
        <v>773</v>
      </c>
      <c r="P334" s="2" t="s">
        <v>43</v>
      </c>
      <c r="Q334" s="2"/>
      <c r="R334" s="2" t="s">
        <v>44</v>
      </c>
      <c r="S334" s="2">
        <v>8250215703</v>
      </c>
      <c r="T334" s="2" t="s">
        <v>1545</v>
      </c>
      <c r="U334" s="2" t="s">
        <v>1546</v>
      </c>
      <c r="V334" s="2">
        <v>9636724505</v>
      </c>
      <c r="W334" s="2" t="s">
        <v>679</v>
      </c>
      <c r="X334" s="2">
        <v>42000</v>
      </c>
      <c r="Y334" s="2" t="s">
        <v>46</v>
      </c>
      <c r="Z334" s="2" t="s">
        <v>46</v>
      </c>
      <c r="AA334" s="2" t="s">
        <v>47</v>
      </c>
      <c r="AB334" s="2">
        <v>18</v>
      </c>
      <c r="AC334" s="2" t="s">
        <v>48</v>
      </c>
      <c r="AD334" s="2">
        <v>1</v>
      </c>
    </row>
    <row r="335" spans="1:30" ht="45" x14ac:dyDescent="0.25">
      <c r="A335" s="2">
        <v>10</v>
      </c>
      <c r="B335" s="2" t="s">
        <v>37</v>
      </c>
      <c r="C335" s="2">
        <v>13488</v>
      </c>
      <c r="D335" s="3">
        <v>44063</v>
      </c>
      <c r="E335" s="2" t="s">
        <v>1547</v>
      </c>
      <c r="F335" s="2"/>
      <c r="G335" s="2" t="s">
        <v>603</v>
      </c>
      <c r="H335" s="2" t="s">
        <v>604</v>
      </c>
      <c r="I335" s="2" t="s">
        <v>41</v>
      </c>
      <c r="J335" s="3">
        <v>38553</v>
      </c>
      <c r="K335" s="2"/>
      <c r="L335" s="2"/>
      <c r="M335" s="2">
        <v>43</v>
      </c>
      <c r="N335" s="2">
        <v>42</v>
      </c>
      <c r="O335" s="2" t="s">
        <v>78</v>
      </c>
      <c r="P335" s="2" t="s">
        <v>43</v>
      </c>
      <c r="Q335" s="2"/>
      <c r="R335" s="2" t="s">
        <v>44</v>
      </c>
      <c r="S335" s="2">
        <v>8250215703</v>
      </c>
      <c r="T335" s="2" t="s">
        <v>1548</v>
      </c>
      <c r="U335" s="2" t="s">
        <v>606</v>
      </c>
      <c r="V335" s="2">
        <v>8824736055</v>
      </c>
      <c r="W335" s="2" t="s">
        <v>1549</v>
      </c>
      <c r="X335" s="2">
        <v>35000</v>
      </c>
      <c r="Y335" s="2" t="s">
        <v>46</v>
      </c>
      <c r="Z335" s="2" t="s">
        <v>46</v>
      </c>
      <c r="AA335" s="2" t="s">
        <v>47</v>
      </c>
      <c r="AB335" s="2">
        <v>16</v>
      </c>
      <c r="AC335" s="2" t="s">
        <v>48</v>
      </c>
      <c r="AD335" s="2">
        <v>1</v>
      </c>
    </row>
    <row r="336" spans="1:30" ht="30" x14ac:dyDescent="0.25">
      <c r="A336" s="2">
        <v>10</v>
      </c>
      <c r="B336" s="2" t="s">
        <v>37</v>
      </c>
      <c r="C336" s="2">
        <v>13441</v>
      </c>
      <c r="D336" s="3">
        <v>44047</v>
      </c>
      <c r="E336" s="2" t="s">
        <v>1550</v>
      </c>
      <c r="F336" s="2"/>
      <c r="G336" s="2" t="s">
        <v>1551</v>
      </c>
      <c r="H336" s="2" t="s">
        <v>1552</v>
      </c>
      <c r="I336" s="2" t="s">
        <v>41</v>
      </c>
      <c r="J336" s="3">
        <v>39175</v>
      </c>
      <c r="K336" s="2"/>
      <c r="L336" s="2"/>
      <c r="M336" s="2">
        <v>43</v>
      </c>
      <c r="N336" s="2">
        <v>42</v>
      </c>
      <c r="O336" s="2" t="s">
        <v>53</v>
      </c>
      <c r="P336" s="2" t="s">
        <v>43</v>
      </c>
      <c r="Q336" s="2"/>
      <c r="R336" s="2" t="s">
        <v>44</v>
      </c>
      <c r="S336" s="2">
        <v>8250215703</v>
      </c>
      <c r="T336" s="2" t="s">
        <v>1553</v>
      </c>
      <c r="U336" s="2" t="s">
        <v>1554</v>
      </c>
      <c r="V336" s="2">
        <v>9799287954</v>
      </c>
      <c r="W336" s="2" t="s">
        <v>1555</v>
      </c>
      <c r="X336" s="2">
        <v>40000</v>
      </c>
      <c r="Y336" s="2" t="s">
        <v>46</v>
      </c>
      <c r="Z336" s="2" t="s">
        <v>46</v>
      </c>
      <c r="AA336" s="2" t="s">
        <v>47</v>
      </c>
      <c r="AB336" s="2">
        <v>14</v>
      </c>
      <c r="AC336" s="2" t="s">
        <v>48</v>
      </c>
      <c r="AD336" s="2">
        <v>1</v>
      </c>
    </row>
    <row r="337" spans="1:30" ht="30" x14ac:dyDescent="0.25">
      <c r="A337" s="2">
        <v>10</v>
      </c>
      <c r="B337" s="2" t="s">
        <v>37</v>
      </c>
      <c r="C337" s="2">
        <v>13550</v>
      </c>
      <c r="D337" s="3">
        <v>44085</v>
      </c>
      <c r="E337" s="2" t="s">
        <v>1556</v>
      </c>
      <c r="F337" s="2" t="s">
        <v>229</v>
      </c>
      <c r="G337" s="2" t="s">
        <v>904</v>
      </c>
      <c r="H337" s="2" t="s">
        <v>1557</v>
      </c>
      <c r="I337" s="2" t="s">
        <v>41</v>
      </c>
      <c r="J337" s="3">
        <v>38139</v>
      </c>
      <c r="K337" s="2"/>
      <c r="L337" s="2"/>
      <c r="M337" s="2">
        <v>43</v>
      </c>
      <c r="N337" s="2">
        <v>40</v>
      </c>
      <c r="O337" s="2" t="s">
        <v>53</v>
      </c>
      <c r="P337" s="2" t="s">
        <v>43</v>
      </c>
      <c r="Q337" s="2"/>
      <c r="R337" s="2" t="s">
        <v>44</v>
      </c>
      <c r="S337" s="2">
        <v>8250215703</v>
      </c>
      <c r="T337" s="2" t="s">
        <v>1558</v>
      </c>
      <c r="U337" s="2"/>
      <c r="V337" s="2">
        <v>9016543861</v>
      </c>
      <c r="W337" s="2" t="s">
        <v>1559</v>
      </c>
      <c r="X337" s="2">
        <v>12000</v>
      </c>
      <c r="Y337" s="2" t="s">
        <v>46</v>
      </c>
      <c r="Z337" s="2" t="s">
        <v>46</v>
      </c>
      <c r="AA337" s="2" t="s">
        <v>47</v>
      </c>
      <c r="AB337" s="2">
        <v>17</v>
      </c>
      <c r="AC337" s="2" t="s">
        <v>48</v>
      </c>
      <c r="AD337" s="2">
        <v>1</v>
      </c>
    </row>
    <row r="338" spans="1:30" ht="30" x14ac:dyDescent="0.25">
      <c r="A338" s="2">
        <v>10</v>
      </c>
      <c r="B338" s="2" t="s">
        <v>37</v>
      </c>
      <c r="C338" s="2">
        <v>13487</v>
      </c>
      <c r="D338" s="3">
        <v>44063</v>
      </c>
      <c r="E338" s="2" t="s">
        <v>1556</v>
      </c>
      <c r="F338" s="2"/>
      <c r="G338" s="2" t="s">
        <v>1528</v>
      </c>
      <c r="H338" s="2" t="s">
        <v>1560</v>
      </c>
      <c r="I338" s="2" t="s">
        <v>41</v>
      </c>
      <c r="J338" s="3">
        <v>38945</v>
      </c>
      <c r="K338" s="2"/>
      <c r="L338" s="2"/>
      <c r="M338" s="2">
        <v>43</v>
      </c>
      <c r="N338" s="2">
        <v>41</v>
      </c>
      <c r="O338" s="2" t="s">
        <v>53</v>
      </c>
      <c r="P338" s="2" t="s">
        <v>43</v>
      </c>
      <c r="Q338" s="2"/>
      <c r="R338" s="2" t="s">
        <v>44</v>
      </c>
      <c r="S338" s="2">
        <v>8250215703</v>
      </c>
      <c r="T338" s="2" t="s">
        <v>1558</v>
      </c>
      <c r="U338" s="2" t="s">
        <v>1561</v>
      </c>
      <c r="V338" s="2">
        <v>9799451560</v>
      </c>
      <c r="W338" s="2" t="s">
        <v>1562</v>
      </c>
      <c r="X338" s="2">
        <v>42000</v>
      </c>
      <c r="Y338" s="2" t="s">
        <v>46</v>
      </c>
      <c r="Z338" s="2" t="s">
        <v>46</v>
      </c>
      <c r="AA338" s="2" t="s">
        <v>47</v>
      </c>
      <c r="AB338" s="2">
        <v>15</v>
      </c>
      <c r="AC338" s="2" t="s">
        <v>48</v>
      </c>
      <c r="AD338" s="2">
        <v>2</v>
      </c>
    </row>
    <row r="339" spans="1:30" ht="30" x14ac:dyDescent="0.25">
      <c r="A339" s="2">
        <v>10</v>
      </c>
      <c r="B339" s="2" t="s">
        <v>37</v>
      </c>
      <c r="C339" s="2">
        <v>13536</v>
      </c>
      <c r="D339" s="3">
        <v>44075</v>
      </c>
      <c r="E339" s="2" t="s">
        <v>918</v>
      </c>
      <c r="F339" s="2"/>
      <c r="G339" s="2" t="s">
        <v>829</v>
      </c>
      <c r="H339" s="2" t="s">
        <v>1563</v>
      </c>
      <c r="I339" s="2" t="s">
        <v>41</v>
      </c>
      <c r="J339" s="3">
        <v>38816</v>
      </c>
      <c r="K339" s="2"/>
      <c r="L339" s="2"/>
      <c r="M339" s="2">
        <v>43</v>
      </c>
      <c r="N339" s="2">
        <v>39</v>
      </c>
      <c r="O339" s="2" t="s">
        <v>53</v>
      </c>
      <c r="P339" s="2" t="s">
        <v>43</v>
      </c>
      <c r="Q339" s="2"/>
      <c r="R339" s="2" t="s">
        <v>44</v>
      </c>
      <c r="S339" s="2">
        <v>8250215703</v>
      </c>
      <c r="T339" s="2" t="s">
        <v>1564</v>
      </c>
      <c r="U339" s="2" t="s">
        <v>1565</v>
      </c>
      <c r="V339" s="2">
        <v>9636120278</v>
      </c>
      <c r="W339" s="2" t="s">
        <v>1064</v>
      </c>
      <c r="X339" s="2">
        <v>36000</v>
      </c>
      <c r="Y339" s="2" t="s">
        <v>46</v>
      </c>
      <c r="Z339" s="2" t="s">
        <v>46</v>
      </c>
      <c r="AA339" s="2" t="s">
        <v>47</v>
      </c>
      <c r="AB339" s="2">
        <v>15</v>
      </c>
      <c r="AC339" s="2" t="s">
        <v>48</v>
      </c>
      <c r="AD339" s="2">
        <v>2</v>
      </c>
    </row>
    <row r="340" spans="1:30" ht="30" x14ac:dyDescent="0.25">
      <c r="A340" s="2">
        <v>10</v>
      </c>
      <c r="B340" s="2" t="s">
        <v>37</v>
      </c>
      <c r="C340" s="2">
        <v>12292</v>
      </c>
      <c r="D340" s="3">
        <v>42548</v>
      </c>
      <c r="E340" s="2" t="s">
        <v>1566</v>
      </c>
      <c r="F340" s="2"/>
      <c r="G340" s="2" t="s">
        <v>363</v>
      </c>
      <c r="H340" s="2" t="s">
        <v>1567</v>
      </c>
      <c r="I340" s="2" t="s">
        <v>41</v>
      </c>
      <c r="J340" s="3">
        <v>38451</v>
      </c>
      <c r="K340" s="2"/>
      <c r="L340" s="2"/>
      <c r="M340" s="2">
        <v>43</v>
      </c>
      <c r="N340" s="2">
        <v>41</v>
      </c>
      <c r="O340" s="2" t="s">
        <v>53</v>
      </c>
      <c r="P340" s="2" t="s">
        <v>43</v>
      </c>
      <c r="Q340" s="2"/>
      <c r="R340" s="2" t="s">
        <v>44</v>
      </c>
      <c r="S340" s="2">
        <v>8250215703</v>
      </c>
      <c r="T340" s="2" t="s">
        <v>1568</v>
      </c>
      <c r="U340" s="2"/>
      <c r="V340" s="2">
        <v>9660141925</v>
      </c>
      <c r="W340" s="2" t="s">
        <v>1569</v>
      </c>
      <c r="X340" s="2">
        <v>0</v>
      </c>
      <c r="Y340" s="2" t="s">
        <v>46</v>
      </c>
      <c r="Z340" s="2" t="s">
        <v>46</v>
      </c>
      <c r="AA340" s="2" t="s">
        <v>47</v>
      </c>
      <c r="AB340" s="2">
        <v>16</v>
      </c>
      <c r="AC340" s="2" t="s">
        <v>48</v>
      </c>
      <c r="AD340" s="2">
        <v>0</v>
      </c>
    </row>
    <row r="341" spans="1:30" ht="30" x14ac:dyDescent="0.25">
      <c r="A341" s="2">
        <v>10</v>
      </c>
      <c r="B341" s="2" t="s">
        <v>37</v>
      </c>
      <c r="C341" s="2">
        <v>13489</v>
      </c>
      <c r="D341" s="3">
        <v>44063</v>
      </c>
      <c r="E341" s="2" t="s">
        <v>1570</v>
      </c>
      <c r="F341" s="2"/>
      <c r="G341" s="2" t="s">
        <v>1571</v>
      </c>
      <c r="H341" s="2" t="s">
        <v>1572</v>
      </c>
      <c r="I341" s="2" t="s">
        <v>41</v>
      </c>
      <c r="J341" s="3">
        <v>38874</v>
      </c>
      <c r="K341" s="2"/>
      <c r="L341" s="2"/>
      <c r="M341" s="2">
        <v>43</v>
      </c>
      <c r="N341" s="2">
        <v>39</v>
      </c>
      <c r="O341" s="2" t="s">
        <v>78</v>
      </c>
      <c r="P341" s="2" t="s">
        <v>43</v>
      </c>
      <c r="Q341" s="2"/>
      <c r="R341" s="2" t="s">
        <v>44</v>
      </c>
      <c r="S341" s="2">
        <v>8250215703</v>
      </c>
      <c r="T341" s="2" t="s">
        <v>1573</v>
      </c>
      <c r="U341" s="2" t="s">
        <v>1574</v>
      </c>
      <c r="V341" s="2">
        <v>9649184609</v>
      </c>
      <c r="W341" s="2" t="s">
        <v>1575</v>
      </c>
      <c r="X341" s="2">
        <v>36000</v>
      </c>
      <c r="Y341" s="2" t="s">
        <v>46</v>
      </c>
      <c r="Z341" s="2" t="s">
        <v>46</v>
      </c>
      <c r="AA341" s="2" t="s">
        <v>47</v>
      </c>
      <c r="AB341" s="2">
        <v>15</v>
      </c>
      <c r="AC341" s="2" t="s">
        <v>48</v>
      </c>
      <c r="AD341" s="2">
        <v>2</v>
      </c>
    </row>
    <row r="342" spans="1:30" ht="30" x14ac:dyDescent="0.25">
      <c r="A342" s="2">
        <v>10</v>
      </c>
      <c r="B342" s="2" t="s">
        <v>37</v>
      </c>
      <c r="C342" s="2">
        <v>13471</v>
      </c>
      <c r="D342" s="3">
        <v>44047</v>
      </c>
      <c r="E342" s="2" t="s">
        <v>1576</v>
      </c>
      <c r="F342" s="2"/>
      <c r="G342" s="2" t="s">
        <v>1577</v>
      </c>
      <c r="H342" s="2" t="s">
        <v>1578</v>
      </c>
      <c r="I342" s="2" t="s">
        <v>41</v>
      </c>
      <c r="J342" s="3">
        <v>38998</v>
      </c>
      <c r="K342" s="2"/>
      <c r="L342" s="2"/>
      <c r="M342" s="2">
        <v>43</v>
      </c>
      <c r="N342" s="2">
        <v>39</v>
      </c>
      <c r="O342" s="2" t="s">
        <v>773</v>
      </c>
      <c r="P342" s="2" t="s">
        <v>43</v>
      </c>
      <c r="Q342" s="2"/>
      <c r="R342" s="2" t="s">
        <v>44</v>
      </c>
      <c r="S342" s="2">
        <v>8250215703</v>
      </c>
      <c r="T342" s="2" t="s">
        <v>1579</v>
      </c>
      <c r="U342" s="2"/>
      <c r="V342" s="2">
        <v>8278665922</v>
      </c>
      <c r="W342" s="2" t="s">
        <v>1580</v>
      </c>
      <c r="X342" s="2">
        <v>36000</v>
      </c>
      <c r="Y342" s="2" t="s">
        <v>46</v>
      </c>
      <c r="Z342" s="2" t="s">
        <v>46</v>
      </c>
      <c r="AA342" s="2" t="s">
        <v>47</v>
      </c>
      <c r="AB342" s="2">
        <v>15</v>
      </c>
      <c r="AC342" s="2" t="s">
        <v>48</v>
      </c>
      <c r="AD342" s="2">
        <v>10</v>
      </c>
    </row>
    <row r="343" spans="1:30" ht="30" x14ac:dyDescent="0.25">
      <c r="A343" s="2">
        <v>10</v>
      </c>
      <c r="B343" s="2" t="s">
        <v>37</v>
      </c>
      <c r="C343" s="2">
        <v>12287</v>
      </c>
      <c r="D343" s="3">
        <v>42548</v>
      </c>
      <c r="E343" s="2" t="s">
        <v>1581</v>
      </c>
      <c r="F343" s="2"/>
      <c r="G343" s="2" t="s">
        <v>1582</v>
      </c>
      <c r="H343" s="2" t="s">
        <v>1583</v>
      </c>
      <c r="I343" s="2" t="s">
        <v>41</v>
      </c>
      <c r="J343" s="3">
        <v>39457</v>
      </c>
      <c r="K343" s="2"/>
      <c r="L343" s="2"/>
      <c r="M343" s="2">
        <v>43</v>
      </c>
      <c r="N343" s="2">
        <v>40</v>
      </c>
      <c r="O343" s="2" t="s">
        <v>53</v>
      </c>
      <c r="P343" s="2" t="s">
        <v>43</v>
      </c>
      <c r="Q343" s="2"/>
      <c r="R343" s="2" t="s">
        <v>44</v>
      </c>
      <c r="S343" s="2">
        <v>8250215703</v>
      </c>
      <c r="T343" s="2" t="s">
        <v>1584</v>
      </c>
      <c r="U343" s="2"/>
      <c r="V343" s="2">
        <v>7725948734</v>
      </c>
      <c r="W343" s="2" t="s">
        <v>69</v>
      </c>
      <c r="X343" s="2">
        <v>0</v>
      </c>
      <c r="Y343" s="2" t="s">
        <v>46</v>
      </c>
      <c r="Z343" s="2" t="s">
        <v>46</v>
      </c>
      <c r="AA343" s="2" t="s">
        <v>47</v>
      </c>
      <c r="AB343" s="2">
        <v>13</v>
      </c>
      <c r="AC343" s="2" t="s">
        <v>48</v>
      </c>
      <c r="AD343" s="2">
        <v>1</v>
      </c>
    </row>
    <row r="344" spans="1:30" ht="30" x14ac:dyDescent="0.25">
      <c r="A344" s="2">
        <v>10</v>
      </c>
      <c r="B344" s="2" t="s">
        <v>37</v>
      </c>
      <c r="C344" s="2">
        <v>13963</v>
      </c>
      <c r="D344" s="3">
        <v>44439</v>
      </c>
      <c r="E344" s="2" t="s">
        <v>1585</v>
      </c>
      <c r="F344" s="2"/>
      <c r="G344" s="2" t="s">
        <v>1586</v>
      </c>
      <c r="H344" s="2" t="s">
        <v>1587</v>
      </c>
      <c r="I344" s="2" t="s">
        <v>41</v>
      </c>
      <c r="J344" s="3">
        <v>38009</v>
      </c>
      <c r="K344" s="2"/>
      <c r="L344" s="2"/>
      <c r="M344" s="2">
        <v>43</v>
      </c>
      <c r="N344" s="2">
        <v>41</v>
      </c>
      <c r="O344" s="2" t="s">
        <v>53</v>
      </c>
      <c r="P344" s="2" t="s">
        <v>43</v>
      </c>
      <c r="Q344" s="2"/>
      <c r="R344" s="2" t="s">
        <v>44</v>
      </c>
      <c r="S344" s="2">
        <v>8250215703</v>
      </c>
      <c r="T344" s="2" t="s">
        <v>1588</v>
      </c>
      <c r="U344" s="2" t="s">
        <v>1589</v>
      </c>
      <c r="V344" s="2">
        <v>9660979549</v>
      </c>
      <c r="W344" s="2" t="s">
        <v>1590</v>
      </c>
      <c r="X344" s="2">
        <v>60000</v>
      </c>
      <c r="Y344" s="2" t="s">
        <v>46</v>
      </c>
      <c r="Z344" s="2" t="s">
        <v>46</v>
      </c>
      <c r="AA344" s="2" t="s">
        <v>47</v>
      </c>
      <c r="AB344" s="2">
        <v>17</v>
      </c>
      <c r="AC344" s="2" t="s">
        <v>48</v>
      </c>
      <c r="AD344" s="2">
        <v>3</v>
      </c>
    </row>
    <row r="345" spans="1:30" ht="30" x14ac:dyDescent="0.25">
      <c r="A345" s="2">
        <v>10</v>
      </c>
      <c r="B345" s="2" t="s">
        <v>37</v>
      </c>
      <c r="C345" s="2">
        <v>13444</v>
      </c>
      <c r="D345" s="3">
        <v>44047</v>
      </c>
      <c r="E345" s="2" t="s">
        <v>1591</v>
      </c>
      <c r="F345" s="2"/>
      <c r="G345" s="2" t="s">
        <v>1592</v>
      </c>
      <c r="H345" s="2" t="s">
        <v>1593</v>
      </c>
      <c r="I345" s="2" t="s">
        <v>41</v>
      </c>
      <c r="J345" s="3">
        <v>39330</v>
      </c>
      <c r="K345" s="2"/>
      <c r="L345" s="2"/>
      <c r="M345" s="2">
        <v>43</v>
      </c>
      <c r="N345" s="2">
        <v>40</v>
      </c>
      <c r="O345" s="2" t="s">
        <v>53</v>
      </c>
      <c r="P345" s="2" t="s">
        <v>43</v>
      </c>
      <c r="Q345" s="2"/>
      <c r="R345" s="2" t="s">
        <v>44</v>
      </c>
      <c r="S345" s="2">
        <v>8250215703</v>
      </c>
      <c r="T345" s="2" t="s">
        <v>1594</v>
      </c>
      <c r="U345" s="2" t="s">
        <v>1595</v>
      </c>
      <c r="V345" s="2">
        <v>9928724136</v>
      </c>
      <c r="W345" s="2" t="s">
        <v>776</v>
      </c>
      <c r="X345" s="2">
        <v>36000</v>
      </c>
      <c r="Y345" s="2" t="s">
        <v>46</v>
      </c>
      <c r="Z345" s="2" t="s">
        <v>46</v>
      </c>
      <c r="AA345" s="2" t="s">
        <v>47</v>
      </c>
      <c r="AB345" s="2">
        <v>14</v>
      </c>
      <c r="AC345" s="2" t="s">
        <v>48</v>
      </c>
      <c r="AD345" s="2">
        <v>0.5</v>
      </c>
    </row>
    <row r="346" spans="1:30" ht="30" x14ac:dyDescent="0.25">
      <c r="A346" s="2">
        <v>10</v>
      </c>
      <c r="B346" s="2" t="s">
        <v>37</v>
      </c>
      <c r="C346" s="2">
        <v>13521</v>
      </c>
      <c r="D346" s="3">
        <v>44074</v>
      </c>
      <c r="E346" s="2" t="s">
        <v>1596</v>
      </c>
      <c r="F346" s="2"/>
      <c r="G346" s="2" t="s">
        <v>1597</v>
      </c>
      <c r="H346" s="2" t="s">
        <v>210</v>
      </c>
      <c r="I346" s="2" t="s">
        <v>41</v>
      </c>
      <c r="J346" s="3">
        <v>38867</v>
      </c>
      <c r="K346" s="2"/>
      <c r="L346" s="2"/>
      <c r="M346" s="2">
        <v>43</v>
      </c>
      <c r="N346" s="2">
        <v>41</v>
      </c>
      <c r="O346" s="2" t="s">
        <v>53</v>
      </c>
      <c r="P346" s="2" t="s">
        <v>43</v>
      </c>
      <c r="Q346" s="2"/>
      <c r="R346" s="2" t="s">
        <v>44</v>
      </c>
      <c r="S346" s="2">
        <v>8250215703</v>
      </c>
      <c r="T346" s="2" t="s">
        <v>1598</v>
      </c>
      <c r="U346" s="2" t="s">
        <v>1599</v>
      </c>
      <c r="V346" s="2">
        <v>6375478327</v>
      </c>
      <c r="W346" s="2" t="s">
        <v>1600</v>
      </c>
      <c r="X346" s="2">
        <v>60000</v>
      </c>
      <c r="Y346" s="2" t="s">
        <v>46</v>
      </c>
      <c r="Z346" s="2" t="s">
        <v>46</v>
      </c>
      <c r="AA346" s="2" t="s">
        <v>47</v>
      </c>
      <c r="AB346" s="2">
        <v>15</v>
      </c>
      <c r="AC346" s="2" t="s">
        <v>48</v>
      </c>
      <c r="AD346" s="2">
        <v>0</v>
      </c>
    </row>
    <row r="347" spans="1:30" ht="30" x14ac:dyDescent="0.25">
      <c r="A347" s="2">
        <v>10</v>
      </c>
      <c r="B347" s="2" t="s">
        <v>37</v>
      </c>
      <c r="C347" s="2">
        <v>13024</v>
      </c>
      <c r="D347" s="3">
        <v>43284</v>
      </c>
      <c r="E347" s="2" t="s">
        <v>1601</v>
      </c>
      <c r="F347" s="2"/>
      <c r="G347" s="2" t="s">
        <v>1602</v>
      </c>
      <c r="H347" s="2" t="s">
        <v>1603</v>
      </c>
      <c r="I347" s="2" t="s">
        <v>41</v>
      </c>
      <c r="J347" s="3">
        <v>39224</v>
      </c>
      <c r="K347" s="2"/>
      <c r="L347" s="2"/>
      <c r="M347" s="2">
        <v>43</v>
      </c>
      <c r="N347" s="2">
        <v>42</v>
      </c>
      <c r="O347" s="2" t="s">
        <v>53</v>
      </c>
      <c r="P347" s="2" t="s">
        <v>43</v>
      </c>
      <c r="Q347" s="2"/>
      <c r="R347" s="2" t="s">
        <v>44</v>
      </c>
      <c r="S347" s="2">
        <v>8250215703</v>
      </c>
      <c r="T347" s="2" t="s">
        <v>1604</v>
      </c>
      <c r="U347" s="2" t="s">
        <v>1605</v>
      </c>
      <c r="V347" s="2">
        <v>9928690341</v>
      </c>
      <c r="W347" s="2" t="s">
        <v>1606</v>
      </c>
      <c r="X347" s="2">
        <v>36000</v>
      </c>
      <c r="Y347" s="2" t="s">
        <v>46</v>
      </c>
      <c r="Z347" s="2" t="s">
        <v>46</v>
      </c>
      <c r="AA347" s="2" t="s">
        <v>47</v>
      </c>
      <c r="AB347" s="2">
        <v>14</v>
      </c>
      <c r="AC347" s="2" t="s">
        <v>48</v>
      </c>
      <c r="AD347" s="2">
        <v>5</v>
      </c>
    </row>
    <row r="348" spans="1:30" ht="30" x14ac:dyDescent="0.25">
      <c r="A348" s="2">
        <v>10</v>
      </c>
      <c r="B348" s="2" t="s">
        <v>37</v>
      </c>
      <c r="C348" s="2">
        <v>13679</v>
      </c>
      <c r="D348" s="3">
        <v>44226</v>
      </c>
      <c r="E348" s="2" t="s">
        <v>1607</v>
      </c>
      <c r="F348" s="2"/>
      <c r="G348" s="2" t="s">
        <v>1608</v>
      </c>
      <c r="H348" s="2" t="s">
        <v>253</v>
      </c>
      <c r="I348" s="2" t="s">
        <v>41</v>
      </c>
      <c r="J348" s="3">
        <v>38651</v>
      </c>
      <c r="K348" s="2"/>
      <c r="L348" s="2"/>
      <c r="M348" s="2">
        <v>43</v>
      </c>
      <c r="N348" s="2">
        <v>42</v>
      </c>
      <c r="O348" s="2" t="s">
        <v>78</v>
      </c>
      <c r="P348" s="2" t="s">
        <v>43</v>
      </c>
      <c r="Q348" s="2"/>
      <c r="R348" s="2" t="s">
        <v>44</v>
      </c>
      <c r="S348" s="2">
        <v>8250215703</v>
      </c>
      <c r="T348" s="2" t="s">
        <v>1609</v>
      </c>
      <c r="U348" s="2"/>
      <c r="V348" s="2">
        <v>9680070181</v>
      </c>
      <c r="W348" s="2" t="s">
        <v>255</v>
      </c>
      <c r="X348" s="2">
        <v>134000</v>
      </c>
      <c r="Y348" s="2" t="s">
        <v>46</v>
      </c>
      <c r="Z348" s="2" t="s">
        <v>46</v>
      </c>
      <c r="AA348" s="2" t="s">
        <v>47</v>
      </c>
      <c r="AB348" s="2">
        <v>16</v>
      </c>
      <c r="AC348" s="2" t="s">
        <v>48</v>
      </c>
      <c r="AD348" s="2">
        <v>2</v>
      </c>
    </row>
    <row r="349" spans="1:30" ht="30" x14ac:dyDescent="0.25">
      <c r="A349" s="2">
        <v>10</v>
      </c>
      <c r="B349" s="2" t="s">
        <v>37</v>
      </c>
      <c r="C349" s="2">
        <v>13948</v>
      </c>
      <c r="D349" s="3">
        <v>44436</v>
      </c>
      <c r="E349" s="2" t="s">
        <v>1610</v>
      </c>
      <c r="F349" s="2"/>
      <c r="G349" s="2" t="s">
        <v>1611</v>
      </c>
      <c r="H349" s="2" t="s">
        <v>1612</v>
      </c>
      <c r="I349" s="2" t="s">
        <v>41</v>
      </c>
      <c r="J349" s="3">
        <v>38649</v>
      </c>
      <c r="K349" s="2"/>
      <c r="L349" s="2"/>
      <c r="M349" s="2">
        <v>43</v>
      </c>
      <c r="N349" s="2">
        <v>41</v>
      </c>
      <c r="O349" s="2" t="s">
        <v>53</v>
      </c>
      <c r="P349" s="2" t="s">
        <v>43</v>
      </c>
      <c r="Q349" s="2"/>
      <c r="R349" s="2" t="s">
        <v>44</v>
      </c>
      <c r="S349" s="2">
        <v>8250215703</v>
      </c>
      <c r="T349" s="2" t="s">
        <v>1613</v>
      </c>
      <c r="U349" s="2"/>
      <c r="V349" s="2">
        <v>6375456501</v>
      </c>
      <c r="W349" s="2" t="s">
        <v>1399</v>
      </c>
      <c r="X349" s="2">
        <v>48000</v>
      </c>
      <c r="Y349" s="2" t="s">
        <v>46</v>
      </c>
      <c r="Z349" s="2" t="s">
        <v>46</v>
      </c>
      <c r="AA349" s="2" t="s">
        <v>47</v>
      </c>
      <c r="AB349" s="2">
        <v>16</v>
      </c>
      <c r="AC349" s="2" t="s">
        <v>48</v>
      </c>
      <c r="AD349" s="2">
        <v>3</v>
      </c>
    </row>
    <row r="350" spans="1:30" ht="45" x14ac:dyDescent="0.25">
      <c r="A350" s="2">
        <v>10</v>
      </c>
      <c r="B350" s="2" t="s">
        <v>37</v>
      </c>
      <c r="C350" s="2">
        <v>13446</v>
      </c>
      <c r="D350" s="3">
        <v>44047</v>
      </c>
      <c r="E350" s="2" t="s">
        <v>1614</v>
      </c>
      <c r="F350" s="2"/>
      <c r="G350" s="2" t="s">
        <v>1615</v>
      </c>
      <c r="H350" s="2" t="s">
        <v>1616</v>
      </c>
      <c r="I350" s="2" t="s">
        <v>41</v>
      </c>
      <c r="J350" s="3">
        <v>39661</v>
      </c>
      <c r="K350" s="2"/>
      <c r="L350" s="2"/>
      <c r="M350" s="2">
        <v>43</v>
      </c>
      <c r="N350" s="2">
        <v>42</v>
      </c>
      <c r="O350" s="2" t="s">
        <v>78</v>
      </c>
      <c r="P350" s="2" t="s">
        <v>43</v>
      </c>
      <c r="Q350" s="2"/>
      <c r="R350" s="2" t="s">
        <v>44</v>
      </c>
      <c r="S350" s="2">
        <v>8250215703</v>
      </c>
      <c r="T350" s="2" t="s">
        <v>1617</v>
      </c>
      <c r="U350" s="2" t="s">
        <v>1618</v>
      </c>
      <c r="V350" s="2">
        <v>8107897033</v>
      </c>
      <c r="W350" s="2" t="s">
        <v>1034</v>
      </c>
      <c r="X350" s="2">
        <v>115000</v>
      </c>
      <c r="Y350" s="2" t="s">
        <v>46</v>
      </c>
      <c r="Z350" s="2" t="s">
        <v>46</v>
      </c>
      <c r="AA350" s="2" t="s">
        <v>47</v>
      </c>
      <c r="AB350" s="2">
        <v>13</v>
      </c>
      <c r="AC350" s="2" t="s">
        <v>48</v>
      </c>
      <c r="AD350" s="2">
        <v>0</v>
      </c>
    </row>
    <row r="351" spans="1:30" ht="30" x14ac:dyDescent="0.25">
      <c r="A351" s="2">
        <v>10</v>
      </c>
      <c r="B351" s="2" t="s">
        <v>37</v>
      </c>
      <c r="C351" s="2">
        <v>13455</v>
      </c>
      <c r="D351" s="3">
        <v>44047</v>
      </c>
      <c r="E351" s="2" t="s">
        <v>1619</v>
      </c>
      <c r="F351" s="2"/>
      <c r="G351" s="2" t="s">
        <v>1060</v>
      </c>
      <c r="H351" s="2" t="s">
        <v>1061</v>
      </c>
      <c r="I351" s="2" t="s">
        <v>41</v>
      </c>
      <c r="J351" s="3">
        <v>38547</v>
      </c>
      <c r="K351" s="2"/>
      <c r="L351" s="2"/>
      <c r="M351" s="2">
        <v>43</v>
      </c>
      <c r="N351" s="2">
        <v>40</v>
      </c>
      <c r="O351" s="2" t="s">
        <v>53</v>
      </c>
      <c r="P351" s="2" t="s">
        <v>43</v>
      </c>
      <c r="Q351" s="2"/>
      <c r="R351" s="2" t="s">
        <v>44</v>
      </c>
      <c r="S351" s="2">
        <v>8250215703</v>
      </c>
      <c r="T351" s="2" t="s">
        <v>1620</v>
      </c>
      <c r="U351" s="2" t="s">
        <v>1063</v>
      </c>
      <c r="V351" s="2">
        <v>9974138486</v>
      </c>
      <c r="W351" s="2" t="s">
        <v>1064</v>
      </c>
      <c r="X351" s="2">
        <v>36000</v>
      </c>
      <c r="Y351" s="2" t="s">
        <v>46</v>
      </c>
      <c r="Z351" s="2" t="s">
        <v>46</v>
      </c>
      <c r="AA351" s="2" t="s">
        <v>47</v>
      </c>
      <c r="AB351" s="2">
        <v>16</v>
      </c>
      <c r="AC351" s="2" t="s">
        <v>48</v>
      </c>
      <c r="AD351" s="2">
        <v>2</v>
      </c>
    </row>
    <row r="352" spans="1:30" ht="30" x14ac:dyDescent="0.25">
      <c r="A352" s="2">
        <v>10</v>
      </c>
      <c r="B352" s="2" t="s">
        <v>37</v>
      </c>
      <c r="C352" s="2">
        <v>13346</v>
      </c>
      <c r="D352" s="3">
        <v>43659</v>
      </c>
      <c r="E352" s="2" t="s">
        <v>1016</v>
      </c>
      <c r="F352" s="2"/>
      <c r="G352" s="2" t="s">
        <v>759</v>
      </c>
      <c r="H352" s="2" t="s">
        <v>595</v>
      </c>
      <c r="I352" s="2" t="s">
        <v>41</v>
      </c>
      <c r="J352" s="3">
        <v>38900</v>
      </c>
      <c r="K352" s="2"/>
      <c r="L352" s="2"/>
      <c r="M352" s="2">
        <v>43</v>
      </c>
      <c r="N352" s="2">
        <v>41</v>
      </c>
      <c r="O352" s="2" t="s">
        <v>53</v>
      </c>
      <c r="P352" s="2" t="s">
        <v>43</v>
      </c>
      <c r="Q352" s="2"/>
      <c r="R352" s="2" t="s">
        <v>44</v>
      </c>
      <c r="S352" s="2">
        <v>8250215703</v>
      </c>
      <c r="T352" s="2" t="s">
        <v>1621</v>
      </c>
      <c r="U352" s="2" t="s">
        <v>1622</v>
      </c>
      <c r="V352" s="2">
        <v>7877616455</v>
      </c>
      <c r="W352" s="2" t="s">
        <v>762</v>
      </c>
      <c r="X352" s="2">
        <v>36000</v>
      </c>
      <c r="Y352" s="2" t="s">
        <v>46</v>
      </c>
      <c r="Z352" s="2" t="s">
        <v>46</v>
      </c>
      <c r="AA352" s="2" t="s">
        <v>47</v>
      </c>
      <c r="AB352" s="2">
        <v>15</v>
      </c>
      <c r="AC352" s="2" t="s">
        <v>48</v>
      </c>
      <c r="AD352" s="2">
        <v>7</v>
      </c>
    </row>
    <row r="353" spans="1:30" ht="30" x14ac:dyDescent="0.25">
      <c r="A353" s="2">
        <v>10</v>
      </c>
      <c r="B353" s="2" t="s">
        <v>37</v>
      </c>
      <c r="C353" s="2">
        <v>13667</v>
      </c>
      <c r="D353" s="3">
        <v>44181</v>
      </c>
      <c r="E353" s="2" t="s">
        <v>1623</v>
      </c>
      <c r="F353" s="2"/>
      <c r="G353" s="2" t="s">
        <v>1624</v>
      </c>
      <c r="H353" s="2" t="s">
        <v>319</v>
      </c>
      <c r="I353" s="2" t="s">
        <v>41</v>
      </c>
      <c r="J353" s="3">
        <v>38867</v>
      </c>
      <c r="K353" s="2"/>
      <c r="L353" s="2"/>
      <c r="M353" s="2">
        <v>43</v>
      </c>
      <c r="N353" s="2">
        <v>40</v>
      </c>
      <c r="O353" s="2" t="s">
        <v>78</v>
      </c>
      <c r="P353" s="2" t="s">
        <v>43</v>
      </c>
      <c r="Q353" s="2"/>
      <c r="R353" s="2" t="s">
        <v>44</v>
      </c>
      <c r="S353" s="2">
        <v>8250215703</v>
      </c>
      <c r="T353" s="2" t="s">
        <v>1625</v>
      </c>
      <c r="U353" s="2"/>
      <c r="V353" s="2">
        <v>9680121756</v>
      </c>
      <c r="W353" s="2" t="s">
        <v>776</v>
      </c>
      <c r="X353" s="2">
        <v>36000</v>
      </c>
      <c r="Y353" s="2" t="s">
        <v>46</v>
      </c>
      <c r="Z353" s="2" t="s">
        <v>46</v>
      </c>
      <c r="AA353" s="2" t="s">
        <v>47</v>
      </c>
      <c r="AB353" s="2">
        <v>15</v>
      </c>
      <c r="AC353" s="2" t="s">
        <v>48</v>
      </c>
      <c r="AD353" s="2">
        <v>2</v>
      </c>
    </row>
    <row r="354" spans="1:30" ht="30" x14ac:dyDescent="0.25">
      <c r="A354" s="2">
        <v>10</v>
      </c>
      <c r="B354" s="2" t="s">
        <v>37</v>
      </c>
      <c r="C354" s="2">
        <v>13683</v>
      </c>
      <c r="D354" s="3">
        <v>44226</v>
      </c>
      <c r="E354" s="2" t="s">
        <v>1626</v>
      </c>
      <c r="F354" s="2"/>
      <c r="G354" s="2" t="s">
        <v>1161</v>
      </c>
      <c r="H354" s="2" t="s">
        <v>1162</v>
      </c>
      <c r="I354" s="2" t="s">
        <v>41</v>
      </c>
      <c r="J354" s="3">
        <v>38943</v>
      </c>
      <c r="K354" s="2"/>
      <c r="L354" s="2"/>
      <c r="M354" s="2">
        <v>43</v>
      </c>
      <c r="N354" s="2">
        <v>41</v>
      </c>
      <c r="O354" s="2" t="s">
        <v>78</v>
      </c>
      <c r="P354" s="2" t="s">
        <v>43</v>
      </c>
      <c r="Q354" s="2"/>
      <c r="R354" s="2" t="s">
        <v>44</v>
      </c>
      <c r="S354" s="2">
        <v>8250215703</v>
      </c>
      <c r="T354" s="2" t="s">
        <v>1627</v>
      </c>
      <c r="U354" s="2"/>
      <c r="V354" s="2">
        <v>6375912221</v>
      </c>
      <c r="W354" s="2" t="s">
        <v>1628</v>
      </c>
      <c r="X354" s="2">
        <v>180000</v>
      </c>
      <c r="Y354" s="2" t="s">
        <v>46</v>
      </c>
      <c r="Z354" s="2" t="s">
        <v>46</v>
      </c>
      <c r="AA354" s="2" t="s">
        <v>47</v>
      </c>
      <c r="AB354" s="2">
        <v>15</v>
      </c>
      <c r="AC354" s="2" t="s">
        <v>48</v>
      </c>
      <c r="AD354" s="2">
        <v>2</v>
      </c>
    </row>
    <row r="355" spans="1:30" ht="30" x14ac:dyDescent="0.25">
      <c r="A355" s="2">
        <v>10</v>
      </c>
      <c r="B355" s="2" t="s">
        <v>37</v>
      </c>
      <c r="C355" s="2">
        <v>13573</v>
      </c>
      <c r="D355" s="3">
        <v>44095</v>
      </c>
      <c r="E355" s="2" t="s">
        <v>1629</v>
      </c>
      <c r="F355" s="2"/>
      <c r="G355" s="2" t="s">
        <v>1630</v>
      </c>
      <c r="H355" s="2" t="s">
        <v>1631</v>
      </c>
      <c r="I355" s="2" t="s">
        <v>41</v>
      </c>
      <c r="J355" s="3">
        <v>38867</v>
      </c>
      <c r="K355" s="2"/>
      <c r="L355" s="2"/>
      <c r="M355" s="2">
        <v>43</v>
      </c>
      <c r="N355" s="2">
        <v>21</v>
      </c>
      <c r="O355" s="2" t="s">
        <v>53</v>
      </c>
      <c r="P355" s="2" t="s">
        <v>43</v>
      </c>
      <c r="Q355" s="2"/>
      <c r="R355" s="2" t="s">
        <v>44</v>
      </c>
      <c r="S355" s="2">
        <v>8250215703</v>
      </c>
      <c r="T355" s="2" t="s">
        <v>1632</v>
      </c>
      <c r="U355" s="2" t="s">
        <v>1633</v>
      </c>
      <c r="V355" s="2">
        <v>9950345392</v>
      </c>
      <c r="W355" s="2" t="s">
        <v>1634</v>
      </c>
      <c r="X355" s="2">
        <v>50000</v>
      </c>
      <c r="Y355" s="2" t="s">
        <v>46</v>
      </c>
      <c r="Z355" s="2" t="s">
        <v>240</v>
      </c>
      <c r="AA355" s="2" t="s">
        <v>47</v>
      </c>
      <c r="AB355" s="2">
        <v>15</v>
      </c>
      <c r="AC355" s="2" t="s">
        <v>48</v>
      </c>
      <c r="AD355" s="2">
        <v>1</v>
      </c>
    </row>
    <row r="356" spans="1:30" ht="30" x14ac:dyDescent="0.25">
      <c r="A356" s="2">
        <v>10</v>
      </c>
      <c r="B356" s="2" t="s">
        <v>37</v>
      </c>
      <c r="C356" s="2">
        <v>13062</v>
      </c>
      <c r="D356" s="3">
        <v>43285</v>
      </c>
      <c r="E356" s="2" t="s">
        <v>1635</v>
      </c>
      <c r="F356" s="2"/>
      <c r="G356" s="2" t="s">
        <v>1636</v>
      </c>
      <c r="H356" s="2" t="s">
        <v>941</v>
      </c>
      <c r="I356" s="2" t="s">
        <v>41</v>
      </c>
      <c r="J356" s="3">
        <v>38109</v>
      </c>
      <c r="K356" s="2"/>
      <c r="L356" s="2"/>
      <c r="M356" s="2">
        <v>43</v>
      </c>
      <c r="N356" s="2">
        <v>40</v>
      </c>
      <c r="O356" s="2" t="s">
        <v>78</v>
      </c>
      <c r="P356" s="2" t="s">
        <v>43</v>
      </c>
      <c r="Q356" s="2"/>
      <c r="R356" s="2" t="s">
        <v>44</v>
      </c>
      <c r="S356" s="2">
        <v>8250215703</v>
      </c>
      <c r="T356" s="2" t="s">
        <v>1637</v>
      </c>
      <c r="U356" s="2" t="s">
        <v>1638</v>
      </c>
      <c r="V356" s="2">
        <v>9829771530</v>
      </c>
      <c r="W356" s="2" t="s">
        <v>679</v>
      </c>
      <c r="X356" s="2">
        <v>36000</v>
      </c>
      <c r="Y356" s="2" t="s">
        <v>46</v>
      </c>
      <c r="Z356" s="2" t="s">
        <v>46</v>
      </c>
      <c r="AA356" s="2" t="s">
        <v>47</v>
      </c>
      <c r="AB356" s="2">
        <v>17</v>
      </c>
      <c r="AC356" s="2" t="s">
        <v>48</v>
      </c>
      <c r="AD356" s="2">
        <v>2</v>
      </c>
    </row>
    <row r="357" spans="1:30" ht="45" x14ac:dyDescent="0.25">
      <c r="A357" s="2">
        <v>10</v>
      </c>
      <c r="B357" s="2" t="s">
        <v>37</v>
      </c>
      <c r="C357" s="2">
        <v>13779</v>
      </c>
      <c r="D357" s="3">
        <v>44399</v>
      </c>
      <c r="E357" s="2" t="s">
        <v>1639</v>
      </c>
      <c r="F357" s="2"/>
      <c r="G357" s="2" t="s">
        <v>1640</v>
      </c>
      <c r="H357" s="2" t="s">
        <v>1641</v>
      </c>
      <c r="I357" s="2" t="s">
        <v>41</v>
      </c>
      <c r="J357" s="3">
        <v>38635</v>
      </c>
      <c r="K357" s="2"/>
      <c r="L357" s="2"/>
      <c r="M357" s="2">
        <v>43</v>
      </c>
      <c r="N357" s="2">
        <v>43</v>
      </c>
      <c r="O357" s="2" t="s">
        <v>53</v>
      </c>
      <c r="P357" s="2" t="s">
        <v>43</v>
      </c>
      <c r="Q357" s="2"/>
      <c r="R357" s="2" t="s">
        <v>44</v>
      </c>
      <c r="S357" s="2">
        <v>8250215703</v>
      </c>
      <c r="T357" s="2" t="s">
        <v>1642</v>
      </c>
      <c r="U357" s="2" t="s">
        <v>1643</v>
      </c>
      <c r="V357" s="2">
        <v>8090185090</v>
      </c>
      <c r="W357" s="2" t="s">
        <v>1644</v>
      </c>
      <c r="X357" s="2">
        <v>96000</v>
      </c>
      <c r="Y357" s="2" t="s">
        <v>46</v>
      </c>
      <c r="Z357" s="2" t="s">
        <v>46</v>
      </c>
      <c r="AA357" s="2" t="s">
        <v>47</v>
      </c>
      <c r="AB357" s="2">
        <v>16</v>
      </c>
      <c r="AC357" s="2" t="s">
        <v>1645</v>
      </c>
      <c r="AD357" s="2">
        <v>2</v>
      </c>
    </row>
    <row r="358" spans="1:30" ht="45" x14ac:dyDescent="0.25">
      <c r="A358" s="2">
        <v>10</v>
      </c>
      <c r="B358" s="2" t="s">
        <v>37</v>
      </c>
      <c r="C358" s="2">
        <v>13520</v>
      </c>
      <c r="D358" s="3">
        <v>44074</v>
      </c>
      <c r="E358" s="2" t="s">
        <v>1646</v>
      </c>
      <c r="F358" s="2"/>
      <c r="G358" s="2" t="s">
        <v>1647</v>
      </c>
      <c r="H358" s="2" t="s">
        <v>1081</v>
      </c>
      <c r="I358" s="2" t="s">
        <v>41</v>
      </c>
      <c r="J358" s="3">
        <v>38340</v>
      </c>
      <c r="K358" s="2"/>
      <c r="L358" s="2"/>
      <c r="M358" s="2">
        <v>43</v>
      </c>
      <c r="N358" s="2">
        <v>41</v>
      </c>
      <c r="O358" s="2" t="s">
        <v>78</v>
      </c>
      <c r="P358" s="2" t="s">
        <v>43</v>
      </c>
      <c r="Q358" s="2"/>
      <c r="R358" s="2" t="s">
        <v>44</v>
      </c>
      <c r="S358" s="2">
        <v>8250215703</v>
      </c>
      <c r="T358" s="2" t="s">
        <v>1648</v>
      </c>
      <c r="U358" s="2" t="s">
        <v>1649</v>
      </c>
      <c r="V358" s="2">
        <v>9024316569</v>
      </c>
      <c r="W358" s="2" t="s">
        <v>1650</v>
      </c>
      <c r="X358" s="2">
        <v>24000</v>
      </c>
      <c r="Y358" s="2" t="s">
        <v>46</v>
      </c>
      <c r="Z358" s="2" t="s">
        <v>46</v>
      </c>
      <c r="AA358" s="2" t="s">
        <v>47</v>
      </c>
      <c r="AB358" s="2">
        <v>17</v>
      </c>
      <c r="AC358" s="2" t="s">
        <v>48</v>
      </c>
      <c r="AD358" s="2">
        <v>2</v>
      </c>
    </row>
    <row r="359" spans="1:30" ht="45" x14ac:dyDescent="0.25">
      <c r="A359" s="2">
        <v>10</v>
      </c>
      <c r="B359" s="2" t="s">
        <v>37</v>
      </c>
      <c r="C359" s="2">
        <v>13274</v>
      </c>
      <c r="D359" s="3">
        <v>43655</v>
      </c>
      <c r="E359" s="2" t="s">
        <v>1651</v>
      </c>
      <c r="F359" s="2"/>
      <c r="G359" s="2" t="s">
        <v>1652</v>
      </c>
      <c r="H359" s="2" t="s">
        <v>1544</v>
      </c>
      <c r="I359" s="2" t="s">
        <v>41</v>
      </c>
      <c r="J359" s="3">
        <v>38457</v>
      </c>
      <c r="K359" s="2"/>
      <c r="L359" s="2"/>
      <c r="M359" s="2">
        <v>43</v>
      </c>
      <c r="N359" s="2">
        <v>42</v>
      </c>
      <c r="O359" s="2" t="s">
        <v>53</v>
      </c>
      <c r="P359" s="2" t="s">
        <v>43</v>
      </c>
      <c r="Q359" s="2"/>
      <c r="R359" s="2" t="s">
        <v>44</v>
      </c>
      <c r="S359" s="2">
        <v>8250215703</v>
      </c>
      <c r="T359" s="2" t="s">
        <v>1434</v>
      </c>
      <c r="U359" s="2" t="s">
        <v>1653</v>
      </c>
      <c r="V359" s="2">
        <v>6372159030</v>
      </c>
      <c r="W359" s="2" t="s">
        <v>1654</v>
      </c>
      <c r="X359" s="2">
        <v>50000</v>
      </c>
      <c r="Y359" s="2" t="s">
        <v>46</v>
      </c>
      <c r="Z359" s="2" t="s">
        <v>46</v>
      </c>
      <c r="AA359" s="2" t="s">
        <v>47</v>
      </c>
      <c r="AB359" s="2">
        <v>16</v>
      </c>
      <c r="AC359" s="2" t="s">
        <v>48</v>
      </c>
      <c r="AD359" s="2">
        <v>4</v>
      </c>
    </row>
    <row r="360" spans="1:30" ht="30" x14ac:dyDescent="0.25">
      <c r="A360" s="2">
        <v>10</v>
      </c>
      <c r="B360" s="2" t="s">
        <v>37</v>
      </c>
      <c r="C360" s="2">
        <v>13447</v>
      </c>
      <c r="D360" s="3">
        <v>44047</v>
      </c>
      <c r="E360" s="2" t="s">
        <v>1655</v>
      </c>
      <c r="F360" s="2"/>
      <c r="G360" s="2" t="s">
        <v>1006</v>
      </c>
      <c r="H360" s="2" t="s">
        <v>1656</v>
      </c>
      <c r="I360" s="2" t="s">
        <v>41</v>
      </c>
      <c r="J360" s="3">
        <v>38647</v>
      </c>
      <c r="K360" s="2"/>
      <c r="L360" s="2"/>
      <c r="M360" s="2">
        <v>43</v>
      </c>
      <c r="N360" s="2">
        <v>40</v>
      </c>
      <c r="O360" s="2" t="s">
        <v>53</v>
      </c>
      <c r="P360" s="2" t="s">
        <v>43</v>
      </c>
      <c r="Q360" s="2"/>
      <c r="R360" s="2" t="s">
        <v>44</v>
      </c>
      <c r="S360" s="2">
        <v>8250215703</v>
      </c>
      <c r="T360" s="2" t="s">
        <v>1657</v>
      </c>
      <c r="U360" s="2"/>
      <c r="V360" s="2">
        <v>8769035884</v>
      </c>
      <c r="W360" s="2" t="s">
        <v>1658</v>
      </c>
      <c r="X360" s="2">
        <v>0</v>
      </c>
      <c r="Y360" s="2" t="s">
        <v>46</v>
      </c>
      <c r="Z360" s="2" t="s">
        <v>46</v>
      </c>
      <c r="AA360" s="2" t="s">
        <v>47</v>
      </c>
      <c r="AB360" s="2">
        <v>16</v>
      </c>
      <c r="AC360" s="2" t="s">
        <v>48</v>
      </c>
      <c r="AD360" s="2">
        <v>2</v>
      </c>
    </row>
    <row r="361" spans="1:30" ht="30" x14ac:dyDescent="0.25">
      <c r="A361" s="2">
        <v>10</v>
      </c>
      <c r="B361" s="2" t="s">
        <v>37</v>
      </c>
      <c r="C361" s="2">
        <v>13474</v>
      </c>
      <c r="D361" s="3">
        <v>44047</v>
      </c>
      <c r="E361" s="2" t="s">
        <v>1659</v>
      </c>
      <c r="F361" s="2"/>
      <c r="G361" s="2" t="s">
        <v>1414</v>
      </c>
      <c r="H361" s="2" t="s">
        <v>1061</v>
      </c>
      <c r="I361" s="2" t="s">
        <v>41</v>
      </c>
      <c r="J361" s="3">
        <v>39022</v>
      </c>
      <c r="K361" s="2"/>
      <c r="L361" s="2"/>
      <c r="M361" s="2">
        <v>43</v>
      </c>
      <c r="N361" s="2">
        <v>41</v>
      </c>
      <c r="O361" s="2" t="s">
        <v>53</v>
      </c>
      <c r="P361" s="2" t="s">
        <v>43</v>
      </c>
      <c r="Q361" s="2"/>
      <c r="R361" s="2" t="s">
        <v>44</v>
      </c>
      <c r="S361" s="2">
        <v>8250215703</v>
      </c>
      <c r="T361" s="2" t="s">
        <v>1660</v>
      </c>
      <c r="U361" s="2" t="s">
        <v>1661</v>
      </c>
      <c r="V361" s="2">
        <v>8890876776</v>
      </c>
      <c r="W361" s="2" t="s">
        <v>1662</v>
      </c>
      <c r="X361" s="2">
        <v>72000</v>
      </c>
      <c r="Y361" s="2" t="s">
        <v>46</v>
      </c>
      <c r="Z361" s="2" t="s">
        <v>46</v>
      </c>
      <c r="AA361" s="2" t="s">
        <v>47</v>
      </c>
      <c r="AB361" s="2">
        <v>15</v>
      </c>
      <c r="AC361" s="2" t="s">
        <v>48</v>
      </c>
      <c r="AD361" s="2">
        <v>2</v>
      </c>
    </row>
    <row r="362" spans="1:30" ht="30" x14ac:dyDescent="0.25">
      <c r="A362" s="2">
        <v>10</v>
      </c>
      <c r="B362" s="2" t="s">
        <v>37</v>
      </c>
      <c r="C362" s="2">
        <v>13517</v>
      </c>
      <c r="D362" s="3">
        <v>44074</v>
      </c>
      <c r="E362" s="2" t="s">
        <v>1663</v>
      </c>
      <c r="F362" s="2"/>
      <c r="G362" s="2" t="s">
        <v>1664</v>
      </c>
      <c r="H362" s="2" t="s">
        <v>1665</v>
      </c>
      <c r="I362" s="2" t="s">
        <v>41</v>
      </c>
      <c r="J362" s="3">
        <v>38886</v>
      </c>
      <c r="K362" s="2"/>
      <c r="L362" s="2"/>
      <c r="M362" s="2">
        <v>43</v>
      </c>
      <c r="N362" s="2">
        <v>43</v>
      </c>
      <c r="O362" s="2" t="s">
        <v>78</v>
      </c>
      <c r="P362" s="2" t="s">
        <v>43</v>
      </c>
      <c r="Q362" s="2"/>
      <c r="R362" s="2" t="s">
        <v>44</v>
      </c>
      <c r="S362" s="2">
        <v>8250215703</v>
      </c>
      <c r="T362" s="2" t="s">
        <v>1666</v>
      </c>
      <c r="U362" s="2" t="s">
        <v>1667</v>
      </c>
      <c r="V362" s="2">
        <v>7792805122</v>
      </c>
      <c r="W362" s="2" t="s">
        <v>1668</v>
      </c>
      <c r="X362" s="2">
        <v>36000</v>
      </c>
      <c r="Y362" s="2" t="s">
        <v>46</v>
      </c>
      <c r="Z362" s="2" t="s">
        <v>46</v>
      </c>
      <c r="AA362" s="2" t="s">
        <v>47</v>
      </c>
      <c r="AB362" s="2">
        <v>15</v>
      </c>
      <c r="AC362" s="2" t="s">
        <v>48</v>
      </c>
      <c r="AD362" s="2">
        <v>1</v>
      </c>
    </row>
    <row r="363" spans="1:30" ht="30" x14ac:dyDescent="0.25">
      <c r="A363" s="2">
        <v>10</v>
      </c>
      <c r="B363" s="2" t="s">
        <v>37</v>
      </c>
      <c r="C363" s="2">
        <v>12306</v>
      </c>
      <c r="D363" s="3">
        <v>42548</v>
      </c>
      <c r="E363" s="2" t="s">
        <v>1669</v>
      </c>
      <c r="F363" s="2"/>
      <c r="G363" s="2" t="s">
        <v>1670</v>
      </c>
      <c r="H363" s="2" t="s">
        <v>1671</v>
      </c>
      <c r="I363" s="2" t="s">
        <v>41</v>
      </c>
      <c r="J363" s="3">
        <v>37791</v>
      </c>
      <c r="K363" s="2"/>
      <c r="L363" s="2"/>
      <c r="M363" s="2">
        <v>43</v>
      </c>
      <c r="N363" s="2">
        <v>43</v>
      </c>
      <c r="O363" s="2" t="s">
        <v>53</v>
      </c>
      <c r="P363" s="2" t="s">
        <v>43</v>
      </c>
      <c r="Q363" s="2"/>
      <c r="R363" s="2" t="s">
        <v>44</v>
      </c>
      <c r="S363" s="2">
        <v>8250215703</v>
      </c>
      <c r="T363" s="2" t="s">
        <v>1672</v>
      </c>
      <c r="U363" s="2"/>
      <c r="V363" s="2">
        <v>8890880023</v>
      </c>
      <c r="W363" s="2" t="s">
        <v>1673</v>
      </c>
      <c r="X363" s="2">
        <v>0</v>
      </c>
      <c r="Y363" s="2" t="s">
        <v>46</v>
      </c>
      <c r="Z363" s="2" t="s">
        <v>46</v>
      </c>
      <c r="AA363" s="2" t="s">
        <v>47</v>
      </c>
      <c r="AB363" s="2">
        <v>18</v>
      </c>
      <c r="AC363" s="2" t="s">
        <v>48</v>
      </c>
      <c r="AD363" s="2">
        <v>0</v>
      </c>
    </row>
    <row r="364" spans="1:30" ht="30" x14ac:dyDescent="0.25">
      <c r="A364" s="2">
        <v>10</v>
      </c>
      <c r="B364" s="2" t="s">
        <v>1108</v>
      </c>
      <c r="C364" s="2">
        <v>13591</v>
      </c>
      <c r="D364" s="3">
        <v>44109</v>
      </c>
      <c r="E364" s="2" t="s">
        <v>1674</v>
      </c>
      <c r="F364" s="2"/>
      <c r="G364" s="2" t="s">
        <v>1675</v>
      </c>
      <c r="H364" s="2" t="s">
        <v>1676</v>
      </c>
      <c r="I364" s="2" t="s">
        <v>41</v>
      </c>
      <c r="J364" s="3">
        <v>38642</v>
      </c>
      <c r="K364" s="2"/>
      <c r="L364" s="2"/>
      <c r="M364" s="2">
        <v>43</v>
      </c>
      <c r="N364" s="2">
        <v>30</v>
      </c>
      <c r="O364" s="2" t="s">
        <v>53</v>
      </c>
      <c r="P364" s="2" t="s">
        <v>54</v>
      </c>
      <c r="Q364" s="2"/>
      <c r="R364" s="2" t="s">
        <v>44</v>
      </c>
      <c r="S364" s="2">
        <v>8250215703</v>
      </c>
      <c r="T364" s="2" t="s">
        <v>1677</v>
      </c>
      <c r="U364" s="2" t="s">
        <v>1678</v>
      </c>
      <c r="V364" s="2">
        <v>9636880782</v>
      </c>
      <c r="W364" s="2" t="s">
        <v>1679</v>
      </c>
      <c r="X364" s="2">
        <v>36000</v>
      </c>
      <c r="Y364" s="2" t="s">
        <v>46</v>
      </c>
      <c r="Z364" s="2" t="s">
        <v>46</v>
      </c>
      <c r="AA364" s="2" t="s">
        <v>57</v>
      </c>
      <c r="AB364" s="2">
        <v>16</v>
      </c>
      <c r="AC364" s="2" t="s">
        <v>48</v>
      </c>
      <c r="AD364" s="2">
        <v>2</v>
      </c>
    </row>
    <row r="365" spans="1:30" ht="30" x14ac:dyDescent="0.25">
      <c r="A365" s="2">
        <v>10</v>
      </c>
      <c r="B365" s="2" t="s">
        <v>1108</v>
      </c>
      <c r="C365" s="2">
        <v>13470</v>
      </c>
      <c r="D365" s="3">
        <v>44047</v>
      </c>
      <c r="E365" s="2" t="s">
        <v>1680</v>
      </c>
      <c r="F365" s="2"/>
      <c r="G365" s="2" t="s">
        <v>1681</v>
      </c>
      <c r="H365" s="2" t="s">
        <v>1086</v>
      </c>
      <c r="I365" s="2" t="s">
        <v>41</v>
      </c>
      <c r="J365" s="3">
        <v>39088</v>
      </c>
      <c r="K365" s="2"/>
      <c r="L365" s="2"/>
      <c r="M365" s="2">
        <v>43</v>
      </c>
      <c r="N365" s="2">
        <v>39</v>
      </c>
      <c r="O365" s="2" t="s">
        <v>78</v>
      </c>
      <c r="P365" s="2" t="s">
        <v>43</v>
      </c>
      <c r="Q365" s="2"/>
      <c r="R365" s="2" t="s">
        <v>44</v>
      </c>
      <c r="S365" s="2">
        <v>8250215703</v>
      </c>
      <c r="T365" s="2" t="s">
        <v>1682</v>
      </c>
      <c r="U365" s="2" t="s">
        <v>1683</v>
      </c>
      <c r="V365" s="2">
        <v>8696841001</v>
      </c>
      <c r="W365" s="2" t="s">
        <v>1684</v>
      </c>
      <c r="X365" s="2">
        <v>48000</v>
      </c>
      <c r="Y365" s="2" t="s">
        <v>46</v>
      </c>
      <c r="Z365" s="2" t="s">
        <v>46</v>
      </c>
      <c r="AA365" s="2" t="s">
        <v>47</v>
      </c>
      <c r="AB365" s="2">
        <v>14</v>
      </c>
      <c r="AC365" s="2" t="s">
        <v>48</v>
      </c>
      <c r="AD365" s="2">
        <v>3</v>
      </c>
    </row>
    <row r="366" spans="1:30" ht="30" x14ac:dyDescent="0.25">
      <c r="A366" s="2">
        <v>10</v>
      </c>
      <c r="B366" s="2" t="s">
        <v>1108</v>
      </c>
      <c r="C366" s="2">
        <v>13131</v>
      </c>
      <c r="D366" s="3">
        <v>43300</v>
      </c>
      <c r="E366" s="2" t="s">
        <v>1139</v>
      </c>
      <c r="F366" s="2"/>
      <c r="G366" s="2" t="s">
        <v>982</v>
      </c>
      <c r="H366" s="2" t="s">
        <v>1151</v>
      </c>
      <c r="I366" s="2" t="s">
        <v>41</v>
      </c>
      <c r="J366" s="3">
        <v>39308</v>
      </c>
      <c r="K366" s="2"/>
      <c r="L366" s="2"/>
      <c r="M366" s="2">
        <v>43</v>
      </c>
      <c r="N366" s="2">
        <v>40</v>
      </c>
      <c r="O366" s="2" t="s">
        <v>53</v>
      </c>
      <c r="P366" s="2" t="s">
        <v>43</v>
      </c>
      <c r="Q366" s="2"/>
      <c r="R366" s="2" t="s">
        <v>44</v>
      </c>
      <c r="S366" s="2">
        <v>8250215703</v>
      </c>
      <c r="T366" s="2" t="s">
        <v>1685</v>
      </c>
      <c r="U366" s="2"/>
      <c r="V366" s="2">
        <v>9985246582</v>
      </c>
      <c r="W366" s="2" t="s">
        <v>1686</v>
      </c>
      <c r="X366" s="2">
        <v>0</v>
      </c>
      <c r="Y366" s="2" t="s">
        <v>46</v>
      </c>
      <c r="Z366" s="2" t="s">
        <v>46</v>
      </c>
      <c r="AA366" s="2" t="s">
        <v>47</v>
      </c>
      <c r="AB366" s="2">
        <v>14</v>
      </c>
      <c r="AC366" s="2" t="s">
        <v>48</v>
      </c>
      <c r="AD366" s="2">
        <v>5</v>
      </c>
    </row>
    <row r="367" spans="1:30" ht="30" x14ac:dyDescent="0.25">
      <c r="A367" s="2">
        <v>10</v>
      </c>
      <c r="B367" s="2" t="s">
        <v>1108</v>
      </c>
      <c r="C367" s="2">
        <v>13547</v>
      </c>
      <c r="D367" s="3">
        <v>44083</v>
      </c>
      <c r="E367" s="2" t="s">
        <v>1687</v>
      </c>
      <c r="F367" s="2"/>
      <c r="G367" s="2" t="s">
        <v>1688</v>
      </c>
      <c r="H367" s="2" t="s">
        <v>1178</v>
      </c>
      <c r="I367" s="2" t="s">
        <v>41</v>
      </c>
      <c r="J367" s="3">
        <v>38681</v>
      </c>
      <c r="K367" s="2"/>
      <c r="L367" s="2"/>
      <c r="M367" s="2">
        <v>43</v>
      </c>
      <c r="N367" s="2">
        <v>40</v>
      </c>
      <c r="O367" s="2" t="s">
        <v>53</v>
      </c>
      <c r="P367" s="2" t="s">
        <v>43</v>
      </c>
      <c r="Q367" s="2"/>
      <c r="R367" s="2" t="s">
        <v>44</v>
      </c>
      <c r="S367" s="2">
        <v>8250215703</v>
      </c>
      <c r="T367" s="2" t="s">
        <v>1573</v>
      </c>
      <c r="U367" s="2" t="s">
        <v>1689</v>
      </c>
      <c r="V367" s="2">
        <v>7742282553</v>
      </c>
      <c r="W367" s="2" t="s">
        <v>1690</v>
      </c>
      <c r="X367" s="2">
        <v>42000</v>
      </c>
      <c r="Y367" s="2" t="s">
        <v>46</v>
      </c>
      <c r="Z367" s="2" t="s">
        <v>46</v>
      </c>
      <c r="AA367" s="2" t="s">
        <v>47</v>
      </c>
      <c r="AB367" s="2">
        <v>16</v>
      </c>
      <c r="AC367" s="2" t="s">
        <v>48</v>
      </c>
      <c r="AD367" s="2">
        <v>0</v>
      </c>
    </row>
    <row r="368" spans="1:30" ht="45" x14ac:dyDescent="0.25">
      <c r="A368" s="2">
        <v>10</v>
      </c>
      <c r="B368" s="2" t="s">
        <v>1108</v>
      </c>
      <c r="C368" s="2">
        <v>12839</v>
      </c>
      <c r="D368" s="3">
        <v>42935</v>
      </c>
      <c r="E368" s="2" t="s">
        <v>1144</v>
      </c>
      <c r="F368" s="2" t="s">
        <v>229</v>
      </c>
      <c r="G368" s="2" t="s">
        <v>828</v>
      </c>
      <c r="H368" s="2" t="s">
        <v>941</v>
      </c>
      <c r="I368" s="2" t="s">
        <v>41</v>
      </c>
      <c r="J368" s="3">
        <v>39171</v>
      </c>
      <c r="K368" s="2"/>
      <c r="L368" s="2"/>
      <c r="M368" s="2">
        <v>43</v>
      </c>
      <c r="N368" s="2">
        <v>40</v>
      </c>
      <c r="O368" s="2" t="s">
        <v>53</v>
      </c>
      <c r="P368" s="2" t="s">
        <v>43</v>
      </c>
      <c r="Q368" s="2"/>
      <c r="R368" s="2" t="s">
        <v>44</v>
      </c>
      <c r="S368" s="2">
        <v>8250215703</v>
      </c>
      <c r="T368" s="2" t="s">
        <v>1691</v>
      </c>
      <c r="U368" s="2" t="s">
        <v>1692</v>
      </c>
      <c r="V368" s="2">
        <v>9680763125</v>
      </c>
      <c r="W368" s="2" t="s">
        <v>1693</v>
      </c>
      <c r="X368" s="2">
        <v>24000</v>
      </c>
      <c r="Y368" s="2" t="s">
        <v>46</v>
      </c>
      <c r="Z368" s="2" t="s">
        <v>46</v>
      </c>
      <c r="AA368" s="2" t="s">
        <v>47</v>
      </c>
      <c r="AB368" s="2">
        <v>14</v>
      </c>
      <c r="AC368" s="2" t="s">
        <v>48</v>
      </c>
      <c r="AD368" s="2">
        <v>10</v>
      </c>
    </row>
    <row r="369" spans="1:30" ht="30" x14ac:dyDescent="0.25">
      <c r="A369" s="2">
        <v>10</v>
      </c>
      <c r="B369" s="2" t="s">
        <v>1108</v>
      </c>
      <c r="C369" s="2">
        <v>13883</v>
      </c>
      <c r="D369" s="3">
        <v>44413</v>
      </c>
      <c r="E369" s="2" t="s">
        <v>1144</v>
      </c>
      <c r="F369" s="2"/>
      <c r="G369" s="2" t="s">
        <v>780</v>
      </c>
      <c r="H369" s="2" t="s">
        <v>1694</v>
      </c>
      <c r="I369" s="2" t="s">
        <v>41</v>
      </c>
      <c r="J369" s="3">
        <v>38985</v>
      </c>
      <c r="K369" s="2"/>
      <c r="L369" s="2"/>
      <c r="M369" s="2">
        <v>43</v>
      </c>
      <c r="N369" s="2">
        <v>56</v>
      </c>
      <c r="O369" s="2" t="s">
        <v>53</v>
      </c>
      <c r="P369" s="2" t="s">
        <v>43</v>
      </c>
      <c r="Q369" s="2"/>
      <c r="R369" s="2" t="s">
        <v>44</v>
      </c>
      <c r="S369" s="2">
        <v>8250215703</v>
      </c>
      <c r="T369" s="2" t="s">
        <v>1695</v>
      </c>
      <c r="U369" s="2" t="s">
        <v>1696</v>
      </c>
      <c r="V369" s="2">
        <v>9352592603</v>
      </c>
      <c r="W369" s="2" t="s">
        <v>1634</v>
      </c>
      <c r="X369" s="2">
        <v>36000</v>
      </c>
      <c r="Y369" s="2" t="s">
        <v>46</v>
      </c>
      <c r="Z369" s="2" t="s">
        <v>46</v>
      </c>
      <c r="AA369" s="2" t="s">
        <v>47</v>
      </c>
      <c r="AB369" s="2">
        <v>15</v>
      </c>
      <c r="AC369" s="2" t="s">
        <v>48</v>
      </c>
      <c r="AD369" s="2">
        <v>0.5</v>
      </c>
    </row>
    <row r="370" spans="1:30" ht="30" x14ac:dyDescent="0.25">
      <c r="A370" s="2">
        <v>10</v>
      </c>
      <c r="B370" s="2" t="s">
        <v>1108</v>
      </c>
      <c r="C370" s="2">
        <v>12282</v>
      </c>
      <c r="D370" s="3">
        <v>42548</v>
      </c>
      <c r="E370" s="2" t="s">
        <v>1697</v>
      </c>
      <c r="F370" s="2"/>
      <c r="G370" s="2" t="s">
        <v>1698</v>
      </c>
      <c r="H370" s="2" t="s">
        <v>695</v>
      </c>
      <c r="I370" s="2" t="s">
        <v>41</v>
      </c>
      <c r="J370" s="3">
        <v>38763</v>
      </c>
      <c r="K370" s="2"/>
      <c r="L370" s="2"/>
      <c r="M370" s="2">
        <v>43</v>
      </c>
      <c r="N370" s="2">
        <v>37</v>
      </c>
      <c r="O370" s="2" t="s">
        <v>78</v>
      </c>
      <c r="P370" s="2" t="s">
        <v>43</v>
      </c>
      <c r="Q370" s="2"/>
      <c r="R370" s="2" t="s">
        <v>44</v>
      </c>
      <c r="S370" s="2">
        <v>8250215703</v>
      </c>
      <c r="T370" s="2" t="s">
        <v>1699</v>
      </c>
      <c r="U370" s="2" t="s">
        <v>1700</v>
      </c>
      <c r="V370" s="2">
        <v>9636465942</v>
      </c>
      <c r="W370" s="2" t="s">
        <v>655</v>
      </c>
      <c r="X370" s="2">
        <v>36000</v>
      </c>
      <c r="Y370" s="2" t="s">
        <v>46</v>
      </c>
      <c r="Z370" s="2" t="s">
        <v>46</v>
      </c>
      <c r="AA370" s="2" t="s">
        <v>47</v>
      </c>
      <c r="AB370" s="2">
        <v>15</v>
      </c>
      <c r="AC370" s="2" t="s">
        <v>48</v>
      </c>
      <c r="AD370" s="2">
        <v>1</v>
      </c>
    </row>
    <row r="371" spans="1:30" ht="30" x14ac:dyDescent="0.25">
      <c r="A371" s="2">
        <v>10</v>
      </c>
      <c r="B371" s="2" t="s">
        <v>1108</v>
      </c>
      <c r="C371" s="2">
        <v>13486</v>
      </c>
      <c r="D371" s="3">
        <v>44063</v>
      </c>
      <c r="E371" s="2" t="s">
        <v>1701</v>
      </c>
      <c r="F371" s="2"/>
      <c r="G371" s="2" t="s">
        <v>1702</v>
      </c>
      <c r="H371" s="2" t="s">
        <v>819</v>
      </c>
      <c r="I371" s="2" t="s">
        <v>41</v>
      </c>
      <c r="J371" s="3">
        <v>38735</v>
      </c>
      <c r="K371" s="2"/>
      <c r="L371" s="2"/>
      <c r="M371" s="2">
        <v>43</v>
      </c>
      <c r="N371" s="2">
        <v>36</v>
      </c>
      <c r="O371" s="2" t="s">
        <v>53</v>
      </c>
      <c r="P371" s="2" t="s">
        <v>43</v>
      </c>
      <c r="Q371" s="2"/>
      <c r="R371" s="2" t="s">
        <v>44</v>
      </c>
      <c r="S371" s="2">
        <v>8250215703</v>
      </c>
      <c r="T371" s="2" t="s">
        <v>1703</v>
      </c>
      <c r="U371" s="2" t="s">
        <v>1704</v>
      </c>
      <c r="V371" s="2">
        <v>8003373188</v>
      </c>
      <c r="W371" s="2" t="s">
        <v>1064</v>
      </c>
      <c r="X371" s="2">
        <v>40000</v>
      </c>
      <c r="Y371" s="2" t="s">
        <v>46</v>
      </c>
      <c r="Z371" s="2" t="s">
        <v>46</v>
      </c>
      <c r="AA371" s="2" t="s">
        <v>47</v>
      </c>
      <c r="AB371" s="2">
        <v>15</v>
      </c>
      <c r="AC371" s="2" t="s">
        <v>48</v>
      </c>
      <c r="AD371" s="2">
        <v>2</v>
      </c>
    </row>
    <row r="372" spans="1:30" ht="45" x14ac:dyDescent="0.25">
      <c r="A372" s="2">
        <v>10</v>
      </c>
      <c r="B372" s="2" t="s">
        <v>1108</v>
      </c>
      <c r="C372" s="2">
        <v>13742</v>
      </c>
      <c r="D372" s="3">
        <v>44393</v>
      </c>
      <c r="E372" s="2" t="s">
        <v>1705</v>
      </c>
      <c r="F372" s="2"/>
      <c r="G372" s="2" t="s">
        <v>1706</v>
      </c>
      <c r="H372" s="2" t="s">
        <v>1707</v>
      </c>
      <c r="I372" s="2" t="s">
        <v>41</v>
      </c>
      <c r="J372" s="3">
        <v>38821</v>
      </c>
      <c r="K372" s="2"/>
      <c r="L372" s="2"/>
      <c r="M372" s="2">
        <v>43</v>
      </c>
      <c r="N372" s="2">
        <v>38</v>
      </c>
      <c r="O372" s="2" t="s">
        <v>53</v>
      </c>
      <c r="P372" s="2" t="s">
        <v>43</v>
      </c>
      <c r="Q372" s="2"/>
      <c r="R372" s="2" t="s">
        <v>44</v>
      </c>
      <c r="S372" s="2">
        <v>8250215703</v>
      </c>
      <c r="T372" s="2" t="s">
        <v>1708</v>
      </c>
      <c r="U372" s="2" t="s">
        <v>1709</v>
      </c>
      <c r="V372" s="2">
        <v>9024100200</v>
      </c>
      <c r="W372" s="2" t="s">
        <v>1710</v>
      </c>
      <c r="X372" s="2">
        <v>36000</v>
      </c>
      <c r="Y372" s="2" t="s">
        <v>46</v>
      </c>
      <c r="Z372" s="2" t="s">
        <v>46</v>
      </c>
      <c r="AA372" s="2" t="s">
        <v>47</v>
      </c>
      <c r="AB372" s="2">
        <v>15</v>
      </c>
      <c r="AC372" s="2" t="s">
        <v>48</v>
      </c>
      <c r="AD372" s="2">
        <v>3</v>
      </c>
    </row>
    <row r="373" spans="1:30" ht="30" x14ac:dyDescent="0.25">
      <c r="A373" s="2">
        <v>10</v>
      </c>
      <c r="B373" s="2" t="s">
        <v>1108</v>
      </c>
      <c r="C373" s="2">
        <v>13473</v>
      </c>
      <c r="D373" s="3">
        <v>44047</v>
      </c>
      <c r="E373" s="2" t="s">
        <v>1711</v>
      </c>
      <c r="F373" s="2"/>
      <c r="G373" s="2" t="s">
        <v>1712</v>
      </c>
      <c r="H373" s="2" t="s">
        <v>1713</v>
      </c>
      <c r="I373" s="2" t="s">
        <v>41</v>
      </c>
      <c r="J373" s="3">
        <v>39404</v>
      </c>
      <c r="K373" s="2"/>
      <c r="L373" s="2"/>
      <c r="M373" s="2">
        <v>43</v>
      </c>
      <c r="N373" s="2">
        <v>37</v>
      </c>
      <c r="O373" s="2" t="s">
        <v>53</v>
      </c>
      <c r="P373" s="2" t="s">
        <v>54</v>
      </c>
      <c r="Q373" s="2"/>
      <c r="R373" s="2" t="s">
        <v>44</v>
      </c>
      <c r="S373" s="2">
        <v>8250215703</v>
      </c>
      <c r="T373" s="2" t="s">
        <v>1714</v>
      </c>
      <c r="U373" s="2" t="s">
        <v>1715</v>
      </c>
      <c r="V373" s="2">
        <v>7568488045</v>
      </c>
      <c r="W373" s="2" t="s">
        <v>776</v>
      </c>
      <c r="X373" s="2">
        <v>48000</v>
      </c>
      <c r="Y373" s="2" t="s">
        <v>46</v>
      </c>
      <c r="Z373" s="2" t="s">
        <v>46</v>
      </c>
      <c r="AA373" s="2" t="s">
        <v>57</v>
      </c>
      <c r="AB373" s="2">
        <v>14</v>
      </c>
      <c r="AC373" s="2" t="s">
        <v>48</v>
      </c>
      <c r="AD373" s="2">
        <v>0.5</v>
      </c>
    </row>
    <row r="374" spans="1:30" ht="30" x14ac:dyDescent="0.25">
      <c r="A374" s="2">
        <v>10</v>
      </c>
      <c r="B374" s="2" t="s">
        <v>1108</v>
      </c>
      <c r="C374" s="2">
        <v>12283</v>
      </c>
      <c r="D374" s="3">
        <v>42548</v>
      </c>
      <c r="E374" s="2" t="s">
        <v>1716</v>
      </c>
      <c r="F374" s="2"/>
      <c r="G374" s="2" t="s">
        <v>1717</v>
      </c>
      <c r="H374" s="2" t="s">
        <v>1718</v>
      </c>
      <c r="I374" s="2" t="s">
        <v>41</v>
      </c>
      <c r="J374" s="3">
        <v>39320</v>
      </c>
      <c r="K374" s="2"/>
      <c r="L374" s="2"/>
      <c r="M374" s="2">
        <v>43</v>
      </c>
      <c r="N374" s="2">
        <v>36</v>
      </c>
      <c r="O374" s="2" t="s">
        <v>53</v>
      </c>
      <c r="P374" s="2" t="s">
        <v>54</v>
      </c>
      <c r="Q374" s="2"/>
      <c r="R374" s="2" t="s">
        <v>44</v>
      </c>
      <c r="S374" s="2">
        <v>8250215703</v>
      </c>
      <c r="T374" s="2" t="s">
        <v>1719</v>
      </c>
      <c r="U374" s="2" t="s">
        <v>1720</v>
      </c>
      <c r="V374" s="2">
        <v>8696025799</v>
      </c>
      <c r="W374" s="2" t="s">
        <v>491</v>
      </c>
      <c r="X374" s="2">
        <v>25000</v>
      </c>
      <c r="Y374" s="2" t="s">
        <v>46</v>
      </c>
      <c r="Z374" s="2" t="s">
        <v>46</v>
      </c>
      <c r="AA374" s="2" t="s">
        <v>57</v>
      </c>
      <c r="AB374" s="2">
        <v>14</v>
      </c>
      <c r="AC374" s="2" t="s">
        <v>48</v>
      </c>
      <c r="AD374" s="2">
        <v>0</v>
      </c>
    </row>
    <row r="375" spans="1:30" ht="30" x14ac:dyDescent="0.25">
      <c r="A375" s="2">
        <v>10</v>
      </c>
      <c r="B375" s="2" t="s">
        <v>1108</v>
      </c>
      <c r="C375" s="2">
        <v>13512</v>
      </c>
      <c r="D375" s="3">
        <v>44069</v>
      </c>
      <c r="E375" s="2" t="s">
        <v>1721</v>
      </c>
      <c r="F375" s="2"/>
      <c r="G375" s="2" t="s">
        <v>1722</v>
      </c>
      <c r="H375" s="2" t="s">
        <v>1723</v>
      </c>
      <c r="I375" s="2" t="s">
        <v>41</v>
      </c>
      <c r="J375" s="3">
        <v>38560</v>
      </c>
      <c r="K375" s="2"/>
      <c r="L375" s="2"/>
      <c r="M375" s="2">
        <v>43</v>
      </c>
      <c r="N375" s="2">
        <v>38</v>
      </c>
      <c r="O375" s="2" t="s">
        <v>42</v>
      </c>
      <c r="P375" s="2" t="s">
        <v>43</v>
      </c>
      <c r="Q375" s="2"/>
      <c r="R375" s="2" t="s">
        <v>44</v>
      </c>
      <c r="S375" s="2">
        <v>8250215703</v>
      </c>
      <c r="T375" s="2" t="s">
        <v>1724</v>
      </c>
      <c r="U375" s="2" t="s">
        <v>1725</v>
      </c>
      <c r="V375" s="2">
        <v>9413093495</v>
      </c>
      <c r="W375" s="2" t="s">
        <v>1726</v>
      </c>
      <c r="X375" s="2">
        <v>60000</v>
      </c>
      <c r="Y375" s="2" t="s">
        <v>46</v>
      </c>
      <c r="Z375" s="2" t="s">
        <v>46</v>
      </c>
      <c r="AA375" s="2" t="s">
        <v>47</v>
      </c>
      <c r="AB375" s="2">
        <v>16</v>
      </c>
      <c r="AC375" s="2" t="s">
        <v>48</v>
      </c>
      <c r="AD375" s="2">
        <v>1</v>
      </c>
    </row>
    <row r="376" spans="1:30" ht="30" x14ac:dyDescent="0.25">
      <c r="A376" s="2">
        <v>10</v>
      </c>
      <c r="B376" s="2" t="s">
        <v>1108</v>
      </c>
      <c r="C376" s="2">
        <v>13524</v>
      </c>
      <c r="D376" s="3">
        <v>44074</v>
      </c>
      <c r="E376" s="2" t="s">
        <v>1205</v>
      </c>
      <c r="F376" s="2"/>
      <c r="G376" s="2" t="s">
        <v>1727</v>
      </c>
      <c r="H376" s="2" t="s">
        <v>1195</v>
      </c>
      <c r="I376" s="2" t="s">
        <v>41</v>
      </c>
      <c r="J376" s="3">
        <v>38134</v>
      </c>
      <c r="K376" s="2"/>
      <c r="L376" s="2"/>
      <c r="M376" s="2">
        <v>43</v>
      </c>
      <c r="N376" s="2">
        <v>36</v>
      </c>
      <c r="O376" s="2" t="s">
        <v>78</v>
      </c>
      <c r="P376" s="2" t="s">
        <v>43</v>
      </c>
      <c r="Q376" s="2"/>
      <c r="R376" s="2" t="s">
        <v>44</v>
      </c>
      <c r="S376" s="2">
        <v>8250215703</v>
      </c>
      <c r="T376" s="2" t="s">
        <v>1728</v>
      </c>
      <c r="U376" s="2" t="s">
        <v>1729</v>
      </c>
      <c r="V376" s="2">
        <v>9929134040</v>
      </c>
      <c r="W376" s="2" t="s">
        <v>1730</v>
      </c>
      <c r="X376" s="2">
        <v>36000</v>
      </c>
      <c r="Y376" s="2" t="s">
        <v>46</v>
      </c>
      <c r="Z376" s="2" t="s">
        <v>46</v>
      </c>
      <c r="AA376" s="2" t="s">
        <v>47</v>
      </c>
      <c r="AB376" s="2">
        <v>17</v>
      </c>
      <c r="AC376" s="2" t="s">
        <v>48</v>
      </c>
      <c r="AD376" s="2">
        <v>0</v>
      </c>
    </row>
    <row r="377" spans="1:30" ht="30" x14ac:dyDescent="0.25">
      <c r="A377" s="2">
        <v>10</v>
      </c>
      <c r="B377" s="2" t="s">
        <v>1108</v>
      </c>
      <c r="C377" s="2">
        <v>13149</v>
      </c>
      <c r="D377" s="3">
        <v>43309</v>
      </c>
      <c r="E377" s="2" t="s">
        <v>1731</v>
      </c>
      <c r="F377" s="2"/>
      <c r="G377" s="2" t="s">
        <v>1186</v>
      </c>
      <c r="H377" s="2" t="s">
        <v>1732</v>
      </c>
      <c r="I377" s="2" t="s">
        <v>41</v>
      </c>
      <c r="J377" s="3">
        <v>37718</v>
      </c>
      <c r="K377" s="2"/>
      <c r="L377" s="2"/>
      <c r="M377" s="2">
        <v>43</v>
      </c>
      <c r="N377" s="2">
        <v>37</v>
      </c>
      <c r="O377" s="2" t="s">
        <v>773</v>
      </c>
      <c r="P377" s="2" t="s">
        <v>43</v>
      </c>
      <c r="Q377" s="2"/>
      <c r="R377" s="2" t="s">
        <v>44</v>
      </c>
      <c r="S377" s="2">
        <v>8250215703</v>
      </c>
      <c r="T377" s="2" t="s">
        <v>1733</v>
      </c>
      <c r="U377" s="2" t="s">
        <v>1734</v>
      </c>
      <c r="V377" s="2">
        <v>9024766062</v>
      </c>
      <c r="W377" s="2" t="s">
        <v>679</v>
      </c>
      <c r="X377" s="2">
        <v>36000</v>
      </c>
      <c r="Y377" s="2" t="s">
        <v>46</v>
      </c>
      <c r="Z377" s="2" t="s">
        <v>46</v>
      </c>
      <c r="AA377" s="2" t="s">
        <v>47</v>
      </c>
      <c r="AB377" s="2">
        <v>18</v>
      </c>
      <c r="AC377" s="2" t="s">
        <v>48</v>
      </c>
      <c r="AD377" s="2">
        <v>2</v>
      </c>
    </row>
    <row r="378" spans="1:30" ht="30" x14ac:dyDescent="0.25">
      <c r="A378" s="2">
        <v>10</v>
      </c>
      <c r="B378" s="2" t="s">
        <v>1108</v>
      </c>
      <c r="C378" s="2">
        <v>13675</v>
      </c>
      <c r="D378" s="3">
        <v>44215</v>
      </c>
      <c r="E378" s="2" t="s">
        <v>1735</v>
      </c>
      <c r="F378" s="2"/>
      <c r="G378" s="2" t="s">
        <v>1736</v>
      </c>
      <c r="H378" s="2" t="s">
        <v>1737</v>
      </c>
      <c r="I378" s="2" t="s">
        <v>41</v>
      </c>
      <c r="J378" s="3">
        <v>39002</v>
      </c>
      <c r="K378" s="2"/>
      <c r="L378" s="2"/>
      <c r="M378" s="2">
        <v>43</v>
      </c>
      <c r="N378" s="2">
        <v>41</v>
      </c>
      <c r="O378" s="2" t="s">
        <v>78</v>
      </c>
      <c r="P378" s="2" t="s">
        <v>43</v>
      </c>
      <c r="Q378" s="2"/>
      <c r="R378" s="2" t="s">
        <v>44</v>
      </c>
      <c r="S378" s="2">
        <v>8250215703</v>
      </c>
      <c r="T378" s="2" t="s">
        <v>1738</v>
      </c>
      <c r="U378" s="2" t="s">
        <v>1739</v>
      </c>
      <c r="V378" s="2">
        <v>7023642303</v>
      </c>
      <c r="W378" s="2" t="s">
        <v>1237</v>
      </c>
      <c r="X378" s="2">
        <v>42000</v>
      </c>
      <c r="Y378" s="2" t="s">
        <v>46</v>
      </c>
      <c r="Z378" s="2" t="s">
        <v>46</v>
      </c>
      <c r="AA378" s="2" t="s">
        <v>47</v>
      </c>
      <c r="AB378" s="2">
        <v>15</v>
      </c>
      <c r="AC378" s="2" t="s">
        <v>48</v>
      </c>
      <c r="AD378" s="2">
        <v>0.5</v>
      </c>
    </row>
    <row r="379" spans="1:30" ht="30" x14ac:dyDescent="0.25">
      <c r="A379" s="2">
        <v>10</v>
      </c>
      <c r="B379" s="2" t="s">
        <v>1108</v>
      </c>
      <c r="C379" s="2">
        <v>13527</v>
      </c>
      <c r="D379" s="3">
        <v>44074</v>
      </c>
      <c r="E379" s="2" t="s">
        <v>1740</v>
      </c>
      <c r="F379" s="2"/>
      <c r="G379" s="2" t="s">
        <v>373</v>
      </c>
      <c r="H379" s="2" t="s">
        <v>856</v>
      </c>
      <c r="I379" s="2" t="s">
        <v>41</v>
      </c>
      <c r="J379" s="3">
        <v>38581</v>
      </c>
      <c r="K379" s="2"/>
      <c r="L379" s="2"/>
      <c r="M379" s="2">
        <v>43</v>
      </c>
      <c r="N379" s="2">
        <v>36</v>
      </c>
      <c r="O379" s="2" t="s">
        <v>78</v>
      </c>
      <c r="P379" s="2" t="s">
        <v>43</v>
      </c>
      <c r="Q379" s="2"/>
      <c r="R379" s="2" t="s">
        <v>44</v>
      </c>
      <c r="S379" s="2">
        <v>8250215703</v>
      </c>
      <c r="T379" s="2" t="s">
        <v>1741</v>
      </c>
      <c r="U379" s="2" t="s">
        <v>1742</v>
      </c>
      <c r="V379" s="2">
        <v>9001339053</v>
      </c>
      <c r="W379" s="2" t="s">
        <v>1730</v>
      </c>
      <c r="X379" s="2">
        <v>40000</v>
      </c>
      <c r="Y379" s="2" t="s">
        <v>46</v>
      </c>
      <c r="Z379" s="2" t="s">
        <v>46</v>
      </c>
      <c r="AA379" s="2" t="s">
        <v>47</v>
      </c>
      <c r="AB379" s="2">
        <v>16</v>
      </c>
      <c r="AC379" s="2" t="s">
        <v>48</v>
      </c>
      <c r="AD379" s="2">
        <v>0</v>
      </c>
    </row>
    <row r="380" spans="1:30" ht="45" x14ac:dyDescent="0.25">
      <c r="A380" s="2">
        <v>10</v>
      </c>
      <c r="B380" s="2" t="s">
        <v>1108</v>
      </c>
      <c r="C380" s="2">
        <v>13678</v>
      </c>
      <c r="D380" s="3">
        <v>44226</v>
      </c>
      <c r="E380" s="2" t="s">
        <v>1743</v>
      </c>
      <c r="F380" s="2"/>
      <c r="G380" s="2" t="s">
        <v>1031</v>
      </c>
      <c r="H380" s="2" t="s">
        <v>1032</v>
      </c>
      <c r="I380" s="2" t="s">
        <v>41</v>
      </c>
      <c r="J380" s="3">
        <v>39212</v>
      </c>
      <c r="K380" s="2"/>
      <c r="L380" s="2"/>
      <c r="M380" s="2">
        <v>43</v>
      </c>
      <c r="N380" s="2">
        <v>39</v>
      </c>
      <c r="O380" s="2" t="s">
        <v>53</v>
      </c>
      <c r="P380" s="2" t="s">
        <v>43</v>
      </c>
      <c r="Q380" s="2"/>
      <c r="R380" s="2" t="s">
        <v>44</v>
      </c>
      <c r="S380" s="2">
        <v>8250215703</v>
      </c>
      <c r="T380" s="2" t="s">
        <v>1744</v>
      </c>
      <c r="U380" s="2"/>
      <c r="V380" s="2">
        <v>8290688680</v>
      </c>
      <c r="W380" s="2" t="s">
        <v>1034</v>
      </c>
      <c r="X380" s="2">
        <v>160000</v>
      </c>
      <c r="Y380" s="2" t="s">
        <v>46</v>
      </c>
      <c r="Z380" s="2" t="s">
        <v>46</v>
      </c>
      <c r="AA380" s="2" t="s">
        <v>47</v>
      </c>
      <c r="AB380" s="2">
        <v>14</v>
      </c>
      <c r="AC380" s="2" t="s">
        <v>48</v>
      </c>
      <c r="AD380" s="2">
        <v>0</v>
      </c>
    </row>
    <row r="381" spans="1:30" ht="30" x14ac:dyDescent="0.25">
      <c r="A381" s="2">
        <v>10</v>
      </c>
      <c r="B381" s="2" t="s">
        <v>1108</v>
      </c>
      <c r="C381" s="2">
        <v>13124</v>
      </c>
      <c r="D381" s="3">
        <v>43292</v>
      </c>
      <c r="E381" s="2" t="s">
        <v>1745</v>
      </c>
      <c r="F381" s="2"/>
      <c r="G381" s="2" t="s">
        <v>1746</v>
      </c>
      <c r="H381" s="2" t="s">
        <v>977</v>
      </c>
      <c r="I381" s="2" t="s">
        <v>41</v>
      </c>
      <c r="J381" s="3">
        <v>38870</v>
      </c>
      <c r="K381" s="2"/>
      <c r="L381" s="2"/>
      <c r="M381" s="2">
        <v>43</v>
      </c>
      <c r="N381" s="2">
        <v>41</v>
      </c>
      <c r="O381" s="2" t="s">
        <v>78</v>
      </c>
      <c r="P381" s="2" t="s">
        <v>43</v>
      </c>
      <c r="Q381" s="2"/>
      <c r="R381" s="2" t="s">
        <v>44</v>
      </c>
      <c r="S381" s="2">
        <v>8250215703</v>
      </c>
      <c r="T381" s="2" t="s">
        <v>1747</v>
      </c>
      <c r="U381" s="2"/>
      <c r="V381" s="2">
        <v>9999999999</v>
      </c>
      <c r="W381" s="2" t="s">
        <v>1058</v>
      </c>
      <c r="X381" s="2">
        <v>36000</v>
      </c>
      <c r="Y381" s="2" t="s">
        <v>46</v>
      </c>
      <c r="Z381" s="2" t="s">
        <v>46</v>
      </c>
      <c r="AA381" s="2" t="s">
        <v>47</v>
      </c>
      <c r="AB381" s="2">
        <v>15</v>
      </c>
      <c r="AC381" s="2" t="s">
        <v>48</v>
      </c>
      <c r="AD381" s="2">
        <v>2</v>
      </c>
    </row>
    <row r="382" spans="1:30" ht="30" x14ac:dyDescent="0.25">
      <c r="A382" s="2">
        <v>10</v>
      </c>
      <c r="B382" s="2" t="s">
        <v>1108</v>
      </c>
      <c r="C382" s="2">
        <v>13535</v>
      </c>
      <c r="D382" s="3">
        <v>44075</v>
      </c>
      <c r="E382" s="2" t="s">
        <v>1748</v>
      </c>
      <c r="F382" s="2"/>
      <c r="G382" s="2" t="s">
        <v>1749</v>
      </c>
      <c r="H382" s="2" t="s">
        <v>936</v>
      </c>
      <c r="I382" s="2" t="s">
        <v>41</v>
      </c>
      <c r="J382" s="3">
        <v>38874</v>
      </c>
      <c r="K382" s="2"/>
      <c r="L382" s="2"/>
      <c r="M382" s="2">
        <v>43</v>
      </c>
      <c r="N382" s="2">
        <v>36</v>
      </c>
      <c r="O382" s="2" t="s">
        <v>78</v>
      </c>
      <c r="P382" s="2" t="s">
        <v>43</v>
      </c>
      <c r="Q382" s="2"/>
      <c r="R382" s="2" t="s">
        <v>44</v>
      </c>
      <c r="S382" s="2">
        <v>8250215703</v>
      </c>
      <c r="T382" s="2" t="s">
        <v>1750</v>
      </c>
      <c r="U382" s="2" t="s">
        <v>1751</v>
      </c>
      <c r="V382" s="2">
        <v>9649935161</v>
      </c>
      <c r="W382" s="2" t="s">
        <v>1752</v>
      </c>
      <c r="X382" s="2">
        <v>36000</v>
      </c>
      <c r="Y382" s="2" t="s">
        <v>46</v>
      </c>
      <c r="Z382" s="2" t="s">
        <v>46</v>
      </c>
      <c r="AA382" s="2" t="s">
        <v>47</v>
      </c>
      <c r="AB382" s="2">
        <v>15</v>
      </c>
      <c r="AC382" s="2" t="s">
        <v>48</v>
      </c>
      <c r="AD382" s="2">
        <v>3</v>
      </c>
    </row>
    <row r="383" spans="1:30" ht="30" x14ac:dyDescent="0.25">
      <c r="A383" s="2">
        <v>10</v>
      </c>
      <c r="B383" s="2" t="s">
        <v>1108</v>
      </c>
      <c r="C383" s="2">
        <v>13668</v>
      </c>
      <c r="D383" s="3">
        <v>44183</v>
      </c>
      <c r="E383" s="2" t="s">
        <v>1753</v>
      </c>
      <c r="F383" s="2"/>
      <c r="G383" s="2" t="s">
        <v>1754</v>
      </c>
      <c r="H383" s="2" t="s">
        <v>695</v>
      </c>
      <c r="I383" s="2" t="s">
        <v>41</v>
      </c>
      <c r="J383" s="3">
        <v>38600</v>
      </c>
      <c r="K383" s="2"/>
      <c r="L383" s="2"/>
      <c r="M383" s="2">
        <v>43</v>
      </c>
      <c r="N383" s="2">
        <v>37</v>
      </c>
      <c r="O383" s="2" t="s">
        <v>78</v>
      </c>
      <c r="P383" s="2" t="s">
        <v>43</v>
      </c>
      <c r="Q383" s="2"/>
      <c r="R383" s="2" t="s">
        <v>44</v>
      </c>
      <c r="S383" s="2">
        <v>8250215703</v>
      </c>
      <c r="T383" s="2" t="s">
        <v>1755</v>
      </c>
      <c r="U383" s="2" t="s">
        <v>1756</v>
      </c>
      <c r="V383" s="2">
        <v>8003857847</v>
      </c>
      <c r="W383" s="2" t="s">
        <v>1757</v>
      </c>
      <c r="X383" s="2">
        <v>52000</v>
      </c>
      <c r="Y383" s="2" t="s">
        <v>46</v>
      </c>
      <c r="Z383" s="2" t="s">
        <v>46</v>
      </c>
      <c r="AA383" s="2" t="s">
        <v>47</v>
      </c>
      <c r="AB383" s="2">
        <v>16</v>
      </c>
      <c r="AC383" s="2" t="s">
        <v>48</v>
      </c>
      <c r="AD383" s="2">
        <v>0</v>
      </c>
    </row>
    <row r="384" spans="1:30" ht="30" x14ac:dyDescent="0.25">
      <c r="A384" s="2">
        <v>10</v>
      </c>
      <c r="B384" s="2" t="s">
        <v>1108</v>
      </c>
      <c r="C384" s="2">
        <v>13451</v>
      </c>
      <c r="D384" s="3">
        <v>44047</v>
      </c>
      <c r="E384" s="2" t="s">
        <v>1758</v>
      </c>
      <c r="F384" s="2"/>
      <c r="G384" s="2" t="s">
        <v>1759</v>
      </c>
      <c r="H384" s="2" t="s">
        <v>358</v>
      </c>
      <c r="I384" s="2" t="s">
        <v>41</v>
      </c>
      <c r="J384" s="3">
        <v>38161</v>
      </c>
      <c r="K384" s="2"/>
      <c r="L384" s="2"/>
      <c r="M384" s="2">
        <v>43</v>
      </c>
      <c r="N384" s="2">
        <v>35</v>
      </c>
      <c r="O384" s="2" t="s">
        <v>53</v>
      </c>
      <c r="P384" s="2" t="s">
        <v>43</v>
      </c>
      <c r="Q384" s="2"/>
      <c r="R384" s="2" t="s">
        <v>44</v>
      </c>
      <c r="S384" s="2">
        <v>8250215703</v>
      </c>
      <c r="T384" s="2" t="s">
        <v>1760</v>
      </c>
      <c r="U384" s="2" t="s">
        <v>1761</v>
      </c>
      <c r="V384" s="2">
        <v>6378845513</v>
      </c>
      <c r="W384" s="2" t="s">
        <v>1762</v>
      </c>
      <c r="X384" s="2">
        <v>36000</v>
      </c>
      <c r="Y384" s="2" t="s">
        <v>46</v>
      </c>
      <c r="Z384" s="2" t="s">
        <v>46</v>
      </c>
      <c r="AA384" s="2" t="s">
        <v>47</v>
      </c>
      <c r="AB384" s="2">
        <v>17</v>
      </c>
      <c r="AC384" s="2" t="s">
        <v>48</v>
      </c>
      <c r="AD384" s="2">
        <v>1</v>
      </c>
    </row>
    <row r="385" spans="1:30" ht="30" x14ac:dyDescent="0.25">
      <c r="A385" s="2">
        <v>10</v>
      </c>
      <c r="B385" s="2" t="s">
        <v>1108</v>
      </c>
      <c r="C385" s="2">
        <v>13485</v>
      </c>
      <c r="D385" s="3">
        <v>44063</v>
      </c>
      <c r="E385" s="2" t="s">
        <v>1763</v>
      </c>
      <c r="F385" s="2"/>
      <c r="G385" s="2" t="s">
        <v>780</v>
      </c>
      <c r="H385" s="2" t="s">
        <v>1764</v>
      </c>
      <c r="I385" s="2" t="s">
        <v>41</v>
      </c>
      <c r="J385" s="3">
        <v>38081</v>
      </c>
      <c r="K385" s="2"/>
      <c r="L385" s="2"/>
      <c r="M385" s="2">
        <v>43</v>
      </c>
      <c r="N385" s="2">
        <v>38</v>
      </c>
      <c r="O385" s="2" t="s">
        <v>53</v>
      </c>
      <c r="P385" s="2" t="s">
        <v>43</v>
      </c>
      <c r="Q385" s="2"/>
      <c r="R385" s="2" t="s">
        <v>44</v>
      </c>
      <c r="S385" s="2">
        <v>8250215703</v>
      </c>
      <c r="T385" s="2" t="s">
        <v>1765</v>
      </c>
      <c r="U385" s="2" t="s">
        <v>1766</v>
      </c>
      <c r="V385" s="2">
        <v>8290568758</v>
      </c>
      <c r="W385" s="2" t="s">
        <v>1767</v>
      </c>
      <c r="X385" s="2">
        <v>38000</v>
      </c>
      <c r="Y385" s="2" t="s">
        <v>46</v>
      </c>
      <c r="Z385" s="2" t="s">
        <v>240</v>
      </c>
      <c r="AA385" s="2" t="s">
        <v>47</v>
      </c>
      <c r="AB385" s="2">
        <v>17</v>
      </c>
      <c r="AC385" s="2" t="s">
        <v>48</v>
      </c>
      <c r="AD385" s="2">
        <v>0</v>
      </c>
    </row>
    <row r="386" spans="1:30" ht="30" x14ac:dyDescent="0.25">
      <c r="A386" s="2">
        <v>10</v>
      </c>
      <c r="B386" s="2" t="s">
        <v>1108</v>
      </c>
      <c r="C386" s="2">
        <v>13546</v>
      </c>
      <c r="D386" s="3">
        <v>44083</v>
      </c>
      <c r="E386" s="2" t="s">
        <v>1768</v>
      </c>
      <c r="F386" s="2"/>
      <c r="G386" s="2" t="s">
        <v>1769</v>
      </c>
      <c r="H386" s="2" t="s">
        <v>231</v>
      </c>
      <c r="I386" s="2" t="s">
        <v>41</v>
      </c>
      <c r="J386" s="3">
        <v>39337</v>
      </c>
      <c r="K386" s="2"/>
      <c r="L386" s="2"/>
      <c r="M386" s="2">
        <v>43</v>
      </c>
      <c r="N386" s="2">
        <v>39</v>
      </c>
      <c r="O386" s="2" t="s">
        <v>78</v>
      </c>
      <c r="P386" s="2" t="s">
        <v>43</v>
      </c>
      <c r="Q386" s="2"/>
      <c r="R386" s="2" t="s">
        <v>44</v>
      </c>
      <c r="S386" s="2">
        <v>8250215703</v>
      </c>
      <c r="T386" s="2" t="s">
        <v>1770</v>
      </c>
      <c r="U386" s="2" t="s">
        <v>1771</v>
      </c>
      <c r="V386" s="2">
        <v>9587652170</v>
      </c>
      <c r="W386" s="2" t="s">
        <v>1343</v>
      </c>
      <c r="X386" s="2">
        <v>36000</v>
      </c>
      <c r="Y386" s="2" t="s">
        <v>46</v>
      </c>
      <c r="Z386" s="2" t="s">
        <v>46</v>
      </c>
      <c r="AA386" s="2" t="s">
        <v>47</v>
      </c>
      <c r="AB386" s="2">
        <v>14</v>
      </c>
      <c r="AC386" s="2" t="s">
        <v>48</v>
      </c>
      <c r="AD386" s="2">
        <v>1</v>
      </c>
    </row>
    <row r="387" spans="1:30" ht="30" x14ac:dyDescent="0.25">
      <c r="A387" s="2">
        <v>10</v>
      </c>
      <c r="B387" s="2" t="s">
        <v>1108</v>
      </c>
      <c r="C387" s="2">
        <v>13661</v>
      </c>
      <c r="D387" s="3">
        <v>44124</v>
      </c>
      <c r="E387" s="2" t="s">
        <v>1772</v>
      </c>
      <c r="F387" s="2"/>
      <c r="G387" s="2" t="s">
        <v>1773</v>
      </c>
      <c r="H387" s="2" t="s">
        <v>1178</v>
      </c>
      <c r="I387" s="2" t="s">
        <v>41</v>
      </c>
      <c r="J387" s="3">
        <v>38558</v>
      </c>
      <c r="K387" s="2"/>
      <c r="L387" s="2"/>
      <c r="M387" s="2">
        <v>43</v>
      </c>
      <c r="N387" s="2">
        <v>38</v>
      </c>
      <c r="O387" s="2" t="s">
        <v>78</v>
      </c>
      <c r="P387" s="2" t="s">
        <v>43</v>
      </c>
      <c r="Q387" s="2"/>
      <c r="R387" s="2" t="s">
        <v>44</v>
      </c>
      <c r="S387" s="2">
        <v>8250215703</v>
      </c>
      <c r="T387" s="2" t="s">
        <v>1774</v>
      </c>
      <c r="U387" s="2" t="s">
        <v>1775</v>
      </c>
      <c r="V387" s="2">
        <v>7742017346</v>
      </c>
      <c r="W387" s="2" t="s">
        <v>1776</v>
      </c>
      <c r="X387" s="2">
        <v>40000</v>
      </c>
      <c r="Y387" s="2" t="s">
        <v>46</v>
      </c>
      <c r="Z387" s="2" t="s">
        <v>46</v>
      </c>
      <c r="AA387" s="2" t="s">
        <v>47</v>
      </c>
      <c r="AB387" s="2">
        <v>16</v>
      </c>
      <c r="AC387" s="2" t="s">
        <v>48</v>
      </c>
      <c r="AD387" s="2">
        <v>2</v>
      </c>
    </row>
    <row r="388" spans="1:30" ht="30" x14ac:dyDescent="0.25">
      <c r="A388" s="2">
        <v>10</v>
      </c>
      <c r="B388" s="2" t="s">
        <v>1108</v>
      </c>
      <c r="C388" s="2">
        <v>13871</v>
      </c>
      <c r="D388" s="3">
        <v>44406</v>
      </c>
      <c r="E388" s="2" t="s">
        <v>1777</v>
      </c>
      <c r="F388" s="2"/>
      <c r="G388" s="2" t="s">
        <v>1778</v>
      </c>
      <c r="H388" s="2" t="s">
        <v>1779</v>
      </c>
      <c r="I388" s="2" t="s">
        <v>41</v>
      </c>
      <c r="J388" s="3">
        <v>39018</v>
      </c>
      <c r="K388" s="2"/>
      <c r="L388" s="2"/>
      <c r="M388" s="2">
        <v>43</v>
      </c>
      <c r="N388" s="2">
        <v>40</v>
      </c>
      <c r="O388" s="2" t="s">
        <v>53</v>
      </c>
      <c r="P388" s="2" t="s">
        <v>43</v>
      </c>
      <c r="Q388" s="2"/>
      <c r="R388" s="2" t="s">
        <v>44</v>
      </c>
      <c r="S388" s="2">
        <v>8250215703</v>
      </c>
      <c r="T388" s="2" t="s">
        <v>1780</v>
      </c>
      <c r="U388" s="2"/>
      <c r="V388" s="2">
        <v>9460726109</v>
      </c>
      <c r="W388" s="2" t="s">
        <v>1781</v>
      </c>
      <c r="X388" s="2">
        <v>60000</v>
      </c>
      <c r="Y388" s="2" t="s">
        <v>46</v>
      </c>
      <c r="Z388" s="2" t="s">
        <v>46</v>
      </c>
      <c r="AA388" s="2" t="s">
        <v>47</v>
      </c>
      <c r="AB388" s="2">
        <v>15</v>
      </c>
      <c r="AC388" s="2" t="s">
        <v>48</v>
      </c>
      <c r="AD388" s="2">
        <v>1</v>
      </c>
    </row>
    <row r="389" spans="1:30" ht="45" x14ac:dyDescent="0.25">
      <c r="A389" s="2">
        <v>10</v>
      </c>
      <c r="B389" s="2" t="s">
        <v>1108</v>
      </c>
      <c r="C389" s="2">
        <v>12897</v>
      </c>
      <c r="D389" s="3">
        <v>43276</v>
      </c>
      <c r="E389" s="2" t="s">
        <v>1782</v>
      </c>
      <c r="F389" s="2"/>
      <c r="G389" s="2" t="s">
        <v>1783</v>
      </c>
      <c r="H389" s="2" t="s">
        <v>700</v>
      </c>
      <c r="I389" s="2" t="s">
        <v>41</v>
      </c>
      <c r="J389" s="3">
        <v>38382</v>
      </c>
      <c r="K389" s="2"/>
      <c r="L389" s="2"/>
      <c r="M389" s="2">
        <v>43</v>
      </c>
      <c r="N389" s="2">
        <v>40</v>
      </c>
      <c r="O389" s="2" t="s">
        <v>53</v>
      </c>
      <c r="P389" s="2" t="s">
        <v>43</v>
      </c>
      <c r="Q389" s="2"/>
      <c r="R389" s="2" t="s">
        <v>44</v>
      </c>
      <c r="S389" s="2">
        <v>8250215703</v>
      </c>
      <c r="T389" s="2" t="s">
        <v>1784</v>
      </c>
      <c r="U389" s="2" t="s">
        <v>1785</v>
      </c>
      <c r="V389" s="2">
        <v>9784056126</v>
      </c>
      <c r="W389" s="2" t="s">
        <v>1786</v>
      </c>
      <c r="X389" s="2">
        <v>140000</v>
      </c>
      <c r="Y389" s="2" t="s">
        <v>46</v>
      </c>
      <c r="Z389" s="2" t="s">
        <v>46</v>
      </c>
      <c r="AA389" s="2" t="s">
        <v>47</v>
      </c>
      <c r="AB389" s="2">
        <v>16</v>
      </c>
      <c r="AC389" s="2" t="s">
        <v>48</v>
      </c>
      <c r="AD389" s="2">
        <v>2</v>
      </c>
    </row>
    <row r="390" spans="1:30" ht="30" x14ac:dyDescent="0.25">
      <c r="A390" s="2">
        <v>10</v>
      </c>
      <c r="B390" s="2" t="s">
        <v>1108</v>
      </c>
      <c r="C390" s="2">
        <v>12311</v>
      </c>
      <c r="D390" s="3">
        <v>42548</v>
      </c>
      <c r="E390" s="2" t="s">
        <v>756</v>
      </c>
      <c r="F390" s="2"/>
      <c r="G390" s="2" t="s">
        <v>1787</v>
      </c>
      <c r="H390" s="2" t="s">
        <v>819</v>
      </c>
      <c r="I390" s="2" t="s">
        <v>41</v>
      </c>
      <c r="J390" s="3">
        <v>38418</v>
      </c>
      <c r="K390" s="2"/>
      <c r="L390" s="2"/>
      <c r="M390" s="2">
        <v>43</v>
      </c>
      <c r="N390" s="2">
        <v>37</v>
      </c>
      <c r="O390" s="2" t="s">
        <v>53</v>
      </c>
      <c r="P390" s="2" t="s">
        <v>43</v>
      </c>
      <c r="Q390" s="2"/>
      <c r="R390" s="2" t="s">
        <v>44</v>
      </c>
      <c r="S390" s="2">
        <v>8250215703</v>
      </c>
      <c r="T390" s="2" t="s">
        <v>1788</v>
      </c>
      <c r="U390" s="2"/>
      <c r="V390" s="2">
        <v>9001859600</v>
      </c>
      <c r="W390" s="2" t="s">
        <v>69</v>
      </c>
      <c r="X390" s="2">
        <v>40000</v>
      </c>
      <c r="Y390" s="2" t="s">
        <v>46</v>
      </c>
      <c r="Z390" s="2" t="s">
        <v>46</v>
      </c>
      <c r="AA390" s="2" t="s">
        <v>47</v>
      </c>
      <c r="AB390" s="2">
        <v>16</v>
      </c>
      <c r="AC390" s="2" t="s">
        <v>48</v>
      </c>
      <c r="AD390" s="2">
        <v>0</v>
      </c>
    </row>
    <row r="391" spans="1:30" ht="30" x14ac:dyDescent="0.25">
      <c r="A391" s="2">
        <v>10</v>
      </c>
      <c r="B391" s="2" t="s">
        <v>1108</v>
      </c>
      <c r="C391" s="2">
        <v>12284</v>
      </c>
      <c r="D391" s="3">
        <v>42548</v>
      </c>
      <c r="E391" s="2" t="s">
        <v>1789</v>
      </c>
      <c r="F391" s="2"/>
      <c r="G391" s="2" t="s">
        <v>1790</v>
      </c>
      <c r="H391" s="2" t="s">
        <v>1791</v>
      </c>
      <c r="I391" s="2" t="s">
        <v>41</v>
      </c>
      <c r="J391" s="3">
        <v>38522</v>
      </c>
      <c r="K391" s="2"/>
      <c r="L391" s="2"/>
      <c r="M391" s="2">
        <v>43</v>
      </c>
      <c r="N391" s="2">
        <v>36</v>
      </c>
      <c r="O391" s="2" t="s">
        <v>53</v>
      </c>
      <c r="P391" s="2" t="s">
        <v>43</v>
      </c>
      <c r="Q391" s="2"/>
      <c r="R391" s="2" t="s">
        <v>44</v>
      </c>
      <c r="S391" s="2">
        <v>8250215703</v>
      </c>
      <c r="T391" s="2" t="s">
        <v>1792</v>
      </c>
      <c r="U391" s="2" t="s">
        <v>1793</v>
      </c>
      <c r="V391" s="2">
        <v>8003002029</v>
      </c>
      <c r="W391" s="2" t="s">
        <v>673</v>
      </c>
      <c r="X391" s="2">
        <v>38000</v>
      </c>
      <c r="Y391" s="2" t="s">
        <v>46</v>
      </c>
      <c r="Z391" s="2" t="s">
        <v>46</v>
      </c>
      <c r="AA391" s="2" t="s">
        <v>47</v>
      </c>
      <c r="AB391" s="2">
        <v>16</v>
      </c>
      <c r="AC391" s="2" t="s">
        <v>48</v>
      </c>
      <c r="AD391" s="2">
        <v>1</v>
      </c>
    </row>
    <row r="392" spans="1:30" ht="30" x14ac:dyDescent="0.25">
      <c r="A392" s="2">
        <v>10</v>
      </c>
      <c r="B392" s="2" t="s">
        <v>1108</v>
      </c>
      <c r="C392" s="2">
        <v>13452</v>
      </c>
      <c r="D392" s="3">
        <v>44047</v>
      </c>
      <c r="E392" s="2" t="s">
        <v>1794</v>
      </c>
      <c r="F392" s="2"/>
      <c r="G392" s="2" t="s">
        <v>1795</v>
      </c>
      <c r="H392" s="2" t="s">
        <v>1796</v>
      </c>
      <c r="I392" s="2" t="s">
        <v>41</v>
      </c>
      <c r="J392" s="3">
        <v>38488</v>
      </c>
      <c r="K392" s="2"/>
      <c r="L392" s="2"/>
      <c r="M392" s="2">
        <v>43</v>
      </c>
      <c r="N392" s="2">
        <v>37</v>
      </c>
      <c r="O392" s="2" t="s">
        <v>78</v>
      </c>
      <c r="P392" s="2" t="s">
        <v>43</v>
      </c>
      <c r="Q392" s="2"/>
      <c r="R392" s="2" t="s">
        <v>44</v>
      </c>
      <c r="S392" s="2">
        <v>8250215703</v>
      </c>
      <c r="T392" s="2" t="s">
        <v>1797</v>
      </c>
      <c r="U392" s="2" t="s">
        <v>1798</v>
      </c>
      <c r="V392" s="2">
        <v>9928506861</v>
      </c>
      <c r="W392" s="2" t="s">
        <v>1799</v>
      </c>
      <c r="X392" s="2">
        <v>36000</v>
      </c>
      <c r="Y392" s="2" t="s">
        <v>46</v>
      </c>
      <c r="Z392" s="2" t="s">
        <v>46</v>
      </c>
      <c r="AA392" s="2" t="s">
        <v>47</v>
      </c>
      <c r="AB392" s="2">
        <v>16</v>
      </c>
      <c r="AC392" s="2" t="s">
        <v>48</v>
      </c>
      <c r="AD392" s="2">
        <v>10</v>
      </c>
    </row>
    <row r="393" spans="1:30" ht="30" x14ac:dyDescent="0.25">
      <c r="A393" s="2">
        <v>10</v>
      </c>
      <c r="B393" s="2" t="s">
        <v>1108</v>
      </c>
      <c r="C393" s="2">
        <v>13801</v>
      </c>
      <c r="D393" s="3">
        <v>44399</v>
      </c>
      <c r="E393" s="2" t="s">
        <v>1800</v>
      </c>
      <c r="F393" s="2" t="s">
        <v>229</v>
      </c>
      <c r="G393" s="2" t="s">
        <v>1801</v>
      </c>
      <c r="H393" s="2" t="s">
        <v>1802</v>
      </c>
      <c r="I393" s="2" t="s">
        <v>41</v>
      </c>
      <c r="J393" s="3">
        <v>39340</v>
      </c>
      <c r="K393" s="2"/>
      <c r="L393" s="2"/>
      <c r="M393" s="2">
        <v>43</v>
      </c>
      <c r="N393" s="2">
        <v>37</v>
      </c>
      <c r="O393" s="2" t="s">
        <v>53</v>
      </c>
      <c r="P393" s="2" t="s">
        <v>43</v>
      </c>
      <c r="Q393" s="2"/>
      <c r="R393" s="2" t="s">
        <v>44</v>
      </c>
      <c r="S393" s="2">
        <v>8250215703</v>
      </c>
      <c r="T393" s="2" t="s">
        <v>1803</v>
      </c>
      <c r="U393" s="2"/>
      <c r="V393" s="2">
        <v>7878942972</v>
      </c>
      <c r="W393" s="2" t="s">
        <v>1804</v>
      </c>
      <c r="X393" s="2">
        <v>0</v>
      </c>
      <c r="Y393" s="2" t="s">
        <v>46</v>
      </c>
      <c r="Z393" s="2" t="s">
        <v>46</v>
      </c>
      <c r="AA393" s="2" t="s">
        <v>47</v>
      </c>
      <c r="AB393" s="2">
        <v>14</v>
      </c>
      <c r="AC393" s="2" t="s">
        <v>48</v>
      </c>
      <c r="AD393" s="2">
        <v>2</v>
      </c>
    </row>
    <row r="394" spans="1:30" ht="30" x14ac:dyDescent="0.25">
      <c r="A394" s="2">
        <v>10</v>
      </c>
      <c r="B394" s="2" t="s">
        <v>1108</v>
      </c>
      <c r="C394" s="2">
        <v>13405</v>
      </c>
      <c r="D394" s="3">
        <v>43664</v>
      </c>
      <c r="E394" s="2" t="s">
        <v>1805</v>
      </c>
      <c r="F394" s="2"/>
      <c r="G394" s="2" t="s">
        <v>1806</v>
      </c>
      <c r="H394" s="2" t="s">
        <v>1807</v>
      </c>
      <c r="I394" s="2" t="s">
        <v>41</v>
      </c>
      <c r="J394" s="3">
        <v>38977</v>
      </c>
      <c r="K394" s="2"/>
      <c r="L394" s="2"/>
      <c r="M394" s="2">
        <v>43</v>
      </c>
      <c r="N394" s="2">
        <v>35</v>
      </c>
      <c r="O394" s="2" t="s">
        <v>825</v>
      </c>
      <c r="P394" s="2" t="s">
        <v>43</v>
      </c>
      <c r="Q394" s="2"/>
      <c r="R394" s="2" t="s">
        <v>44</v>
      </c>
      <c r="S394" s="2">
        <v>8250215703</v>
      </c>
      <c r="T394" s="2" t="s">
        <v>1808</v>
      </c>
      <c r="U394" s="2" t="s">
        <v>1809</v>
      </c>
      <c r="V394" s="2">
        <v>9784356552</v>
      </c>
      <c r="W394" s="2" t="s">
        <v>1810</v>
      </c>
      <c r="X394" s="2">
        <v>25000</v>
      </c>
      <c r="Y394" s="2" t="s">
        <v>46</v>
      </c>
      <c r="Z394" s="2" t="s">
        <v>46</v>
      </c>
      <c r="AA394" s="2" t="s">
        <v>47</v>
      </c>
      <c r="AB394" s="2">
        <v>15</v>
      </c>
      <c r="AC394" s="2" t="s">
        <v>48</v>
      </c>
      <c r="AD394" s="2">
        <v>2</v>
      </c>
    </row>
    <row r="395" spans="1:30" ht="30" x14ac:dyDescent="0.25">
      <c r="A395" s="2">
        <v>10</v>
      </c>
      <c r="B395" s="2" t="s">
        <v>1108</v>
      </c>
      <c r="C395" s="2">
        <v>13484</v>
      </c>
      <c r="D395" s="3">
        <v>44063</v>
      </c>
      <c r="E395" s="2" t="s">
        <v>1811</v>
      </c>
      <c r="F395" s="2"/>
      <c r="G395" s="2" t="s">
        <v>1812</v>
      </c>
      <c r="H395" s="2" t="s">
        <v>1157</v>
      </c>
      <c r="I395" s="2" t="s">
        <v>41</v>
      </c>
      <c r="J395" s="3">
        <v>38790</v>
      </c>
      <c r="K395" s="2"/>
      <c r="L395" s="2"/>
      <c r="M395" s="2">
        <v>43</v>
      </c>
      <c r="N395" s="2">
        <v>37</v>
      </c>
      <c r="O395" s="2" t="s">
        <v>53</v>
      </c>
      <c r="P395" s="2" t="s">
        <v>43</v>
      </c>
      <c r="Q395" s="2"/>
      <c r="R395" s="2" t="s">
        <v>44</v>
      </c>
      <c r="S395" s="2">
        <v>8250215703</v>
      </c>
      <c r="T395" s="2" t="s">
        <v>1813</v>
      </c>
      <c r="U395" s="2" t="s">
        <v>1814</v>
      </c>
      <c r="V395" s="2">
        <v>9001204246</v>
      </c>
      <c r="W395" s="2" t="s">
        <v>1815</v>
      </c>
      <c r="X395" s="2">
        <v>50000</v>
      </c>
      <c r="Y395" s="2" t="s">
        <v>46</v>
      </c>
      <c r="Z395" s="2" t="s">
        <v>46</v>
      </c>
      <c r="AA395" s="2" t="s">
        <v>47</v>
      </c>
      <c r="AB395" s="2">
        <v>15</v>
      </c>
      <c r="AC395" s="2" t="s">
        <v>48</v>
      </c>
      <c r="AD395" s="2">
        <v>0.5</v>
      </c>
    </row>
    <row r="396" spans="1:30" ht="30" x14ac:dyDescent="0.25">
      <c r="A396" s="2">
        <v>10</v>
      </c>
      <c r="B396" s="2" t="s">
        <v>1108</v>
      </c>
      <c r="C396" s="2">
        <v>13088</v>
      </c>
      <c r="D396" s="3">
        <v>42595</v>
      </c>
      <c r="E396" s="2" t="s">
        <v>1816</v>
      </c>
      <c r="F396" s="2"/>
      <c r="G396" s="2" t="s">
        <v>1817</v>
      </c>
      <c r="H396" s="2" t="s">
        <v>1229</v>
      </c>
      <c r="I396" s="2" t="s">
        <v>41</v>
      </c>
      <c r="J396" s="3">
        <v>38434</v>
      </c>
      <c r="K396" s="2"/>
      <c r="L396" s="2"/>
      <c r="M396" s="2">
        <v>43</v>
      </c>
      <c r="N396" s="2">
        <v>37</v>
      </c>
      <c r="O396" s="2" t="s">
        <v>78</v>
      </c>
      <c r="P396" s="2" t="s">
        <v>43</v>
      </c>
      <c r="Q396" s="2"/>
      <c r="R396" s="2" t="s">
        <v>44</v>
      </c>
      <c r="S396" s="2">
        <v>8250215703</v>
      </c>
      <c r="T396" s="2" t="s">
        <v>1818</v>
      </c>
      <c r="U396" s="2"/>
      <c r="V396" s="2">
        <v>7023080804</v>
      </c>
      <c r="W396" s="2" t="s">
        <v>1058</v>
      </c>
      <c r="X396" s="2">
        <v>0</v>
      </c>
      <c r="Y396" s="2" t="s">
        <v>46</v>
      </c>
      <c r="Z396" s="2" t="s">
        <v>46</v>
      </c>
      <c r="AA396" s="2" t="s">
        <v>47</v>
      </c>
      <c r="AB396" s="2">
        <v>16</v>
      </c>
      <c r="AC396" s="2" t="s">
        <v>48</v>
      </c>
      <c r="AD396" s="2">
        <v>2</v>
      </c>
    </row>
    <row r="397" spans="1:30" ht="30" x14ac:dyDescent="0.25">
      <c r="A397" s="2">
        <v>10</v>
      </c>
      <c r="B397" s="2" t="s">
        <v>1108</v>
      </c>
      <c r="C397" s="2">
        <v>13448</v>
      </c>
      <c r="D397" s="3">
        <v>44047</v>
      </c>
      <c r="E397" s="2" t="s">
        <v>1819</v>
      </c>
      <c r="F397" s="2"/>
      <c r="G397" s="2" t="s">
        <v>1820</v>
      </c>
      <c r="H397" s="2" t="s">
        <v>1821</v>
      </c>
      <c r="I397" s="2" t="s">
        <v>41</v>
      </c>
      <c r="J397" s="3">
        <v>38491</v>
      </c>
      <c r="K397" s="2"/>
      <c r="L397" s="2"/>
      <c r="M397" s="2">
        <v>43</v>
      </c>
      <c r="N397" s="2">
        <v>37</v>
      </c>
      <c r="O397" s="2" t="s">
        <v>53</v>
      </c>
      <c r="P397" s="2" t="s">
        <v>43</v>
      </c>
      <c r="Q397" s="2"/>
      <c r="R397" s="2" t="s">
        <v>44</v>
      </c>
      <c r="S397" s="2">
        <v>8250215703</v>
      </c>
      <c r="T397" s="2" t="s">
        <v>1822</v>
      </c>
      <c r="U397" s="2" t="s">
        <v>1823</v>
      </c>
      <c r="V397" s="2">
        <v>9928067776</v>
      </c>
      <c r="W397" s="2" t="s">
        <v>1634</v>
      </c>
      <c r="X397" s="2">
        <v>36000</v>
      </c>
      <c r="Y397" s="2" t="s">
        <v>46</v>
      </c>
      <c r="Z397" s="2" t="s">
        <v>240</v>
      </c>
      <c r="AA397" s="2" t="s">
        <v>47</v>
      </c>
      <c r="AB397" s="2">
        <v>16</v>
      </c>
      <c r="AC397" s="2" t="s">
        <v>48</v>
      </c>
      <c r="AD397" s="2">
        <v>0.5</v>
      </c>
    </row>
    <row r="398" spans="1:30" ht="30" x14ac:dyDescent="0.25">
      <c r="A398" s="2">
        <v>10</v>
      </c>
      <c r="B398" s="2" t="s">
        <v>1108</v>
      </c>
      <c r="C398" s="2">
        <v>13453</v>
      </c>
      <c r="D398" s="3">
        <v>44047</v>
      </c>
      <c r="E398" s="2" t="s">
        <v>618</v>
      </c>
      <c r="F398" s="2"/>
      <c r="G398" s="2" t="s">
        <v>828</v>
      </c>
      <c r="H398" s="2" t="s">
        <v>1824</v>
      </c>
      <c r="I398" s="2" t="s">
        <v>41</v>
      </c>
      <c r="J398" s="3">
        <v>39288</v>
      </c>
      <c r="K398" s="2"/>
      <c r="L398" s="2"/>
      <c r="M398" s="2">
        <v>43</v>
      </c>
      <c r="N398" s="2">
        <v>38</v>
      </c>
      <c r="O398" s="2" t="s">
        <v>53</v>
      </c>
      <c r="P398" s="2" t="s">
        <v>43</v>
      </c>
      <c r="Q398" s="2"/>
      <c r="R398" s="2" t="s">
        <v>44</v>
      </c>
      <c r="S398" s="2">
        <v>8250215703</v>
      </c>
      <c r="T398" s="2" t="s">
        <v>1825</v>
      </c>
      <c r="U398" s="2" t="s">
        <v>1826</v>
      </c>
      <c r="V398" s="2">
        <v>9352315364</v>
      </c>
      <c r="W398" s="2" t="s">
        <v>1064</v>
      </c>
      <c r="X398" s="2">
        <v>20000</v>
      </c>
      <c r="Y398" s="2" t="s">
        <v>46</v>
      </c>
      <c r="Z398" s="2" t="s">
        <v>46</v>
      </c>
      <c r="AA398" s="2" t="s">
        <v>47</v>
      </c>
      <c r="AB398" s="2">
        <v>14</v>
      </c>
      <c r="AC398" s="2" t="s">
        <v>48</v>
      </c>
      <c r="AD398" s="2">
        <v>2</v>
      </c>
    </row>
    <row r="399" spans="1:30" ht="30" x14ac:dyDescent="0.25">
      <c r="A399" s="2">
        <v>10</v>
      </c>
      <c r="B399" s="2" t="s">
        <v>1108</v>
      </c>
      <c r="C399" s="2">
        <v>13526</v>
      </c>
      <c r="D399" s="3">
        <v>44074</v>
      </c>
      <c r="E399" s="2" t="s">
        <v>1827</v>
      </c>
      <c r="F399" s="2"/>
      <c r="G399" s="2" t="s">
        <v>1828</v>
      </c>
      <c r="H399" s="2" t="s">
        <v>1829</v>
      </c>
      <c r="I399" s="2" t="s">
        <v>41</v>
      </c>
      <c r="J399" s="3">
        <v>38732</v>
      </c>
      <c r="K399" s="2"/>
      <c r="L399" s="2"/>
      <c r="M399" s="2">
        <v>43</v>
      </c>
      <c r="N399" s="2">
        <v>37</v>
      </c>
      <c r="O399" s="2" t="s">
        <v>42</v>
      </c>
      <c r="P399" s="2" t="s">
        <v>43</v>
      </c>
      <c r="Q399" s="2"/>
      <c r="R399" s="2" t="s">
        <v>44</v>
      </c>
      <c r="S399" s="2">
        <v>8250215703</v>
      </c>
      <c r="T399" s="2" t="s">
        <v>1830</v>
      </c>
      <c r="U399" s="2" t="s">
        <v>1831</v>
      </c>
      <c r="V399" s="2">
        <v>6375135590</v>
      </c>
      <c r="W399" s="2" t="s">
        <v>1270</v>
      </c>
      <c r="X399" s="2">
        <v>0</v>
      </c>
      <c r="Y399" s="2" t="s">
        <v>46</v>
      </c>
      <c r="Z399" s="2" t="s">
        <v>46</v>
      </c>
      <c r="AA399" s="2" t="s">
        <v>47</v>
      </c>
      <c r="AB399" s="2">
        <v>15</v>
      </c>
      <c r="AC399" s="2" t="s">
        <v>48</v>
      </c>
      <c r="AD399" s="2">
        <v>0</v>
      </c>
    </row>
    <row r="400" spans="1:30" ht="30" x14ac:dyDescent="0.25">
      <c r="A400" s="2">
        <v>10</v>
      </c>
      <c r="B400" s="2" t="s">
        <v>1108</v>
      </c>
      <c r="C400" s="2">
        <v>13449</v>
      </c>
      <c r="D400" s="3">
        <v>44047</v>
      </c>
      <c r="E400" s="2" t="s">
        <v>1832</v>
      </c>
      <c r="F400" s="2"/>
      <c r="G400" s="2" t="s">
        <v>1833</v>
      </c>
      <c r="H400" s="2" t="s">
        <v>1834</v>
      </c>
      <c r="I400" s="2" t="s">
        <v>41</v>
      </c>
      <c r="J400" s="3">
        <v>38897</v>
      </c>
      <c r="K400" s="2"/>
      <c r="L400" s="2"/>
      <c r="M400" s="2">
        <v>43</v>
      </c>
      <c r="N400" s="2">
        <v>41</v>
      </c>
      <c r="O400" s="2" t="s">
        <v>53</v>
      </c>
      <c r="P400" s="2" t="s">
        <v>43</v>
      </c>
      <c r="Q400" s="2"/>
      <c r="R400" s="2" t="s">
        <v>44</v>
      </c>
      <c r="S400" s="2">
        <v>8250215703</v>
      </c>
      <c r="T400" s="2" t="s">
        <v>1835</v>
      </c>
      <c r="U400" s="2" t="s">
        <v>1836</v>
      </c>
      <c r="V400" s="2">
        <v>8290204171</v>
      </c>
      <c r="W400" s="2" t="s">
        <v>1837</v>
      </c>
      <c r="X400" s="2">
        <v>15000</v>
      </c>
      <c r="Y400" s="2" t="s">
        <v>46</v>
      </c>
      <c r="Z400" s="2" t="s">
        <v>240</v>
      </c>
      <c r="AA400" s="2" t="s">
        <v>47</v>
      </c>
      <c r="AB400" s="2">
        <v>15</v>
      </c>
      <c r="AC400" s="2" t="s">
        <v>48</v>
      </c>
      <c r="AD400" s="2">
        <v>0.5</v>
      </c>
    </row>
    <row r="401" spans="1:30" ht="30" x14ac:dyDescent="0.25">
      <c r="A401" s="2">
        <v>10</v>
      </c>
      <c r="B401" s="2" t="s">
        <v>1108</v>
      </c>
      <c r="C401" s="2">
        <v>13583</v>
      </c>
      <c r="D401" s="3">
        <v>44095</v>
      </c>
      <c r="E401" s="2" t="s">
        <v>971</v>
      </c>
      <c r="F401" s="2"/>
      <c r="G401" s="2" t="s">
        <v>1060</v>
      </c>
      <c r="H401" s="2" t="s">
        <v>1315</v>
      </c>
      <c r="I401" s="2" t="s">
        <v>41</v>
      </c>
      <c r="J401" s="3">
        <v>38867</v>
      </c>
      <c r="K401" s="2"/>
      <c r="L401" s="2"/>
      <c r="M401" s="2">
        <v>43</v>
      </c>
      <c r="N401" s="2">
        <v>38</v>
      </c>
      <c r="O401" s="2" t="s">
        <v>53</v>
      </c>
      <c r="P401" s="2" t="s">
        <v>43</v>
      </c>
      <c r="Q401" s="2"/>
      <c r="R401" s="2" t="s">
        <v>44</v>
      </c>
      <c r="S401" s="2">
        <v>8250215703</v>
      </c>
      <c r="T401" s="2" t="s">
        <v>1838</v>
      </c>
      <c r="U401" s="2" t="s">
        <v>1839</v>
      </c>
      <c r="V401" s="2">
        <v>8890876072</v>
      </c>
      <c r="W401" s="2" t="s">
        <v>1840</v>
      </c>
      <c r="X401" s="2">
        <v>10000</v>
      </c>
      <c r="Y401" s="2" t="s">
        <v>46</v>
      </c>
      <c r="Z401" s="2" t="s">
        <v>46</v>
      </c>
      <c r="AA401" s="2" t="s">
        <v>47</v>
      </c>
      <c r="AB401" s="2">
        <v>15</v>
      </c>
      <c r="AC401" s="2" t="s">
        <v>48</v>
      </c>
      <c r="AD401" s="2">
        <v>3</v>
      </c>
    </row>
    <row r="402" spans="1:30" ht="30" x14ac:dyDescent="0.25">
      <c r="A402" s="2">
        <v>10</v>
      </c>
      <c r="B402" s="2" t="s">
        <v>1108</v>
      </c>
      <c r="C402" s="2">
        <v>13515</v>
      </c>
      <c r="D402" s="3">
        <v>44074</v>
      </c>
      <c r="E402" s="2" t="s">
        <v>1841</v>
      </c>
      <c r="F402" s="2"/>
      <c r="G402" s="2" t="s">
        <v>1842</v>
      </c>
      <c r="H402" s="2" t="s">
        <v>1843</v>
      </c>
      <c r="I402" s="2" t="s">
        <v>41</v>
      </c>
      <c r="J402" s="3">
        <v>39049</v>
      </c>
      <c r="K402" s="2"/>
      <c r="L402" s="2"/>
      <c r="M402" s="2">
        <v>43</v>
      </c>
      <c r="N402" s="2">
        <v>37</v>
      </c>
      <c r="O402" s="2" t="s">
        <v>53</v>
      </c>
      <c r="P402" s="2" t="s">
        <v>43</v>
      </c>
      <c r="Q402" s="2"/>
      <c r="R402" s="2" t="s">
        <v>44</v>
      </c>
      <c r="S402" s="2">
        <v>8250215703</v>
      </c>
      <c r="T402" s="2" t="s">
        <v>1844</v>
      </c>
      <c r="U402" s="2" t="s">
        <v>1845</v>
      </c>
      <c r="V402" s="2">
        <v>9414575617</v>
      </c>
      <c r="W402" s="2" t="s">
        <v>1846</v>
      </c>
      <c r="X402" s="2">
        <v>80000</v>
      </c>
      <c r="Y402" s="2" t="s">
        <v>46</v>
      </c>
      <c r="Z402" s="2" t="s">
        <v>46</v>
      </c>
      <c r="AA402" s="2" t="s">
        <v>47</v>
      </c>
      <c r="AB402" s="2">
        <v>15</v>
      </c>
      <c r="AC402" s="2" t="s">
        <v>48</v>
      </c>
      <c r="AD402" s="2">
        <v>10</v>
      </c>
    </row>
    <row r="403" spans="1:30" ht="30" x14ac:dyDescent="0.25">
      <c r="A403" s="2">
        <v>10</v>
      </c>
      <c r="B403" s="2" t="s">
        <v>1108</v>
      </c>
      <c r="C403" s="2">
        <v>13614</v>
      </c>
      <c r="D403" s="3">
        <v>44119</v>
      </c>
      <c r="E403" s="2" t="s">
        <v>1847</v>
      </c>
      <c r="F403" s="2"/>
      <c r="G403" s="2" t="s">
        <v>1351</v>
      </c>
      <c r="H403" s="2" t="s">
        <v>1848</v>
      </c>
      <c r="I403" s="2" t="s">
        <v>41</v>
      </c>
      <c r="J403" s="3">
        <v>39213</v>
      </c>
      <c r="K403" s="2"/>
      <c r="L403" s="2"/>
      <c r="M403" s="2">
        <v>43</v>
      </c>
      <c r="N403" s="2">
        <v>37</v>
      </c>
      <c r="O403" s="2" t="s">
        <v>53</v>
      </c>
      <c r="P403" s="2" t="s">
        <v>43</v>
      </c>
      <c r="Q403" s="2"/>
      <c r="R403" s="2" t="s">
        <v>44</v>
      </c>
      <c r="S403" s="2">
        <v>8250215703</v>
      </c>
      <c r="T403" s="2" t="s">
        <v>1849</v>
      </c>
      <c r="U403" s="2"/>
      <c r="V403" s="2">
        <v>9829234874</v>
      </c>
      <c r="W403" s="2" t="s">
        <v>1850</v>
      </c>
      <c r="X403" s="2">
        <v>24000</v>
      </c>
      <c r="Y403" s="2" t="s">
        <v>46</v>
      </c>
      <c r="Z403" s="2" t="s">
        <v>46</v>
      </c>
      <c r="AA403" s="2" t="s">
        <v>47</v>
      </c>
      <c r="AB403" s="2">
        <v>14</v>
      </c>
      <c r="AC403" s="2" t="s">
        <v>48</v>
      </c>
      <c r="AD403" s="2">
        <v>2</v>
      </c>
    </row>
    <row r="404" spans="1:30" ht="30" x14ac:dyDescent="0.25">
      <c r="A404" s="2">
        <v>10</v>
      </c>
      <c r="B404" s="2" t="s">
        <v>1108</v>
      </c>
      <c r="C404" s="2">
        <v>13522</v>
      </c>
      <c r="D404" s="3">
        <v>44074</v>
      </c>
      <c r="E404" s="2" t="s">
        <v>1136</v>
      </c>
      <c r="F404" s="2"/>
      <c r="G404" s="2" t="s">
        <v>1851</v>
      </c>
      <c r="H404" s="2" t="s">
        <v>1178</v>
      </c>
      <c r="I404" s="2" t="s">
        <v>41</v>
      </c>
      <c r="J404" s="3">
        <v>39100</v>
      </c>
      <c r="K404" s="2"/>
      <c r="L404" s="2"/>
      <c r="M404" s="2">
        <v>43</v>
      </c>
      <c r="N404" s="2">
        <v>40</v>
      </c>
      <c r="O404" s="2" t="s">
        <v>53</v>
      </c>
      <c r="P404" s="2" t="s">
        <v>43</v>
      </c>
      <c r="Q404" s="2"/>
      <c r="R404" s="2" t="s">
        <v>44</v>
      </c>
      <c r="S404" s="2">
        <v>8250215703</v>
      </c>
      <c r="T404" s="2" t="s">
        <v>1852</v>
      </c>
      <c r="U404" s="2" t="s">
        <v>1853</v>
      </c>
      <c r="V404" s="2">
        <v>9929349291</v>
      </c>
      <c r="W404" s="2" t="s">
        <v>833</v>
      </c>
      <c r="X404" s="2">
        <v>36000</v>
      </c>
      <c r="Y404" s="2" t="s">
        <v>46</v>
      </c>
      <c r="Z404" s="2" t="s">
        <v>240</v>
      </c>
      <c r="AA404" s="2" t="s">
        <v>47</v>
      </c>
      <c r="AB404" s="2">
        <v>14</v>
      </c>
      <c r="AC404" s="2" t="s">
        <v>48</v>
      </c>
      <c r="AD404" s="2">
        <v>0.5</v>
      </c>
    </row>
    <row r="405" spans="1:30" ht="30" x14ac:dyDescent="0.25">
      <c r="A405" s="2">
        <v>10</v>
      </c>
      <c r="B405" s="2" t="s">
        <v>1108</v>
      </c>
      <c r="C405" s="2">
        <v>13686</v>
      </c>
      <c r="D405" s="3">
        <v>44226</v>
      </c>
      <c r="E405" s="2" t="s">
        <v>1136</v>
      </c>
      <c r="F405" s="2"/>
      <c r="G405" s="2" t="s">
        <v>758</v>
      </c>
      <c r="H405" s="2" t="s">
        <v>1854</v>
      </c>
      <c r="I405" s="2" t="s">
        <v>41</v>
      </c>
      <c r="J405" s="3">
        <v>39205</v>
      </c>
      <c r="K405" s="2"/>
      <c r="L405" s="2"/>
      <c r="M405" s="2">
        <v>43</v>
      </c>
      <c r="N405" s="2">
        <v>40</v>
      </c>
      <c r="O405" s="2" t="s">
        <v>53</v>
      </c>
      <c r="P405" s="2" t="s">
        <v>43</v>
      </c>
      <c r="Q405" s="2"/>
      <c r="R405" s="2" t="s">
        <v>44</v>
      </c>
      <c r="S405" s="2">
        <v>8250215703</v>
      </c>
      <c r="T405" s="2" t="s">
        <v>1855</v>
      </c>
      <c r="U405" s="2" t="s">
        <v>1856</v>
      </c>
      <c r="V405" s="2">
        <v>8107739927</v>
      </c>
      <c r="W405" s="2" t="s">
        <v>833</v>
      </c>
      <c r="X405" s="2">
        <v>60000</v>
      </c>
      <c r="Y405" s="2" t="s">
        <v>46</v>
      </c>
      <c r="Z405" s="2" t="s">
        <v>46</v>
      </c>
      <c r="AA405" s="2" t="s">
        <v>47</v>
      </c>
      <c r="AB405" s="2">
        <v>14</v>
      </c>
      <c r="AC405" s="2" t="s">
        <v>48</v>
      </c>
      <c r="AD405" s="2">
        <v>0.5</v>
      </c>
    </row>
    <row r="406" spans="1:30" ht="30" x14ac:dyDescent="0.25">
      <c r="A406" s="2">
        <v>10</v>
      </c>
      <c r="B406" s="2" t="s">
        <v>1108</v>
      </c>
      <c r="C406" s="2">
        <v>13555</v>
      </c>
      <c r="D406" s="3">
        <v>44085</v>
      </c>
      <c r="E406" s="2" t="s">
        <v>1857</v>
      </c>
      <c r="F406" s="2"/>
      <c r="G406" s="2" t="s">
        <v>759</v>
      </c>
      <c r="H406" s="2" t="s">
        <v>1858</v>
      </c>
      <c r="I406" s="2" t="s">
        <v>41</v>
      </c>
      <c r="J406" s="3">
        <v>38457</v>
      </c>
      <c r="K406" s="2"/>
      <c r="L406" s="2"/>
      <c r="M406" s="2">
        <v>43</v>
      </c>
      <c r="N406" s="2">
        <v>39</v>
      </c>
      <c r="O406" s="2" t="s">
        <v>53</v>
      </c>
      <c r="P406" s="2" t="s">
        <v>43</v>
      </c>
      <c r="Q406" s="2"/>
      <c r="R406" s="2" t="s">
        <v>44</v>
      </c>
      <c r="S406" s="2">
        <v>8250215703</v>
      </c>
      <c r="T406" s="2" t="s">
        <v>1859</v>
      </c>
      <c r="U406" s="2" t="s">
        <v>1860</v>
      </c>
      <c r="V406" s="2">
        <v>6376134811</v>
      </c>
      <c r="W406" s="2" t="s">
        <v>1861</v>
      </c>
      <c r="X406" s="2">
        <v>12000</v>
      </c>
      <c r="Y406" s="2" t="s">
        <v>46</v>
      </c>
      <c r="Z406" s="2" t="s">
        <v>46</v>
      </c>
      <c r="AA406" s="2" t="s">
        <v>47</v>
      </c>
      <c r="AB406" s="2">
        <v>16</v>
      </c>
      <c r="AC406" s="2" t="s">
        <v>48</v>
      </c>
      <c r="AD406" s="2">
        <v>2</v>
      </c>
    </row>
    <row r="407" spans="1:30" ht="30" x14ac:dyDescent="0.25">
      <c r="A407" s="2">
        <v>10</v>
      </c>
      <c r="B407" s="2" t="s">
        <v>1108</v>
      </c>
      <c r="C407" s="2">
        <v>13592</v>
      </c>
      <c r="D407" s="3">
        <v>44109</v>
      </c>
      <c r="E407" s="2" t="s">
        <v>1862</v>
      </c>
      <c r="F407" s="2"/>
      <c r="G407" s="2" t="s">
        <v>1863</v>
      </c>
      <c r="H407" s="2" t="s">
        <v>1864</v>
      </c>
      <c r="I407" s="2" t="s">
        <v>41</v>
      </c>
      <c r="J407" s="3">
        <v>38908</v>
      </c>
      <c r="K407" s="2"/>
      <c r="L407" s="2"/>
      <c r="M407" s="2">
        <v>43</v>
      </c>
      <c r="N407" s="2">
        <v>40</v>
      </c>
      <c r="O407" s="2" t="s">
        <v>42</v>
      </c>
      <c r="P407" s="2" t="s">
        <v>43</v>
      </c>
      <c r="Q407" s="2"/>
      <c r="R407" s="2" t="s">
        <v>44</v>
      </c>
      <c r="S407" s="2">
        <v>8250215703</v>
      </c>
      <c r="T407" s="2" t="s">
        <v>1865</v>
      </c>
      <c r="U407" s="2" t="s">
        <v>1866</v>
      </c>
      <c r="V407" s="2">
        <v>8949861075</v>
      </c>
      <c r="W407" s="2" t="s">
        <v>1867</v>
      </c>
      <c r="X407" s="2">
        <v>40000</v>
      </c>
      <c r="Y407" s="2" t="s">
        <v>46</v>
      </c>
      <c r="Z407" s="2" t="s">
        <v>46</v>
      </c>
      <c r="AA407" s="2" t="s">
        <v>47</v>
      </c>
      <c r="AB407" s="2">
        <v>15</v>
      </c>
      <c r="AC407" s="2" t="s">
        <v>1645</v>
      </c>
      <c r="AD407" s="2">
        <v>4</v>
      </c>
    </row>
    <row r="408" spans="1:30" ht="30" x14ac:dyDescent="0.25">
      <c r="A408" s="2">
        <v>10</v>
      </c>
      <c r="B408" s="2" t="s">
        <v>1108</v>
      </c>
      <c r="C408" s="2">
        <v>13872</v>
      </c>
      <c r="D408" s="3">
        <v>44406</v>
      </c>
      <c r="E408" s="2" t="s">
        <v>1868</v>
      </c>
      <c r="F408" s="2"/>
      <c r="G408" s="2" t="s">
        <v>1869</v>
      </c>
      <c r="H408" s="2" t="s">
        <v>1870</v>
      </c>
      <c r="I408" s="2" t="s">
        <v>41</v>
      </c>
      <c r="J408" s="3">
        <v>39118</v>
      </c>
      <c r="K408" s="2"/>
      <c r="L408" s="2"/>
      <c r="M408" s="2">
        <v>43</v>
      </c>
      <c r="N408" s="2">
        <v>38</v>
      </c>
      <c r="O408" s="2" t="s">
        <v>42</v>
      </c>
      <c r="P408" s="2" t="s">
        <v>54</v>
      </c>
      <c r="Q408" s="2"/>
      <c r="R408" s="2" t="s">
        <v>44</v>
      </c>
      <c r="S408" s="2">
        <v>8250215703</v>
      </c>
      <c r="T408" s="2" t="s">
        <v>1871</v>
      </c>
      <c r="U408" s="2" t="s">
        <v>1872</v>
      </c>
      <c r="V408" s="2">
        <v>9928750202</v>
      </c>
      <c r="W408" s="2" t="s">
        <v>1873</v>
      </c>
      <c r="X408" s="2">
        <v>60000</v>
      </c>
      <c r="Y408" s="2" t="s">
        <v>46</v>
      </c>
      <c r="Z408" s="2" t="s">
        <v>46</v>
      </c>
      <c r="AA408" s="2" t="s">
        <v>57</v>
      </c>
      <c r="AB408" s="2">
        <v>14</v>
      </c>
      <c r="AC408" s="2" t="s">
        <v>48</v>
      </c>
      <c r="AD408" s="2">
        <v>3</v>
      </c>
    </row>
    <row r="409" spans="1:30" ht="30" x14ac:dyDescent="0.25">
      <c r="A409" s="2">
        <v>10</v>
      </c>
      <c r="B409" s="2" t="s">
        <v>1108</v>
      </c>
      <c r="C409" s="2">
        <v>13772</v>
      </c>
      <c r="D409" s="3">
        <v>44396</v>
      </c>
      <c r="E409" s="2" t="s">
        <v>1874</v>
      </c>
      <c r="F409" s="2"/>
      <c r="G409" s="2" t="s">
        <v>1875</v>
      </c>
      <c r="H409" s="2" t="s">
        <v>1876</v>
      </c>
      <c r="I409" s="2" t="s">
        <v>41</v>
      </c>
      <c r="J409" s="3">
        <v>38873</v>
      </c>
      <c r="K409" s="2"/>
      <c r="L409" s="2"/>
      <c r="M409" s="2">
        <v>43</v>
      </c>
      <c r="N409" s="2">
        <v>36</v>
      </c>
      <c r="O409" s="2" t="s">
        <v>53</v>
      </c>
      <c r="P409" s="2" t="s">
        <v>54</v>
      </c>
      <c r="Q409" s="2"/>
      <c r="R409" s="2" t="s">
        <v>44</v>
      </c>
      <c r="S409" s="2">
        <v>8250215703</v>
      </c>
      <c r="T409" s="2" t="s">
        <v>1019</v>
      </c>
      <c r="U409" s="2"/>
      <c r="V409" s="2">
        <v>9887717782</v>
      </c>
      <c r="W409" s="2" t="s">
        <v>1877</v>
      </c>
      <c r="X409" s="2">
        <v>600000</v>
      </c>
      <c r="Y409" s="2" t="s">
        <v>46</v>
      </c>
      <c r="Z409" s="2" t="s">
        <v>46</v>
      </c>
      <c r="AA409" s="2" t="s">
        <v>57</v>
      </c>
      <c r="AB409" s="2">
        <v>15</v>
      </c>
      <c r="AC409" s="2" t="s">
        <v>48</v>
      </c>
      <c r="AD409" s="2">
        <v>2</v>
      </c>
    </row>
    <row r="410" spans="1:30" ht="30" x14ac:dyDescent="0.25">
      <c r="A410" s="2">
        <v>10</v>
      </c>
      <c r="B410" s="2" t="s">
        <v>1108</v>
      </c>
      <c r="C410" s="2">
        <v>13450</v>
      </c>
      <c r="D410" s="3">
        <v>44047</v>
      </c>
      <c r="E410" s="2" t="s">
        <v>1878</v>
      </c>
      <c r="F410" s="2"/>
      <c r="G410" s="2" t="s">
        <v>1879</v>
      </c>
      <c r="H410" s="2" t="s">
        <v>1880</v>
      </c>
      <c r="I410" s="2" t="s">
        <v>41</v>
      </c>
      <c r="J410" s="3">
        <v>38509</v>
      </c>
      <c r="K410" s="2"/>
      <c r="L410" s="2"/>
      <c r="M410" s="2">
        <v>43</v>
      </c>
      <c r="N410" s="2">
        <v>36</v>
      </c>
      <c r="O410" s="2" t="s">
        <v>53</v>
      </c>
      <c r="P410" s="2" t="s">
        <v>43</v>
      </c>
      <c r="Q410" s="2"/>
      <c r="R410" s="2" t="s">
        <v>44</v>
      </c>
      <c r="S410" s="2">
        <v>8250215703</v>
      </c>
      <c r="T410" s="2" t="s">
        <v>1881</v>
      </c>
      <c r="U410" s="2" t="s">
        <v>1882</v>
      </c>
      <c r="V410" s="2">
        <v>9929342080</v>
      </c>
      <c r="W410" s="2" t="s">
        <v>1883</v>
      </c>
      <c r="X410" s="2">
        <v>36000</v>
      </c>
      <c r="Y410" s="2" t="s">
        <v>46</v>
      </c>
      <c r="Z410" s="2" t="s">
        <v>240</v>
      </c>
      <c r="AA410" s="2" t="s">
        <v>47</v>
      </c>
      <c r="AB410" s="2">
        <v>16</v>
      </c>
      <c r="AC410" s="2" t="s">
        <v>1645</v>
      </c>
      <c r="AD410" s="2">
        <v>1</v>
      </c>
    </row>
    <row r="411" spans="1:30" ht="30" x14ac:dyDescent="0.25">
      <c r="A411" s="2">
        <v>10</v>
      </c>
      <c r="B411" s="2" t="s">
        <v>1108</v>
      </c>
      <c r="C411" s="2">
        <v>13454</v>
      </c>
      <c r="D411" s="3">
        <v>44047</v>
      </c>
      <c r="E411" s="2" t="s">
        <v>1419</v>
      </c>
      <c r="F411" s="2"/>
      <c r="G411" s="2" t="s">
        <v>1884</v>
      </c>
      <c r="H411" s="2" t="s">
        <v>1885</v>
      </c>
      <c r="I411" s="2" t="s">
        <v>41</v>
      </c>
      <c r="J411" s="3">
        <v>38593</v>
      </c>
      <c r="K411" s="2"/>
      <c r="L411" s="2"/>
      <c r="M411" s="2">
        <v>43</v>
      </c>
      <c r="N411" s="2">
        <v>37</v>
      </c>
      <c r="O411" s="2" t="s">
        <v>78</v>
      </c>
      <c r="P411" s="2" t="s">
        <v>43</v>
      </c>
      <c r="Q411" s="2"/>
      <c r="R411" s="2" t="s">
        <v>44</v>
      </c>
      <c r="S411" s="2">
        <v>8250215703</v>
      </c>
      <c r="T411" s="2" t="s">
        <v>1886</v>
      </c>
      <c r="U411" s="2" t="s">
        <v>954</v>
      </c>
      <c r="V411" s="2">
        <v>9982916868</v>
      </c>
      <c r="W411" s="2" t="s">
        <v>1887</v>
      </c>
      <c r="X411" s="2">
        <v>40000</v>
      </c>
      <c r="Y411" s="2" t="s">
        <v>46</v>
      </c>
      <c r="Z411" s="2" t="s">
        <v>46</v>
      </c>
      <c r="AA411" s="2" t="s">
        <v>47</v>
      </c>
      <c r="AB411" s="2">
        <v>16</v>
      </c>
      <c r="AC411" s="2" t="s">
        <v>48</v>
      </c>
      <c r="AD411" s="2">
        <v>2</v>
      </c>
    </row>
    <row r="412" spans="1:30" ht="30" x14ac:dyDescent="0.25">
      <c r="A412" s="2">
        <v>10</v>
      </c>
      <c r="B412" s="2" t="s">
        <v>1108</v>
      </c>
      <c r="C412" s="2">
        <v>13525</v>
      </c>
      <c r="D412" s="3">
        <v>44074</v>
      </c>
      <c r="E412" s="2" t="s">
        <v>1888</v>
      </c>
      <c r="F412" s="2"/>
      <c r="G412" s="2" t="s">
        <v>1889</v>
      </c>
      <c r="H412" s="2" t="s">
        <v>909</v>
      </c>
      <c r="I412" s="2" t="s">
        <v>41</v>
      </c>
      <c r="J412" s="3">
        <v>38689</v>
      </c>
      <c r="K412" s="2"/>
      <c r="L412" s="2"/>
      <c r="M412" s="2">
        <v>43</v>
      </c>
      <c r="N412" s="2">
        <v>40</v>
      </c>
      <c r="O412" s="2" t="s">
        <v>78</v>
      </c>
      <c r="P412" s="2" t="s">
        <v>43</v>
      </c>
      <c r="Q412" s="2"/>
      <c r="R412" s="2" t="s">
        <v>44</v>
      </c>
      <c r="S412" s="2">
        <v>8250215703</v>
      </c>
      <c r="T412" s="2" t="s">
        <v>1890</v>
      </c>
      <c r="U412" s="2"/>
      <c r="V412" s="2">
        <v>9680070695</v>
      </c>
      <c r="W412" s="2" t="s">
        <v>1891</v>
      </c>
      <c r="X412" s="2">
        <v>36000</v>
      </c>
      <c r="Y412" s="2" t="s">
        <v>46</v>
      </c>
      <c r="Z412" s="2" t="s">
        <v>46</v>
      </c>
      <c r="AA412" s="2" t="s">
        <v>47</v>
      </c>
      <c r="AB412" s="2">
        <v>16</v>
      </c>
      <c r="AC412" s="2" t="s">
        <v>48</v>
      </c>
      <c r="AD412" s="2">
        <v>2</v>
      </c>
    </row>
    <row r="413" spans="1:30" ht="30" x14ac:dyDescent="0.25">
      <c r="A413" s="2">
        <v>10</v>
      </c>
      <c r="B413" s="2" t="s">
        <v>1108</v>
      </c>
      <c r="C413" s="2">
        <v>13572</v>
      </c>
      <c r="D413" s="3">
        <v>44090</v>
      </c>
      <c r="E413" s="2" t="s">
        <v>1892</v>
      </c>
      <c r="F413" s="2"/>
      <c r="G413" s="2" t="s">
        <v>1893</v>
      </c>
      <c r="H413" s="2" t="s">
        <v>1894</v>
      </c>
      <c r="I413" s="2" t="s">
        <v>41</v>
      </c>
      <c r="J413" s="3">
        <v>39270</v>
      </c>
      <c r="K413" s="2"/>
      <c r="L413" s="2"/>
      <c r="M413" s="2">
        <v>43</v>
      </c>
      <c r="N413" s="2">
        <v>40</v>
      </c>
      <c r="O413" s="2" t="s">
        <v>53</v>
      </c>
      <c r="P413" s="2" t="s">
        <v>43</v>
      </c>
      <c r="Q413" s="2"/>
      <c r="R413" s="2" t="s">
        <v>44</v>
      </c>
      <c r="S413" s="2">
        <v>8250215703</v>
      </c>
      <c r="T413" s="2" t="s">
        <v>1895</v>
      </c>
      <c r="U413" s="2" t="s">
        <v>1896</v>
      </c>
      <c r="V413" s="2">
        <v>9928903457</v>
      </c>
      <c r="W413" s="2" t="s">
        <v>1897</v>
      </c>
      <c r="X413" s="2">
        <v>80000</v>
      </c>
      <c r="Y413" s="2" t="s">
        <v>46</v>
      </c>
      <c r="Z413" s="2" t="s">
        <v>46</v>
      </c>
      <c r="AA413" s="2" t="s">
        <v>47</v>
      </c>
      <c r="AB413" s="2">
        <v>14</v>
      </c>
      <c r="AC413" s="2" t="s">
        <v>48</v>
      </c>
      <c r="AD413" s="2">
        <v>1</v>
      </c>
    </row>
    <row r="414" spans="1:30" ht="30" x14ac:dyDescent="0.25">
      <c r="A414" s="2">
        <v>10</v>
      </c>
      <c r="B414" s="2" t="s">
        <v>1108</v>
      </c>
      <c r="C414" s="2">
        <v>13741</v>
      </c>
      <c r="D414" s="3">
        <v>44393</v>
      </c>
      <c r="E414" s="2" t="s">
        <v>1898</v>
      </c>
      <c r="F414" s="2"/>
      <c r="G414" s="2" t="s">
        <v>898</v>
      </c>
      <c r="H414" s="2" t="s">
        <v>899</v>
      </c>
      <c r="I414" s="2" t="s">
        <v>41</v>
      </c>
      <c r="J414" s="3">
        <v>38592</v>
      </c>
      <c r="K414" s="2"/>
      <c r="L414" s="2"/>
      <c r="M414" s="2">
        <v>43</v>
      </c>
      <c r="N414" s="2">
        <v>37</v>
      </c>
      <c r="O414" s="2" t="s">
        <v>53</v>
      </c>
      <c r="P414" s="2" t="s">
        <v>43</v>
      </c>
      <c r="Q414" s="2"/>
      <c r="R414" s="2" t="s">
        <v>44</v>
      </c>
      <c r="S414" s="2">
        <v>8250215703</v>
      </c>
      <c r="T414" s="2" t="s">
        <v>1899</v>
      </c>
      <c r="U414" s="2" t="s">
        <v>901</v>
      </c>
      <c r="V414" s="2">
        <v>8005918241</v>
      </c>
      <c r="W414" s="2" t="s">
        <v>1900</v>
      </c>
      <c r="X414" s="2">
        <v>72000</v>
      </c>
      <c r="Y414" s="2" t="s">
        <v>46</v>
      </c>
      <c r="Z414" s="2" t="s">
        <v>46</v>
      </c>
      <c r="AA414" s="2" t="s">
        <v>47</v>
      </c>
      <c r="AB414" s="2">
        <v>16</v>
      </c>
      <c r="AC414" s="2" t="s">
        <v>48</v>
      </c>
      <c r="AD414" s="2">
        <v>1</v>
      </c>
    </row>
    <row r="415" spans="1:30" ht="30" x14ac:dyDescent="0.25">
      <c r="A415" s="2">
        <v>10</v>
      </c>
      <c r="B415" s="2" t="s">
        <v>1108</v>
      </c>
      <c r="C415" s="2">
        <v>13545</v>
      </c>
      <c r="D415" s="3">
        <v>44083</v>
      </c>
      <c r="E415" s="2" t="s">
        <v>1901</v>
      </c>
      <c r="F415" s="2"/>
      <c r="G415" s="2" t="s">
        <v>1902</v>
      </c>
      <c r="H415" s="2" t="s">
        <v>1903</v>
      </c>
      <c r="I415" s="2" t="s">
        <v>41</v>
      </c>
      <c r="J415" s="3">
        <v>38219</v>
      </c>
      <c r="K415" s="2"/>
      <c r="L415" s="2"/>
      <c r="M415" s="2">
        <v>43</v>
      </c>
      <c r="N415" s="2">
        <v>38</v>
      </c>
      <c r="O415" s="2" t="s">
        <v>78</v>
      </c>
      <c r="P415" s="2" t="s">
        <v>43</v>
      </c>
      <c r="Q415" s="2"/>
      <c r="R415" s="2" t="s">
        <v>44</v>
      </c>
      <c r="S415" s="2">
        <v>8250215703</v>
      </c>
      <c r="T415" s="2" t="s">
        <v>1904</v>
      </c>
      <c r="U415" s="2" t="s">
        <v>1905</v>
      </c>
      <c r="V415" s="2">
        <v>9660545911</v>
      </c>
      <c r="W415" s="2" t="s">
        <v>1730</v>
      </c>
      <c r="X415" s="2">
        <v>36000</v>
      </c>
      <c r="Y415" s="2" t="s">
        <v>46</v>
      </c>
      <c r="Z415" s="2" t="s">
        <v>46</v>
      </c>
      <c r="AA415" s="2" t="s">
        <v>47</v>
      </c>
      <c r="AB415" s="2">
        <v>17</v>
      </c>
      <c r="AC415" s="2" t="s">
        <v>48</v>
      </c>
      <c r="AD415" s="2">
        <v>0</v>
      </c>
    </row>
    <row r="416" spans="1:30" ht="30" x14ac:dyDescent="0.25">
      <c r="A416" s="2">
        <v>10</v>
      </c>
      <c r="B416" s="2" t="s">
        <v>1108</v>
      </c>
      <c r="C416" s="2">
        <v>13513</v>
      </c>
      <c r="D416" s="3">
        <v>44069</v>
      </c>
      <c r="E416" s="2" t="s">
        <v>1906</v>
      </c>
      <c r="F416" s="2"/>
      <c r="G416" s="2" t="s">
        <v>1907</v>
      </c>
      <c r="H416" s="2" t="s">
        <v>319</v>
      </c>
      <c r="I416" s="2" t="s">
        <v>41</v>
      </c>
      <c r="J416" s="3">
        <v>39054</v>
      </c>
      <c r="K416" s="2"/>
      <c r="L416" s="2"/>
      <c r="M416" s="2">
        <v>43</v>
      </c>
      <c r="N416" s="2">
        <v>36</v>
      </c>
      <c r="O416" s="2" t="s">
        <v>53</v>
      </c>
      <c r="P416" s="2" t="s">
        <v>43</v>
      </c>
      <c r="Q416" s="2"/>
      <c r="R416" s="2" t="s">
        <v>44</v>
      </c>
      <c r="S416" s="2">
        <v>8250215703</v>
      </c>
      <c r="T416" s="2" t="s">
        <v>1042</v>
      </c>
      <c r="U416" s="2"/>
      <c r="V416" s="2">
        <v>9772965597</v>
      </c>
      <c r="W416" s="2" t="s">
        <v>1908</v>
      </c>
      <c r="X416" s="2">
        <v>48000</v>
      </c>
      <c r="Y416" s="2" t="s">
        <v>46</v>
      </c>
      <c r="Z416" s="2" t="s">
        <v>46</v>
      </c>
      <c r="AA416" s="2" t="s">
        <v>47</v>
      </c>
      <c r="AB416" s="2">
        <v>15</v>
      </c>
      <c r="AC416" s="2" t="s">
        <v>48</v>
      </c>
      <c r="AD416" s="2">
        <v>2</v>
      </c>
    </row>
    <row r="417" spans="1:30" ht="30" x14ac:dyDescent="0.25">
      <c r="A417" s="2">
        <v>11</v>
      </c>
      <c r="B417" s="2" t="s">
        <v>37</v>
      </c>
      <c r="C417" s="2">
        <v>13863</v>
      </c>
      <c r="D417" s="3">
        <v>44406</v>
      </c>
      <c r="E417" s="2" t="s">
        <v>1909</v>
      </c>
      <c r="F417" s="2"/>
      <c r="G417" s="2" t="s">
        <v>1910</v>
      </c>
      <c r="H417" s="2" t="s">
        <v>1081</v>
      </c>
      <c r="I417" s="2" t="s">
        <v>52</v>
      </c>
      <c r="J417" s="3">
        <v>37420</v>
      </c>
      <c r="K417" s="2"/>
      <c r="L417" s="2"/>
      <c r="M417" s="2">
        <v>43</v>
      </c>
      <c r="N417" s="2">
        <v>20</v>
      </c>
      <c r="O417" s="2" t="s">
        <v>53</v>
      </c>
      <c r="P417" s="2" t="s">
        <v>43</v>
      </c>
      <c r="Q417" s="2"/>
      <c r="R417" s="2" t="s">
        <v>44</v>
      </c>
      <c r="S417" s="2">
        <v>8250215703</v>
      </c>
      <c r="T417" s="2" t="s">
        <v>1911</v>
      </c>
      <c r="U417" s="2" t="s">
        <v>1083</v>
      </c>
      <c r="V417" s="2">
        <v>9351319049</v>
      </c>
      <c r="W417" s="2" t="s">
        <v>1912</v>
      </c>
      <c r="X417" s="2">
        <v>36000</v>
      </c>
      <c r="Y417" s="2" t="s">
        <v>46</v>
      </c>
      <c r="Z417" s="2" t="s">
        <v>240</v>
      </c>
      <c r="AA417" s="2" t="s">
        <v>47</v>
      </c>
      <c r="AB417" s="2">
        <v>19</v>
      </c>
      <c r="AC417" s="2" t="s">
        <v>48</v>
      </c>
      <c r="AD417" s="2">
        <v>5</v>
      </c>
    </row>
    <row r="418" spans="1:30" ht="30" x14ac:dyDescent="0.25">
      <c r="A418" s="2">
        <v>11</v>
      </c>
      <c r="B418" s="2" t="s">
        <v>37</v>
      </c>
      <c r="C418" s="2">
        <v>13936</v>
      </c>
      <c r="D418" s="3">
        <v>44426</v>
      </c>
      <c r="E418" s="2" t="s">
        <v>1913</v>
      </c>
      <c r="F418" s="2"/>
      <c r="G418" s="2" t="s">
        <v>1914</v>
      </c>
      <c r="H418" s="2" t="s">
        <v>1915</v>
      </c>
      <c r="I418" s="2" t="s">
        <v>41</v>
      </c>
      <c r="J418" s="3">
        <v>38661</v>
      </c>
      <c r="K418" s="2"/>
      <c r="L418" s="2"/>
      <c r="M418" s="2">
        <v>43</v>
      </c>
      <c r="N418" s="2">
        <v>16</v>
      </c>
      <c r="O418" s="2" t="s">
        <v>53</v>
      </c>
      <c r="P418" s="2" t="s">
        <v>54</v>
      </c>
      <c r="Q418" s="2"/>
      <c r="R418" s="2" t="s">
        <v>44</v>
      </c>
      <c r="S418" s="2">
        <v>8250215703</v>
      </c>
      <c r="T418" s="2" t="s">
        <v>1916</v>
      </c>
      <c r="U418" s="2"/>
      <c r="V418" s="2">
        <v>8107739790</v>
      </c>
      <c r="W418" s="2" t="s">
        <v>1917</v>
      </c>
      <c r="X418" s="2">
        <v>96000</v>
      </c>
      <c r="Y418" s="2" t="s">
        <v>46</v>
      </c>
      <c r="Z418" s="2" t="s">
        <v>46</v>
      </c>
      <c r="AA418" s="2" t="s">
        <v>57</v>
      </c>
      <c r="AB418" s="2">
        <v>16</v>
      </c>
      <c r="AC418" s="2" t="s">
        <v>48</v>
      </c>
      <c r="AD418" s="2">
        <v>2</v>
      </c>
    </row>
    <row r="419" spans="1:30" ht="30" x14ac:dyDescent="0.25">
      <c r="A419" s="2">
        <v>11</v>
      </c>
      <c r="B419" s="2" t="s">
        <v>37</v>
      </c>
      <c r="C419" s="2">
        <v>13969</v>
      </c>
      <c r="D419" s="3">
        <v>44446</v>
      </c>
      <c r="E419" s="2" t="s">
        <v>1918</v>
      </c>
      <c r="F419" s="2"/>
      <c r="G419" s="2" t="s">
        <v>1851</v>
      </c>
      <c r="H419" s="2" t="s">
        <v>1919</v>
      </c>
      <c r="I419" s="2" t="s">
        <v>41</v>
      </c>
      <c r="J419" s="3">
        <v>39052</v>
      </c>
      <c r="K419" s="2"/>
      <c r="L419" s="2"/>
      <c r="M419" s="2">
        <v>43</v>
      </c>
      <c r="N419" s="2">
        <v>18</v>
      </c>
      <c r="O419" s="2" t="s">
        <v>53</v>
      </c>
      <c r="P419" s="2" t="s">
        <v>43</v>
      </c>
      <c r="Q419" s="2"/>
      <c r="R419" s="2" t="s">
        <v>44</v>
      </c>
      <c r="S419" s="2">
        <v>8250215703</v>
      </c>
      <c r="T419" s="2" t="s">
        <v>1920</v>
      </c>
      <c r="U419" s="2" t="s">
        <v>1921</v>
      </c>
      <c r="V419" s="2">
        <v>9680020443</v>
      </c>
      <c r="W419" s="2" t="s">
        <v>1922</v>
      </c>
      <c r="X419" s="2">
        <v>42000</v>
      </c>
      <c r="Y419" s="2" t="s">
        <v>46</v>
      </c>
      <c r="Z419" s="2" t="s">
        <v>46</v>
      </c>
      <c r="AA419" s="2" t="s">
        <v>47</v>
      </c>
      <c r="AB419" s="2">
        <v>15</v>
      </c>
      <c r="AC419" s="2" t="s">
        <v>48</v>
      </c>
      <c r="AD419" s="2">
        <v>1</v>
      </c>
    </row>
    <row r="420" spans="1:30" ht="30" x14ac:dyDescent="0.25">
      <c r="A420" s="2">
        <v>11</v>
      </c>
      <c r="B420" s="2" t="s">
        <v>37</v>
      </c>
      <c r="C420" s="2">
        <v>13931</v>
      </c>
      <c r="D420" s="3">
        <v>44426</v>
      </c>
      <c r="E420" s="2" t="s">
        <v>1923</v>
      </c>
      <c r="F420" s="2"/>
      <c r="G420" s="2" t="s">
        <v>1924</v>
      </c>
      <c r="H420" s="2" t="s">
        <v>1925</v>
      </c>
      <c r="I420" s="2" t="s">
        <v>41</v>
      </c>
      <c r="J420" s="3">
        <v>38913</v>
      </c>
      <c r="K420" s="2"/>
      <c r="L420" s="2"/>
      <c r="M420" s="2">
        <v>43</v>
      </c>
      <c r="N420" s="2">
        <v>16</v>
      </c>
      <c r="O420" s="2" t="s">
        <v>53</v>
      </c>
      <c r="P420" s="2" t="s">
        <v>43</v>
      </c>
      <c r="Q420" s="2"/>
      <c r="R420" s="2" t="s">
        <v>44</v>
      </c>
      <c r="S420" s="2">
        <v>8250215703</v>
      </c>
      <c r="T420" s="2" t="s">
        <v>1926</v>
      </c>
      <c r="U420" s="2" t="s">
        <v>1927</v>
      </c>
      <c r="V420" s="2">
        <v>9205052565</v>
      </c>
      <c r="W420" s="2" t="s">
        <v>1928</v>
      </c>
      <c r="X420" s="2">
        <v>150000</v>
      </c>
      <c r="Y420" s="2" t="s">
        <v>46</v>
      </c>
      <c r="Z420" s="2" t="s">
        <v>46</v>
      </c>
      <c r="AA420" s="2" t="s">
        <v>47</v>
      </c>
      <c r="AB420" s="2">
        <v>15</v>
      </c>
      <c r="AC420" s="2" t="s">
        <v>48</v>
      </c>
      <c r="AD420" s="2">
        <v>13</v>
      </c>
    </row>
    <row r="421" spans="1:30" ht="30" x14ac:dyDescent="0.25">
      <c r="A421" s="2">
        <v>11</v>
      </c>
      <c r="B421" s="2" t="s">
        <v>37</v>
      </c>
      <c r="C421" s="2">
        <v>13881</v>
      </c>
      <c r="D421" s="3">
        <v>44413</v>
      </c>
      <c r="E421" s="2" t="s">
        <v>1929</v>
      </c>
      <c r="F421" s="2"/>
      <c r="G421" s="2" t="s">
        <v>1930</v>
      </c>
      <c r="H421" s="2" t="s">
        <v>941</v>
      </c>
      <c r="I421" s="2" t="s">
        <v>52</v>
      </c>
      <c r="J421" s="3">
        <v>39159</v>
      </c>
      <c r="K421" s="2"/>
      <c r="L421" s="2"/>
      <c r="M421" s="2">
        <v>43</v>
      </c>
      <c r="N421" s="2">
        <v>20</v>
      </c>
      <c r="O421" s="2" t="s">
        <v>53</v>
      </c>
      <c r="P421" s="2" t="s">
        <v>43</v>
      </c>
      <c r="Q421" s="2"/>
      <c r="R421" s="2" t="s">
        <v>44</v>
      </c>
      <c r="S421" s="2">
        <v>8250215703</v>
      </c>
      <c r="T421" s="2" t="s">
        <v>1931</v>
      </c>
      <c r="U421" s="2" t="s">
        <v>1932</v>
      </c>
      <c r="V421" s="2">
        <v>8432271986</v>
      </c>
      <c r="W421" s="2" t="s">
        <v>1933</v>
      </c>
      <c r="X421" s="2">
        <v>1023225</v>
      </c>
      <c r="Y421" s="2" t="s">
        <v>46</v>
      </c>
      <c r="Z421" s="2" t="s">
        <v>46</v>
      </c>
      <c r="AA421" s="2" t="s">
        <v>47</v>
      </c>
      <c r="AB421" s="2">
        <v>14</v>
      </c>
      <c r="AC421" s="2" t="s">
        <v>48</v>
      </c>
      <c r="AD421" s="2">
        <v>4</v>
      </c>
    </row>
    <row r="422" spans="1:30" ht="30" x14ac:dyDescent="0.25">
      <c r="A422" s="2">
        <v>11</v>
      </c>
      <c r="B422" s="2" t="s">
        <v>37</v>
      </c>
      <c r="C422" s="2">
        <v>13808</v>
      </c>
      <c r="D422" s="3">
        <v>44399</v>
      </c>
      <c r="E422" s="2" t="s">
        <v>1934</v>
      </c>
      <c r="F422" s="2"/>
      <c r="G422" s="2" t="s">
        <v>1218</v>
      </c>
      <c r="H422" s="2" t="s">
        <v>1935</v>
      </c>
      <c r="I422" s="2" t="s">
        <v>52</v>
      </c>
      <c r="J422" s="3">
        <v>39047</v>
      </c>
      <c r="K422" s="2"/>
      <c r="L422" s="2"/>
      <c r="M422" s="2">
        <v>43</v>
      </c>
      <c r="N422" s="2">
        <v>21</v>
      </c>
      <c r="O422" s="2" t="s">
        <v>78</v>
      </c>
      <c r="P422" s="2" t="s">
        <v>43</v>
      </c>
      <c r="Q422" s="2"/>
      <c r="R422" s="2" t="s">
        <v>44</v>
      </c>
      <c r="S422" s="2">
        <v>8250215703</v>
      </c>
      <c r="T422" s="2" t="s">
        <v>1004</v>
      </c>
      <c r="U422" s="2" t="s">
        <v>1936</v>
      </c>
      <c r="V422" s="2">
        <v>9079840574</v>
      </c>
      <c r="W422" s="2" t="s">
        <v>1937</v>
      </c>
      <c r="X422" s="2">
        <v>48000</v>
      </c>
      <c r="Y422" s="2" t="s">
        <v>46</v>
      </c>
      <c r="Z422" s="2" t="s">
        <v>46</v>
      </c>
      <c r="AA422" s="2" t="s">
        <v>47</v>
      </c>
      <c r="AB422" s="2">
        <v>15</v>
      </c>
      <c r="AC422" s="2" t="s">
        <v>48</v>
      </c>
      <c r="AD422" s="2">
        <v>3</v>
      </c>
    </row>
    <row r="423" spans="1:30" ht="30" x14ac:dyDescent="0.25">
      <c r="A423" s="2">
        <v>11</v>
      </c>
      <c r="B423" s="2" t="s">
        <v>37</v>
      </c>
      <c r="C423" s="2">
        <v>12626</v>
      </c>
      <c r="D423" s="3">
        <v>42577</v>
      </c>
      <c r="E423" s="2" t="s">
        <v>1938</v>
      </c>
      <c r="F423" s="2"/>
      <c r="G423" s="2" t="s">
        <v>488</v>
      </c>
      <c r="H423" s="2" t="s">
        <v>489</v>
      </c>
      <c r="I423" s="2" t="s">
        <v>41</v>
      </c>
      <c r="J423" s="3">
        <v>39083</v>
      </c>
      <c r="K423" s="2"/>
      <c r="L423" s="2"/>
      <c r="M423" s="2">
        <v>43</v>
      </c>
      <c r="N423" s="2">
        <v>22</v>
      </c>
      <c r="O423" s="2" t="s">
        <v>42</v>
      </c>
      <c r="P423" s="2" t="s">
        <v>43</v>
      </c>
      <c r="Q423" s="2"/>
      <c r="R423" s="2" t="s">
        <v>44</v>
      </c>
      <c r="S423" s="2">
        <v>8250215703</v>
      </c>
      <c r="T423" s="2" t="s">
        <v>1939</v>
      </c>
      <c r="U423" s="2"/>
      <c r="V423" s="2">
        <v>9983556319</v>
      </c>
      <c r="W423" s="2" t="s">
        <v>1940</v>
      </c>
      <c r="X423" s="2">
        <v>240000</v>
      </c>
      <c r="Y423" s="2" t="s">
        <v>46</v>
      </c>
      <c r="Z423" s="2" t="s">
        <v>46</v>
      </c>
      <c r="AA423" s="2" t="s">
        <v>47</v>
      </c>
      <c r="AB423" s="2">
        <v>14</v>
      </c>
      <c r="AC423" s="2" t="s">
        <v>48</v>
      </c>
      <c r="AD423" s="2">
        <v>1</v>
      </c>
    </row>
    <row r="424" spans="1:30" ht="30" x14ac:dyDescent="0.25">
      <c r="A424" s="2">
        <v>11</v>
      </c>
      <c r="B424" s="2" t="s">
        <v>37</v>
      </c>
      <c r="C424" s="2">
        <v>13807</v>
      </c>
      <c r="D424" s="3">
        <v>44399</v>
      </c>
      <c r="E424" s="2" t="s">
        <v>1941</v>
      </c>
      <c r="F424" s="2"/>
      <c r="G424" s="2" t="s">
        <v>1942</v>
      </c>
      <c r="H424" s="2" t="s">
        <v>1943</v>
      </c>
      <c r="I424" s="2" t="s">
        <v>41</v>
      </c>
      <c r="J424" s="3">
        <v>38623</v>
      </c>
      <c r="K424" s="2"/>
      <c r="L424" s="2"/>
      <c r="M424" s="2">
        <v>43</v>
      </c>
      <c r="N424" s="2">
        <v>21</v>
      </c>
      <c r="O424" s="2" t="s">
        <v>42</v>
      </c>
      <c r="P424" s="2" t="s">
        <v>43</v>
      </c>
      <c r="Q424" s="2"/>
      <c r="R424" s="2" t="s">
        <v>44</v>
      </c>
      <c r="S424" s="2">
        <v>8250215703</v>
      </c>
      <c r="T424" s="2" t="s">
        <v>1944</v>
      </c>
      <c r="U424" s="2"/>
      <c r="V424" s="2">
        <v>9427490952</v>
      </c>
      <c r="W424" s="2" t="s">
        <v>1945</v>
      </c>
      <c r="X424" s="2">
        <v>40000</v>
      </c>
      <c r="Y424" s="2" t="s">
        <v>46</v>
      </c>
      <c r="Z424" s="2" t="s">
        <v>46</v>
      </c>
      <c r="AA424" s="2" t="s">
        <v>47</v>
      </c>
      <c r="AB424" s="2">
        <v>16</v>
      </c>
      <c r="AC424" s="2" t="s">
        <v>48</v>
      </c>
      <c r="AD424" s="2">
        <v>0</v>
      </c>
    </row>
    <row r="425" spans="1:30" ht="30" x14ac:dyDescent="0.25">
      <c r="A425" s="2">
        <v>11</v>
      </c>
      <c r="B425" s="2" t="s">
        <v>37</v>
      </c>
      <c r="C425" s="2">
        <v>13239</v>
      </c>
      <c r="D425" s="3">
        <v>43654</v>
      </c>
      <c r="E425" s="2" t="s">
        <v>1946</v>
      </c>
      <c r="F425" s="2"/>
      <c r="G425" s="2" t="s">
        <v>1947</v>
      </c>
      <c r="H425" s="2" t="s">
        <v>724</v>
      </c>
      <c r="I425" s="2" t="s">
        <v>41</v>
      </c>
      <c r="J425" s="3">
        <v>39017</v>
      </c>
      <c r="K425" s="2"/>
      <c r="L425" s="2"/>
      <c r="M425" s="2">
        <v>43</v>
      </c>
      <c r="N425" s="2">
        <v>17</v>
      </c>
      <c r="O425" s="2" t="s">
        <v>773</v>
      </c>
      <c r="P425" s="2" t="s">
        <v>43</v>
      </c>
      <c r="Q425" s="2"/>
      <c r="R425" s="2" t="s">
        <v>44</v>
      </c>
      <c r="S425" s="2">
        <v>8250215703</v>
      </c>
      <c r="T425" s="2" t="s">
        <v>1948</v>
      </c>
      <c r="U425" s="2" t="s">
        <v>1949</v>
      </c>
      <c r="V425" s="2">
        <v>8783675986</v>
      </c>
      <c r="W425" s="2" t="s">
        <v>1950</v>
      </c>
      <c r="X425" s="2">
        <v>36000</v>
      </c>
      <c r="Y425" s="2" t="s">
        <v>46</v>
      </c>
      <c r="Z425" s="2" t="s">
        <v>46</v>
      </c>
      <c r="AA425" s="2" t="s">
        <v>47</v>
      </c>
      <c r="AB425" s="2">
        <v>15</v>
      </c>
      <c r="AC425" s="2" t="s">
        <v>48</v>
      </c>
      <c r="AD425" s="2">
        <v>2</v>
      </c>
    </row>
    <row r="426" spans="1:30" ht="30" x14ac:dyDescent="0.25">
      <c r="A426" s="2">
        <v>11</v>
      </c>
      <c r="B426" s="2" t="s">
        <v>37</v>
      </c>
      <c r="C426" s="2">
        <v>13980</v>
      </c>
      <c r="D426" s="3">
        <v>44452</v>
      </c>
      <c r="E426" s="2" t="s">
        <v>1951</v>
      </c>
      <c r="F426" s="2"/>
      <c r="G426" s="2" t="s">
        <v>1952</v>
      </c>
      <c r="H426" s="2" t="s">
        <v>1953</v>
      </c>
      <c r="I426" s="2" t="s">
        <v>52</v>
      </c>
      <c r="J426" s="3">
        <v>38969</v>
      </c>
      <c r="K426" s="2"/>
      <c r="L426" s="2"/>
      <c r="M426" s="2">
        <v>43</v>
      </c>
      <c r="N426" s="2">
        <v>11</v>
      </c>
      <c r="O426" s="2" t="s">
        <v>78</v>
      </c>
      <c r="P426" s="2" t="s">
        <v>43</v>
      </c>
      <c r="Q426" s="2"/>
      <c r="R426" s="2" t="s">
        <v>44</v>
      </c>
      <c r="S426" s="2">
        <v>8250215703</v>
      </c>
      <c r="T426" s="2" t="s">
        <v>1954</v>
      </c>
      <c r="U426" s="2"/>
      <c r="V426" s="2">
        <v>9784753107</v>
      </c>
      <c r="W426" s="2" t="s">
        <v>1955</v>
      </c>
      <c r="X426" s="2">
        <v>850000</v>
      </c>
      <c r="Y426" s="2" t="s">
        <v>46</v>
      </c>
      <c r="Z426" s="2" t="s">
        <v>46</v>
      </c>
      <c r="AA426" s="2" t="s">
        <v>47</v>
      </c>
      <c r="AB426" s="2">
        <v>15</v>
      </c>
      <c r="AC426" s="2" t="s">
        <v>48</v>
      </c>
      <c r="AD426" s="2">
        <v>2</v>
      </c>
    </row>
    <row r="427" spans="1:30" ht="45" x14ac:dyDescent="0.25">
      <c r="A427" s="2">
        <v>11</v>
      </c>
      <c r="B427" s="2" t="s">
        <v>37</v>
      </c>
      <c r="C427" s="2">
        <v>13929</v>
      </c>
      <c r="D427" s="3">
        <v>44424</v>
      </c>
      <c r="E427" s="2" t="s">
        <v>1956</v>
      </c>
      <c r="F427" s="2"/>
      <c r="G427" s="2" t="s">
        <v>1957</v>
      </c>
      <c r="H427" s="2" t="s">
        <v>231</v>
      </c>
      <c r="I427" s="2" t="s">
        <v>41</v>
      </c>
      <c r="J427" s="3">
        <v>38378</v>
      </c>
      <c r="K427" s="2"/>
      <c r="L427" s="2"/>
      <c r="M427" s="2">
        <v>43</v>
      </c>
      <c r="N427" s="2">
        <v>20</v>
      </c>
      <c r="O427" s="2" t="s">
        <v>78</v>
      </c>
      <c r="P427" s="2" t="s">
        <v>43</v>
      </c>
      <c r="Q427" s="2"/>
      <c r="R427" s="2" t="s">
        <v>44</v>
      </c>
      <c r="S427" s="2">
        <v>8250215703</v>
      </c>
      <c r="T427" s="2" t="s">
        <v>1958</v>
      </c>
      <c r="U427" s="2" t="s">
        <v>1959</v>
      </c>
      <c r="V427" s="2">
        <v>9829306429</v>
      </c>
      <c r="W427" s="2" t="s">
        <v>1960</v>
      </c>
      <c r="X427" s="2">
        <v>36000</v>
      </c>
      <c r="Y427" s="2" t="s">
        <v>46</v>
      </c>
      <c r="Z427" s="2" t="s">
        <v>46</v>
      </c>
      <c r="AA427" s="2" t="s">
        <v>47</v>
      </c>
      <c r="AB427" s="2">
        <v>16</v>
      </c>
      <c r="AC427" s="2" t="s">
        <v>48</v>
      </c>
      <c r="AD427" s="2">
        <v>2</v>
      </c>
    </row>
    <row r="428" spans="1:30" ht="30" x14ac:dyDescent="0.25">
      <c r="A428" s="2">
        <v>11</v>
      </c>
      <c r="B428" s="2" t="s">
        <v>37</v>
      </c>
      <c r="C428" s="2">
        <v>13816</v>
      </c>
      <c r="D428" s="3">
        <v>44403</v>
      </c>
      <c r="E428" s="2" t="s">
        <v>1961</v>
      </c>
      <c r="F428" s="2"/>
      <c r="G428" s="2" t="s">
        <v>1962</v>
      </c>
      <c r="H428" s="2" t="s">
        <v>1963</v>
      </c>
      <c r="I428" s="2" t="s">
        <v>41</v>
      </c>
      <c r="J428" s="3">
        <v>38746</v>
      </c>
      <c r="K428" s="2"/>
      <c r="L428" s="2"/>
      <c r="M428" s="2">
        <v>43</v>
      </c>
      <c r="N428" s="2">
        <v>22</v>
      </c>
      <c r="O428" s="2" t="s">
        <v>78</v>
      </c>
      <c r="P428" s="2" t="s">
        <v>43</v>
      </c>
      <c r="Q428" s="2"/>
      <c r="R428" s="2" t="s">
        <v>44</v>
      </c>
      <c r="S428" s="2">
        <v>8250215703</v>
      </c>
      <c r="T428" s="2" t="s">
        <v>1964</v>
      </c>
      <c r="U428" s="2" t="s">
        <v>1965</v>
      </c>
      <c r="V428" s="2">
        <v>9660139883</v>
      </c>
      <c r="W428" s="2" t="s">
        <v>1966</v>
      </c>
      <c r="X428" s="2">
        <v>590000</v>
      </c>
      <c r="Y428" s="2" t="s">
        <v>46</v>
      </c>
      <c r="Z428" s="2" t="s">
        <v>46</v>
      </c>
      <c r="AA428" s="2" t="s">
        <v>47</v>
      </c>
      <c r="AB428" s="2">
        <v>15</v>
      </c>
      <c r="AC428" s="2" t="s">
        <v>48</v>
      </c>
      <c r="AD428" s="2">
        <v>1</v>
      </c>
    </row>
    <row r="429" spans="1:30" ht="30" x14ac:dyDescent="0.25">
      <c r="A429" s="2">
        <v>11</v>
      </c>
      <c r="B429" s="2" t="s">
        <v>37</v>
      </c>
      <c r="C429" s="2">
        <v>13959</v>
      </c>
      <c r="D429" s="3">
        <v>44436</v>
      </c>
      <c r="E429" s="2" t="s">
        <v>1967</v>
      </c>
      <c r="F429" s="2"/>
      <c r="G429" s="2" t="s">
        <v>1968</v>
      </c>
      <c r="H429" s="2" t="s">
        <v>977</v>
      </c>
      <c r="I429" s="2" t="s">
        <v>41</v>
      </c>
      <c r="J429" s="3">
        <v>38455</v>
      </c>
      <c r="K429" s="2"/>
      <c r="L429" s="2"/>
      <c r="M429" s="2">
        <v>43</v>
      </c>
      <c r="N429" s="2">
        <v>22</v>
      </c>
      <c r="O429" s="2" t="s">
        <v>773</v>
      </c>
      <c r="P429" s="2" t="s">
        <v>43</v>
      </c>
      <c r="Q429" s="2"/>
      <c r="R429" s="2" t="s">
        <v>44</v>
      </c>
      <c r="S429" s="2">
        <v>8250215703</v>
      </c>
      <c r="T429" s="2" t="s">
        <v>1969</v>
      </c>
      <c r="U429" s="2" t="s">
        <v>1970</v>
      </c>
      <c r="V429" s="2">
        <v>7877607520</v>
      </c>
      <c r="W429" s="2" t="s">
        <v>1971</v>
      </c>
      <c r="X429" s="2">
        <v>72000</v>
      </c>
      <c r="Y429" s="2" t="s">
        <v>46</v>
      </c>
      <c r="Z429" s="2" t="s">
        <v>46</v>
      </c>
      <c r="AA429" s="2" t="s">
        <v>47</v>
      </c>
      <c r="AB429" s="2">
        <v>16</v>
      </c>
      <c r="AC429" s="2" t="s">
        <v>48</v>
      </c>
      <c r="AD429" s="2">
        <v>0</v>
      </c>
    </row>
    <row r="430" spans="1:30" ht="30" x14ac:dyDescent="0.25">
      <c r="A430" s="2">
        <v>11</v>
      </c>
      <c r="B430" s="2" t="s">
        <v>37</v>
      </c>
      <c r="C430" s="2">
        <v>13828</v>
      </c>
      <c r="D430" s="3">
        <v>44405</v>
      </c>
      <c r="E430" s="2" t="s">
        <v>1547</v>
      </c>
      <c r="F430" s="2"/>
      <c r="G430" s="2" t="s">
        <v>1910</v>
      </c>
      <c r="H430" s="2" t="s">
        <v>1229</v>
      </c>
      <c r="I430" s="2" t="s">
        <v>41</v>
      </c>
      <c r="J430" s="3">
        <v>38778</v>
      </c>
      <c r="K430" s="2"/>
      <c r="L430" s="2"/>
      <c r="M430" s="2">
        <v>43</v>
      </c>
      <c r="N430" s="2">
        <v>23</v>
      </c>
      <c r="O430" s="2" t="s">
        <v>78</v>
      </c>
      <c r="P430" s="2" t="s">
        <v>43</v>
      </c>
      <c r="Q430" s="2"/>
      <c r="R430" s="2" t="s">
        <v>44</v>
      </c>
      <c r="S430" s="2">
        <v>8250215703</v>
      </c>
      <c r="T430" s="2" t="s">
        <v>1972</v>
      </c>
      <c r="U430" s="2" t="s">
        <v>1973</v>
      </c>
      <c r="V430" s="2">
        <v>8949926984</v>
      </c>
      <c r="W430" s="2" t="s">
        <v>1974</v>
      </c>
      <c r="X430" s="2">
        <v>33000</v>
      </c>
      <c r="Y430" s="2" t="s">
        <v>46</v>
      </c>
      <c r="Z430" s="2" t="s">
        <v>46</v>
      </c>
      <c r="AA430" s="2" t="s">
        <v>47</v>
      </c>
      <c r="AB430" s="2">
        <v>15</v>
      </c>
      <c r="AC430" s="2" t="s">
        <v>48</v>
      </c>
      <c r="AD430" s="2">
        <v>0</v>
      </c>
    </row>
    <row r="431" spans="1:30" ht="30" x14ac:dyDescent="0.25">
      <c r="A431" s="2">
        <v>11</v>
      </c>
      <c r="B431" s="2" t="s">
        <v>37</v>
      </c>
      <c r="C431" s="2">
        <v>13725</v>
      </c>
      <c r="D431" s="3">
        <v>44390</v>
      </c>
      <c r="E431" s="2" t="s">
        <v>1975</v>
      </c>
      <c r="F431" s="2"/>
      <c r="G431" s="2" t="s">
        <v>971</v>
      </c>
      <c r="H431" s="2" t="s">
        <v>507</v>
      </c>
      <c r="I431" s="2" t="s">
        <v>41</v>
      </c>
      <c r="J431" s="3">
        <v>38120</v>
      </c>
      <c r="K431" s="2"/>
      <c r="L431" s="2"/>
      <c r="M431" s="2">
        <v>43</v>
      </c>
      <c r="N431" s="2">
        <v>22</v>
      </c>
      <c r="O431" s="2" t="s">
        <v>53</v>
      </c>
      <c r="P431" s="2" t="s">
        <v>43</v>
      </c>
      <c r="Q431" s="2"/>
      <c r="R431" s="2" t="s">
        <v>44</v>
      </c>
      <c r="S431" s="2">
        <v>8250215703</v>
      </c>
      <c r="T431" s="2" t="s">
        <v>1976</v>
      </c>
      <c r="U431" s="2" t="s">
        <v>1977</v>
      </c>
      <c r="V431" s="2">
        <v>9928750066</v>
      </c>
      <c r="W431" s="2" t="s">
        <v>1978</v>
      </c>
      <c r="X431" s="2">
        <v>36000</v>
      </c>
      <c r="Y431" s="2" t="s">
        <v>46</v>
      </c>
      <c r="Z431" s="2" t="s">
        <v>46</v>
      </c>
      <c r="AA431" s="2" t="s">
        <v>47</v>
      </c>
      <c r="AB431" s="2">
        <v>17</v>
      </c>
      <c r="AC431" s="2" t="s">
        <v>48</v>
      </c>
      <c r="AD431" s="2">
        <v>2</v>
      </c>
    </row>
    <row r="432" spans="1:30" ht="30" x14ac:dyDescent="0.25">
      <c r="A432" s="2">
        <v>11</v>
      </c>
      <c r="B432" s="2" t="s">
        <v>37</v>
      </c>
      <c r="C432" s="2">
        <v>13104</v>
      </c>
      <c r="D432" s="3">
        <v>43286</v>
      </c>
      <c r="E432" s="2" t="s">
        <v>1979</v>
      </c>
      <c r="F432" s="2"/>
      <c r="G432" s="2" t="s">
        <v>1980</v>
      </c>
      <c r="H432" s="2" t="s">
        <v>1903</v>
      </c>
      <c r="I432" s="2" t="s">
        <v>41</v>
      </c>
      <c r="J432" s="3">
        <v>38084</v>
      </c>
      <c r="K432" s="2"/>
      <c r="L432" s="2"/>
      <c r="M432" s="2">
        <v>43</v>
      </c>
      <c r="N432" s="2">
        <v>23</v>
      </c>
      <c r="O432" s="2" t="s">
        <v>78</v>
      </c>
      <c r="P432" s="2" t="s">
        <v>43</v>
      </c>
      <c r="Q432" s="2"/>
      <c r="R432" s="2" t="s">
        <v>44</v>
      </c>
      <c r="S432" s="2">
        <v>8250215703</v>
      </c>
      <c r="T432" s="2" t="s">
        <v>1981</v>
      </c>
      <c r="U432" s="2"/>
      <c r="V432" s="2">
        <v>9950524027</v>
      </c>
      <c r="W432" s="2" t="s">
        <v>334</v>
      </c>
      <c r="X432" s="2">
        <v>18000</v>
      </c>
      <c r="Y432" s="2" t="s">
        <v>46</v>
      </c>
      <c r="Z432" s="2" t="s">
        <v>46</v>
      </c>
      <c r="AA432" s="2" t="s">
        <v>47</v>
      </c>
      <c r="AB432" s="2">
        <v>17</v>
      </c>
      <c r="AC432" s="2" t="s">
        <v>48</v>
      </c>
      <c r="AD432" s="2">
        <v>2</v>
      </c>
    </row>
    <row r="433" spans="1:30" ht="30" x14ac:dyDescent="0.25">
      <c r="A433" s="2">
        <v>11</v>
      </c>
      <c r="B433" s="2" t="s">
        <v>37</v>
      </c>
      <c r="C433" s="2">
        <v>13962</v>
      </c>
      <c r="D433" s="3">
        <v>44436</v>
      </c>
      <c r="E433" s="2" t="s">
        <v>1982</v>
      </c>
      <c r="F433" s="2"/>
      <c r="G433" s="2" t="s">
        <v>1983</v>
      </c>
      <c r="H433" s="2" t="s">
        <v>1984</v>
      </c>
      <c r="I433" s="2" t="s">
        <v>52</v>
      </c>
      <c r="J433" s="3">
        <v>38433</v>
      </c>
      <c r="K433" s="2"/>
      <c r="L433" s="2"/>
      <c r="M433" s="2">
        <v>43</v>
      </c>
      <c r="N433" s="2">
        <v>22</v>
      </c>
      <c r="O433" s="2" t="s">
        <v>53</v>
      </c>
      <c r="P433" s="2" t="s">
        <v>43</v>
      </c>
      <c r="Q433" s="2"/>
      <c r="R433" s="2" t="s">
        <v>44</v>
      </c>
      <c r="S433" s="2">
        <v>8250215703</v>
      </c>
      <c r="T433" s="2" t="s">
        <v>1985</v>
      </c>
      <c r="U433" s="2" t="s">
        <v>1986</v>
      </c>
      <c r="V433" s="2">
        <v>9660989669</v>
      </c>
      <c r="W433" s="2" t="s">
        <v>1987</v>
      </c>
      <c r="X433" s="2">
        <v>45000</v>
      </c>
      <c r="Y433" s="2" t="s">
        <v>46</v>
      </c>
      <c r="Z433" s="2" t="s">
        <v>46</v>
      </c>
      <c r="AA433" s="2" t="s">
        <v>47</v>
      </c>
      <c r="AB433" s="2">
        <v>16</v>
      </c>
      <c r="AC433" s="2" t="s">
        <v>48</v>
      </c>
      <c r="AD433" s="2">
        <v>2</v>
      </c>
    </row>
    <row r="434" spans="1:30" ht="30" x14ac:dyDescent="0.25">
      <c r="A434" s="2">
        <v>11</v>
      </c>
      <c r="B434" s="2" t="s">
        <v>37</v>
      </c>
      <c r="C434" s="2">
        <v>13864</v>
      </c>
      <c r="D434" s="3">
        <v>44406</v>
      </c>
      <c r="E434" s="2" t="s">
        <v>1988</v>
      </c>
      <c r="F434" s="2"/>
      <c r="G434" s="2" t="s">
        <v>1989</v>
      </c>
      <c r="H434" s="2" t="s">
        <v>941</v>
      </c>
      <c r="I434" s="2" t="s">
        <v>41</v>
      </c>
      <c r="J434" s="3">
        <v>37817</v>
      </c>
      <c r="K434" s="2"/>
      <c r="L434" s="2"/>
      <c r="M434" s="2">
        <v>43</v>
      </c>
      <c r="N434" s="2">
        <v>21</v>
      </c>
      <c r="O434" s="2" t="s">
        <v>53</v>
      </c>
      <c r="P434" s="2" t="s">
        <v>43</v>
      </c>
      <c r="Q434" s="2"/>
      <c r="R434" s="2" t="s">
        <v>44</v>
      </c>
      <c r="S434" s="2">
        <v>8250215703</v>
      </c>
      <c r="T434" s="2" t="s">
        <v>1990</v>
      </c>
      <c r="U434" s="2" t="s">
        <v>1991</v>
      </c>
      <c r="V434" s="2">
        <v>9929134905</v>
      </c>
      <c r="W434" s="2" t="s">
        <v>1992</v>
      </c>
      <c r="X434" s="2">
        <v>42000</v>
      </c>
      <c r="Y434" s="2" t="s">
        <v>46</v>
      </c>
      <c r="Z434" s="2" t="s">
        <v>46</v>
      </c>
      <c r="AA434" s="2" t="s">
        <v>47</v>
      </c>
      <c r="AB434" s="2">
        <v>18</v>
      </c>
      <c r="AC434" s="2" t="s">
        <v>48</v>
      </c>
      <c r="AD434" s="2">
        <v>6</v>
      </c>
    </row>
    <row r="435" spans="1:30" ht="30" x14ac:dyDescent="0.25">
      <c r="A435" s="2">
        <v>11</v>
      </c>
      <c r="B435" s="2" t="s">
        <v>37</v>
      </c>
      <c r="C435" s="2">
        <v>13833</v>
      </c>
      <c r="D435" s="3">
        <v>44405</v>
      </c>
      <c r="E435" s="2" t="s">
        <v>1993</v>
      </c>
      <c r="F435" s="2"/>
      <c r="G435" s="2" t="s">
        <v>1994</v>
      </c>
      <c r="H435" s="2" t="s">
        <v>1076</v>
      </c>
      <c r="I435" s="2" t="s">
        <v>52</v>
      </c>
      <c r="J435" s="3">
        <v>38856</v>
      </c>
      <c r="K435" s="2"/>
      <c r="L435" s="2"/>
      <c r="M435" s="2">
        <v>43</v>
      </c>
      <c r="N435" s="2">
        <v>22</v>
      </c>
      <c r="O435" s="2" t="s">
        <v>53</v>
      </c>
      <c r="P435" s="2" t="s">
        <v>43</v>
      </c>
      <c r="Q435" s="2"/>
      <c r="R435" s="2" t="s">
        <v>44</v>
      </c>
      <c r="S435" s="2">
        <v>8250215703</v>
      </c>
      <c r="T435" s="2" t="s">
        <v>1995</v>
      </c>
      <c r="U435" s="2" t="s">
        <v>1996</v>
      </c>
      <c r="V435" s="2">
        <v>9636386042</v>
      </c>
      <c r="W435" s="2" t="s">
        <v>1997</v>
      </c>
      <c r="X435" s="2">
        <v>45000</v>
      </c>
      <c r="Y435" s="2" t="s">
        <v>46</v>
      </c>
      <c r="Z435" s="2" t="s">
        <v>46</v>
      </c>
      <c r="AA435" s="2" t="s">
        <v>47</v>
      </c>
      <c r="AB435" s="2">
        <v>15</v>
      </c>
      <c r="AC435" s="2" t="s">
        <v>48</v>
      </c>
      <c r="AD435" s="2">
        <v>2</v>
      </c>
    </row>
    <row r="436" spans="1:30" ht="30" x14ac:dyDescent="0.25">
      <c r="A436" s="2">
        <v>11</v>
      </c>
      <c r="B436" s="2" t="s">
        <v>37</v>
      </c>
      <c r="C436" s="2">
        <v>13988</v>
      </c>
      <c r="D436" s="3">
        <v>44454</v>
      </c>
      <c r="E436" s="2" t="s">
        <v>1998</v>
      </c>
      <c r="F436" s="2"/>
      <c r="G436" s="2" t="s">
        <v>1999</v>
      </c>
      <c r="H436" s="2" t="s">
        <v>2000</v>
      </c>
      <c r="I436" s="2" t="s">
        <v>41</v>
      </c>
      <c r="J436" s="3">
        <v>38577</v>
      </c>
      <c r="K436" s="2"/>
      <c r="L436" s="2"/>
      <c r="M436" s="2">
        <v>43</v>
      </c>
      <c r="N436" s="2">
        <v>10</v>
      </c>
      <c r="O436" s="2" t="s">
        <v>42</v>
      </c>
      <c r="P436" s="2" t="s">
        <v>43</v>
      </c>
      <c r="Q436" s="2"/>
      <c r="R436" s="2" t="s">
        <v>44</v>
      </c>
      <c r="S436" s="2">
        <v>8250215703</v>
      </c>
      <c r="T436" s="2" t="s">
        <v>2001</v>
      </c>
      <c r="U436" s="2"/>
      <c r="V436" s="2">
        <v>9828655256</v>
      </c>
      <c r="W436" s="2" t="s">
        <v>2002</v>
      </c>
      <c r="X436" s="2">
        <v>100000</v>
      </c>
      <c r="Y436" s="2" t="s">
        <v>46</v>
      </c>
      <c r="Z436" s="2" t="s">
        <v>46</v>
      </c>
      <c r="AA436" s="2" t="s">
        <v>47</v>
      </c>
      <c r="AB436" s="2">
        <v>16</v>
      </c>
      <c r="AC436" s="2" t="s">
        <v>48</v>
      </c>
      <c r="AD436" s="2">
        <v>4</v>
      </c>
    </row>
    <row r="437" spans="1:30" ht="30" x14ac:dyDescent="0.25">
      <c r="A437" s="2">
        <v>11</v>
      </c>
      <c r="B437" s="2" t="s">
        <v>37</v>
      </c>
      <c r="C437" s="2">
        <v>13919</v>
      </c>
      <c r="D437" s="3">
        <v>44421</v>
      </c>
      <c r="E437" s="2" t="s">
        <v>2003</v>
      </c>
      <c r="F437" s="2"/>
      <c r="G437" s="2" t="s">
        <v>2004</v>
      </c>
      <c r="H437" s="2" t="s">
        <v>2005</v>
      </c>
      <c r="I437" s="2" t="s">
        <v>41</v>
      </c>
      <c r="J437" s="3">
        <v>38595</v>
      </c>
      <c r="K437" s="2"/>
      <c r="L437" s="2"/>
      <c r="M437" s="2">
        <v>43</v>
      </c>
      <c r="N437" s="2">
        <v>14</v>
      </c>
      <c r="O437" s="2" t="s">
        <v>53</v>
      </c>
      <c r="P437" s="2" t="s">
        <v>43</v>
      </c>
      <c r="Q437" s="2"/>
      <c r="R437" s="2" t="s">
        <v>44</v>
      </c>
      <c r="S437" s="2">
        <v>8250215703</v>
      </c>
      <c r="T437" s="2" t="s">
        <v>2006</v>
      </c>
      <c r="U437" s="2"/>
      <c r="V437" s="2">
        <v>9414229240</v>
      </c>
      <c r="W437" s="2" t="s">
        <v>2007</v>
      </c>
      <c r="X437" s="2">
        <v>1127597</v>
      </c>
      <c r="Y437" s="2" t="s">
        <v>46</v>
      </c>
      <c r="Z437" s="2" t="s">
        <v>46</v>
      </c>
      <c r="AA437" s="2" t="s">
        <v>47</v>
      </c>
      <c r="AB437" s="2">
        <v>16</v>
      </c>
      <c r="AC437" s="2" t="s">
        <v>48</v>
      </c>
      <c r="AD437" s="2">
        <v>1</v>
      </c>
    </row>
    <row r="438" spans="1:30" ht="30" x14ac:dyDescent="0.25">
      <c r="A438" s="2">
        <v>11</v>
      </c>
      <c r="B438" s="2" t="s">
        <v>37</v>
      </c>
      <c r="C438" s="2">
        <v>13356</v>
      </c>
      <c r="D438" s="3">
        <v>43661</v>
      </c>
      <c r="E438" s="2" t="s">
        <v>2008</v>
      </c>
      <c r="F438" s="2"/>
      <c r="G438" s="2" t="s">
        <v>2009</v>
      </c>
      <c r="H438" s="2" t="s">
        <v>889</v>
      </c>
      <c r="I438" s="2" t="s">
        <v>41</v>
      </c>
      <c r="J438" s="3">
        <v>37669</v>
      </c>
      <c r="K438" s="2"/>
      <c r="L438" s="2"/>
      <c r="M438" s="2">
        <v>43</v>
      </c>
      <c r="N438" s="2">
        <v>20</v>
      </c>
      <c r="O438" s="2" t="s">
        <v>78</v>
      </c>
      <c r="P438" s="2" t="s">
        <v>43</v>
      </c>
      <c r="Q438" s="2"/>
      <c r="R438" s="2" t="s">
        <v>44</v>
      </c>
      <c r="S438" s="2">
        <v>8250215703</v>
      </c>
      <c r="T438" s="2" t="s">
        <v>2010</v>
      </c>
      <c r="U438" s="2" t="s">
        <v>2011</v>
      </c>
      <c r="V438" s="2">
        <v>7568849866</v>
      </c>
      <c r="W438" s="2" t="s">
        <v>2012</v>
      </c>
      <c r="X438" s="2">
        <v>30000</v>
      </c>
      <c r="Y438" s="2" t="s">
        <v>240</v>
      </c>
      <c r="Z438" s="2" t="s">
        <v>46</v>
      </c>
      <c r="AA438" s="2" t="s">
        <v>47</v>
      </c>
      <c r="AB438" s="2">
        <v>18</v>
      </c>
      <c r="AC438" s="2" t="s">
        <v>48</v>
      </c>
      <c r="AD438" s="2">
        <v>1</v>
      </c>
    </row>
    <row r="439" spans="1:30" ht="30" x14ac:dyDescent="0.25">
      <c r="A439" s="2">
        <v>11</v>
      </c>
      <c r="B439" s="2" t="s">
        <v>37</v>
      </c>
      <c r="C439" s="2">
        <v>13879</v>
      </c>
      <c r="D439" s="3">
        <v>44413</v>
      </c>
      <c r="E439" s="2" t="s">
        <v>2013</v>
      </c>
      <c r="F439" s="2"/>
      <c r="G439" s="2" t="s">
        <v>2014</v>
      </c>
      <c r="H439" s="2" t="s">
        <v>2015</v>
      </c>
      <c r="I439" s="2" t="s">
        <v>41</v>
      </c>
      <c r="J439" s="3">
        <v>38265</v>
      </c>
      <c r="K439" s="2"/>
      <c r="L439" s="2"/>
      <c r="M439" s="2">
        <v>43</v>
      </c>
      <c r="N439" s="2">
        <v>22</v>
      </c>
      <c r="O439" s="2" t="s">
        <v>78</v>
      </c>
      <c r="P439" s="2" t="s">
        <v>43</v>
      </c>
      <c r="Q439" s="2"/>
      <c r="R439" s="2" t="s">
        <v>44</v>
      </c>
      <c r="S439" s="2">
        <v>8250215703</v>
      </c>
      <c r="T439" s="2" t="s">
        <v>2016</v>
      </c>
      <c r="U439" s="2" t="s">
        <v>2017</v>
      </c>
      <c r="V439" s="2">
        <v>9672177673</v>
      </c>
      <c r="W439" s="2" t="s">
        <v>2018</v>
      </c>
      <c r="X439" s="2">
        <v>300000</v>
      </c>
      <c r="Y439" s="2" t="s">
        <v>46</v>
      </c>
      <c r="Z439" s="2" t="s">
        <v>46</v>
      </c>
      <c r="AA439" s="2" t="s">
        <v>47</v>
      </c>
      <c r="AB439" s="2">
        <v>17</v>
      </c>
      <c r="AC439" s="2" t="s">
        <v>48</v>
      </c>
      <c r="AD439" s="2">
        <v>14</v>
      </c>
    </row>
    <row r="440" spans="1:30" ht="30" x14ac:dyDescent="0.25">
      <c r="A440" s="2">
        <v>11</v>
      </c>
      <c r="B440" s="2" t="s">
        <v>37</v>
      </c>
      <c r="C440" s="2">
        <v>13968</v>
      </c>
      <c r="D440" s="3">
        <v>44446</v>
      </c>
      <c r="E440" s="2" t="s">
        <v>2019</v>
      </c>
      <c r="F440" s="2"/>
      <c r="G440" s="2" t="s">
        <v>87</v>
      </c>
      <c r="H440" s="2" t="s">
        <v>2020</v>
      </c>
      <c r="I440" s="2" t="s">
        <v>41</v>
      </c>
      <c r="J440" s="3">
        <v>38336</v>
      </c>
      <c r="K440" s="2"/>
      <c r="L440" s="2"/>
      <c r="M440" s="2">
        <v>43</v>
      </c>
      <c r="N440" s="2">
        <v>18</v>
      </c>
      <c r="O440" s="2" t="s">
        <v>78</v>
      </c>
      <c r="P440" s="2" t="s">
        <v>43</v>
      </c>
      <c r="Q440" s="2"/>
      <c r="R440" s="2" t="s">
        <v>44</v>
      </c>
      <c r="S440" s="2">
        <v>8250215703</v>
      </c>
      <c r="T440" s="2" t="s">
        <v>2021</v>
      </c>
      <c r="U440" s="2" t="s">
        <v>2022</v>
      </c>
      <c r="V440" s="2">
        <v>6350181833</v>
      </c>
      <c r="W440" s="2" t="s">
        <v>2023</v>
      </c>
      <c r="X440" s="2">
        <v>100000</v>
      </c>
      <c r="Y440" s="2" t="s">
        <v>46</v>
      </c>
      <c r="Z440" s="2" t="s">
        <v>46</v>
      </c>
      <c r="AA440" s="2" t="s">
        <v>47</v>
      </c>
      <c r="AB440" s="2">
        <v>17</v>
      </c>
      <c r="AC440" s="2" t="s">
        <v>48</v>
      </c>
      <c r="AD440" s="2">
        <v>2</v>
      </c>
    </row>
    <row r="441" spans="1:30" ht="30" x14ac:dyDescent="0.25">
      <c r="A441" s="2">
        <v>11</v>
      </c>
      <c r="B441" s="2" t="s">
        <v>37</v>
      </c>
      <c r="C441" s="2">
        <v>13934</v>
      </c>
      <c r="D441" s="3">
        <v>44426</v>
      </c>
      <c r="E441" s="2" t="s">
        <v>2024</v>
      </c>
      <c r="F441" s="2"/>
      <c r="G441" s="2" t="s">
        <v>1811</v>
      </c>
      <c r="H441" s="2" t="s">
        <v>2025</v>
      </c>
      <c r="I441" s="2" t="s">
        <v>41</v>
      </c>
      <c r="J441" s="3">
        <v>37857</v>
      </c>
      <c r="K441" s="2"/>
      <c r="L441" s="2"/>
      <c r="M441" s="2">
        <v>43</v>
      </c>
      <c r="N441" s="2">
        <v>13</v>
      </c>
      <c r="O441" s="2" t="s">
        <v>53</v>
      </c>
      <c r="P441" s="2" t="s">
        <v>43</v>
      </c>
      <c r="Q441" s="2"/>
      <c r="R441" s="2" t="s">
        <v>44</v>
      </c>
      <c r="S441" s="2">
        <v>8250215703</v>
      </c>
      <c r="T441" s="2" t="s">
        <v>2026</v>
      </c>
      <c r="U441" s="2"/>
      <c r="V441" s="2">
        <v>4787681688</v>
      </c>
      <c r="W441" s="2" t="s">
        <v>2027</v>
      </c>
      <c r="X441" s="2">
        <v>640000</v>
      </c>
      <c r="Y441" s="2" t="s">
        <v>46</v>
      </c>
      <c r="Z441" s="2" t="s">
        <v>46</v>
      </c>
      <c r="AA441" s="2" t="s">
        <v>47</v>
      </c>
      <c r="AB441" s="2">
        <v>18</v>
      </c>
      <c r="AC441" s="2" t="s">
        <v>48</v>
      </c>
      <c r="AD441" s="2">
        <v>1</v>
      </c>
    </row>
    <row r="442" spans="1:30" ht="30" x14ac:dyDescent="0.25">
      <c r="A442" s="2">
        <v>11</v>
      </c>
      <c r="B442" s="2" t="s">
        <v>37</v>
      </c>
      <c r="C442" s="2">
        <v>13901</v>
      </c>
      <c r="D442" s="3">
        <v>44420</v>
      </c>
      <c r="E442" s="2" t="s">
        <v>2028</v>
      </c>
      <c r="F442" s="2"/>
      <c r="G442" s="2" t="s">
        <v>2029</v>
      </c>
      <c r="H442" s="2" t="s">
        <v>2030</v>
      </c>
      <c r="I442" s="2" t="s">
        <v>52</v>
      </c>
      <c r="J442" s="3">
        <v>39075</v>
      </c>
      <c r="K442" s="2"/>
      <c r="L442" s="2"/>
      <c r="M442" s="2">
        <v>43</v>
      </c>
      <c r="N442" s="2">
        <v>19</v>
      </c>
      <c r="O442" s="2" t="s">
        <v>53</v>
      </c>
      <c r="P442" s="2" t="s">
        <v>43</v>
      </c>
      <c r="Q442" s="2"/>
      <c r="R442" s="2" t="s">
        <v>44</v>
      </c>
      <c r="S442" s="2">
        <v>8250215703</v>
      </c>
      <c r="T442" s="2" t="s">
        <v>2031</v>
      </c>
      <c r="U442" s="2" t="s">
        <v>405</v>
      </c>
      <c r="V442" s="2">
        <v>9784199808</v>
      </c>
      <c r="W442" s="2" t="s">
        <v>406</v>
      </c>
      <c r="X442" s="2">
        <v>36000</v>
      </c>
      <c r="Y442" s="2" t="s">
        <v>46</v>
      </c>
      <c r="Z442" s="2" t="s">
        <v>46</v>
      </c>
      <c r="AA442" s="2" t="s">
        <v>47</v>
      </c>
      <c r="AB442" s="2">
        <v>15</v>
      </c>
      <c r="AC442" s="2" t="s">
        <v>48</v>
      </c>
      <c r="AD442" s="2">
        <v>2</v>
      </c>
    </row>
    <row r="443" spans="1:30" ht="30" x14ac:dyDescent="0.25">
      <c r="A443" s="2">
        <v>11</v>
      </c>
      <c r="B443" s="2" t="s">
        <v>37</v>
      </c>
      <c r="C443" s="2">
        <v>13759</v>
      </c>
      <c r="D443" s="3">
        <v>44394</v>
      </c>
      <c r="E443" s="2" t="s">
        <v>2032</v>
      </c>
      <c r="F443" s="2"/>
      <c r="G443" s="2" t="s">
        <v>2033</v>
      </c>
      <c r="H443" s="2" t="s">
        <v>2034</v>
      </c>
      <c r="I443" s="2" t="s">
        <v>41</v>
      </c>
      <c r="J443" s="3">
        <v>38356</v>
      </c>
      <c r="K443" s="2"/>
      <c r="L443" s="2"/>
      <c r="M443" s="2">
        <v>43</v>
      </c>
      <c r="N443" s="2">
        <v>22</v>
      </c>
      <c r="O443" s="2" t="s">
        <v>773</v>
      </c>
      <c r="P443" s="2" t="s">
        <v>43</v>
      </c>
      <c r="Q443" s="2"/>
      <c r="R443" s="2" t="s">
        <v>44</v>
      </c>
      <c r="S443" s="2">
        <v>8250215703</v>
      </c>
      <c r="T443" s="2" t="s">
        <v>2035</v>
      </c>
      <c r="U443" s="2" t="s">
        <v>2036</v>
      </c>
      <c r="V443" s="2">
        <v>9588803767</v>
      </c>
      <c r="W443" s="2" t="s">
        <v>2037</v>
      </c>
      <c r="X443" s="2">
        <v>45000</v>
      </c>
      <c r="Y443" s="2" t="s">
        <v>46</v>
      </c>
      <c r="Z443" s="2" t="s">
        <v>46</v>
      </c>
      <c r="AA443" s="2" t="s">
        <v>47</v>
      </c>
      <c r="AB443" s="2">
        <v>16</v>
      </c>
      <c r="AC443" s="2" t="s">
        <v>48</v>
      </c>
      <c r="AD443" s="2">
        <v>4</v>
      </c>
    </row>
    <row r="444" spans="1:30" ht="30" x14ac:dyDescent="0.25">
      <c r="A444" s="2">
        <v>11</v>
      </c>
      <c r="B444" s="2" t="s">
        <v>37</v>
      </c>
      <c r="C444" s="2">
        <v>13774</v>
      </c>
      <c r="D444" s="3">
        <v>44396</v>
      </c>
      <c r="E444" s="2" t="s">
        <v>2038</v>
      </c>
      <c r="F444" s="2"/>
      <c r="G444" s="2" t="s">
        <v>2039</v>
      </c>
      <c r="H444" s="2" t="s">
        <v>2040</v>
      </c>
      <c r="I444" s="2" t="s">
        <v>41</v>
      </c>
      <c r="J444" s="3">
        <v>38341</v>
      </c>
      <c r="K444" s="2"/>
      <c r="L444" s="2"/>
      <c r="M444" s="2">
        <v>43</v>
      </c>
      <c r="N444" s="2">
        <v>21</v>
      </c>
      <c r="O444" s="2" t="s">
        <v>53</v>
      </c>
      <c r="P444" s="2" t="s">
        <v>43</v>
      </c>
      <c r="Q444" s="2"/>
      <c r="R444" s="2" t="s">
        <v>44</v>
      </c>
      <c r="S444" s="2">
        <v>8250215703</v>
      </c>
      <c r="T444" s="2" t="s">
        <v>2041</v>
      </c>
      <c r="U444" s="2"/>
      <c r="V444" s="2">
        <v>9929922065</v>
      </c>
      <c r="W444" s="2" t="s">
        <v>2042</v>
      </c>
      <c r="X444" s="2">
        <v>40000</v>
      </c>
      <c r="Y444" s="2" t="s">
        <v>46</v>
      </c>
      <c r="Z444" s="2" t="s">
        <v>240</v>
      </c>
      <c r="AA444" s="2" t="s">
        <v>47</v>
      </c>
      <c r="AB444" s="2">
        <v>17</v>
      </c>
      <c r="AC444" s="2" t="s">
        <v>48</v>
      </c>
      <c r="AD444" s="2">
        <v>8</v>
      </c>
    </row>
    <row r="445" spans="1:30" ht="30" x14ac:dyDescent="0.25">
      <c r="A445" s="2">
        <v>11</v>
      </c>
      <c r="B445" s="2" t="s">
        <v>37</v>
      </c>
      <c r="C445" s="2">
        <v>13957</v>
      </c>
      <c r="D445" s="3">
        <v>44436</v>
      </c>
      <c r="E445" s="2" t="s">
        <v>2043</v>
      </c>
      <c r="F445" s="2"/>
      <c r="G445" s="2" t="s">
        <v>2044</v>
      </c>
      <c r="H445" s="2" t="s">
        <v>2045</v>
      </c>
      <c r="I445" s="2" t="s">
        <v>41</v>
      </c>
      <c r="J445" s="3">
        <v>38637</v>
      </c>
      <c r="K445" s="2"/>
      <c r="L445" s="2"/>
      <c r="M445" s="2">
        <v>43</v>
      </c>
      <c r="N445" s="2">
        <v>15</v>
      </c>
      <c r="O445" s="2" t="s">
        <v>53</v>
      </c>
      <c r="P445" s="2" t="s">
        <v>43</v>
      </c>
      <c r="Q445" s="2"/>
      <c r="R445" s="2" t="s">
        <v>44</v>
      </c>
      <c r="S445" s="2">
        <v>8250215703</v>
      </c>
      <c r="T445" s="2" t="s">
        <v>552</v>
      </c>
      <c r="U445" s="2"/>
      <c r="V445" s="2">
        <v>9414786381</v>
      </c>
      <c r="W445" s="2" t="s">
        <v>2046</v>
      </c>
      <c r="X445" s="2">
        <v>60000</v>
      </c>
      <c r="Y445" s="2" t="s">
        <v>46</v>
      </c>
      <c r="Z445" s="2" t="s">
        <v>46</v>
      </c>
      <c r="AA445" s="2" t="s">
        <v>47</v>
      </c>
      <c r="AB445" s="2">
        <v>16</v>
      </c>
      <c r="AC445" s="2" t="s">
        <v>48</v>
      </c>
      <c r="AD445" s="2">
        <v>12</v>
      </c>
    </row>
    <row r="446" spans="1:30" ht="30" x14ac:dyDescent="0.25">
      <c r="A446" s="2">
        <v>11</v>
      </c>
      <c r="B446" s="2" t="s">
        <v>37</v>
      </c>
      <c r="C446" s="2">
        <v>13906</v>
      </c>
      <c r="D446" s="3">
        <v>44420</v>
      </c>
      <c r="E446" s="2" t="s">
        <v>2047</v>
      </c>
      <c r="F446" s="2"/>
      <c r="G446" s="2" t="s">
        <v>1795</v>
      </c>
      <c r="H446" s="2" t="s">
        <v>2048</v>
      </c>
      <c r="I446" s="2" t="s">
        <v>41</v>
      </c>
      <c r="J446" s="3">
        <v>38944</v>
      </c>
      <c r="K446" s="2"/>
      <c r="L446" s="2"/>
      <c r="M446" s="2">
        <v>43</v>
      </c>
      <c r="N446" s="2">
        <v>19</v>
      </c>
      <c r="O446" s="2" t="s">
        <v>78</v>
      </c>
      <c r="P446" s="2" t="s">
        <v>43</v>
      </c>
      <c r="Q446" s="2"/>
      <c r="R446" s="2" t="s">
        <v>44</v>
      </c>
      <c r="S446" s="2">
        <v>8250215703</v>
      </c>
      <c r="T446" s="2" t="s">
        <v>2049</v>
      </c>
      <c r="U446" s="2" t="s">
        <v>2050</v>
      </c>
      <c r="V446" s="2">
        <v>8278668519</v>
      </c>
      <c r="W446" s="2" t="s">
        <v>2051</v>
      </c>
      <c r="X446" s="2">
        <v>100000</v>
      </c>
      <c r="Y446" s="2" t="s">
        <v>46</v>
      </c>
      <c r="Z446" s="2" t="s">
        <v>46</v>
      </c>
      <c r="AA446" s="2" t="s">
        <v>47</v>
      </c>
      <c r="AB446" s="2">
        <v>15</v>
      </c>
      <c r="AC446" s="2" t="s">
        <v>48</v>
      </c>
      <c r="AD446" s="2">
        <v>0</v>
      </c>
    </row>
    <row r="447" spans="1:30" ht="30" x14ac:dyDescent="0.25">
      <c r="A447" s="2">
        <v>11</v>
      </c>
      <c r="B447" s="2" t="s">
        <v>37</v>
      </c>
      <c r="C447" s="2">
        <v>13880</v>
      </c>
      <c r="D447" s="3">
        <v>44413</v>
      </c>
      <c r="E447" s="2" t="s">
        <v>1065</v>
      </c>
      <c r="F447" s="2"/>
      <c r="G447" s="2" t="s">
        <v>597</v>
      </c>
      <c r="H447" s="2" t="s">
        <v>2052</v>
      </c>
      <c r="I447" s="2" t="s">
        <v>41</v>
      </c>
      <c r="J447" s="3">
        <v>38990</v>
      </c>
      <c r="K447" s="2"/>
      <c r="L447" s="2"/>
      <c r="M447" s="2">
        <v>43</v>
      </c>
      <c r="N447" s="2">
        <v>22</v>
      </c>
      <c r="O447" s="2" t="s">
        <v>53</v>
      </c>
      <c r="P447" s="2" t="s">
        <v>43</v>
      </c>
      <c r="Q447" s="2"/>
      <c r="R447" s="2" t="s">
        <v>44</v>
      </c>
      <c r="S447" s="2">
        <v>8250215703</v>
      </c>
      <c r="T447" s="2" t="s">
        <v>2053</v>
      </c>
      <c r="U447" s="2" t="s">
        <v>2054</v>
      </c>
      <c r="V447" s="2">
        <v>9950783766</v>
      </c>
      <c r="W447" s="2" t="s">
        <v>2055</v>
      </c>
      <c r="X447" s="2">
        <v>36000</v>
      </c>
      <c r="Y447" s="2" t="s">
        <v>46</v>
      </c>
      <c r="Z447" s="2" t="s">
        <v>240</v>
      </c>
      <c r="AA447" s="2" t="s">
        <v>47</v>
      </c>
      <c r="AB447" s="2">
        <v>15</v>
      </c>
      <c r="AC447" s="2" t="s">
        <v>48</v>
      </c>
      <c r="AD447" s="2">
        <v>2</v>
      </c>
    </row>
    <row r="448" spans="1:30" ht="30" x14ac:dyDescent="0.25">
      <c r="A448" s="2">
        <v>11</v>
      </c>
      <c r="B448" s="2" t="s">
        <v>37</v>
      </c>
      <c r="C448" s="2">
        <v>13985</v>
      </c>
      <c r="D448" s="3">
        <v>44454</v>
      </c>
      <c r="E448" s="2" t="s">
        <v>2056</v>
      </c>
      <c r="F448" s="2"/>
      <c r="G448" s="2" t="s">
        <v>2057</v>
      </c>
      <c r="H448" s="2" t="s">
        <v>2058</v>
      </c>
      <c r="I448" s="2" t="s">
        <v>41</v>
      </c>
      <c r="J448" s="3">
        <v>38625</v>
      </c>
      <c r="K448" s="2"/>
      <c r="L448" s="2"/>
      <c r="M448" s="2">
        <v>43</v>
      </c>
      <c r="N448" s="2">
        <v>12</v>
      </c>
      <c r="O448" s="2" t="s">
        <v>53</v>
      </c>
      <c r="P448" s="2" t="s">
        <v>43</v>
      </c>
      <c r="Q448" s="2"/>
      <c r="R448" s="2" t="s">
        <v>44</v>
      </c>
      <c r="S448" s="2">
        <v>8250215703</v>
      </c>
      <c r="T448" s="2" t="s">
        <v>2059</v>
      </c>
      <c r="U448" s="2" t="s">
        <v>2060</v>
      </c>
      <c r="V448" s="2">
        <v>9928082237</v>
      </c>
      <c r="W448" s="2" t="s">
        <v>2061</v>
      </c>
      <c r="X448" s="2">
        <v>36000</v>
      </c>
      <c r="Y448" s="2" t="s">
        <v>46</v>
      </c>
      <c r="Z448" s="2" t="s">
        <v>46</v>
      </c>
      <c r="AA448" s="2" t="s">
        <v>47</v>
      </c>
      <c r="AB448" s="2">
        <v>16</v>
      </c>
      <c r="AC448" s="2" t="s">
        <v>48</v>
      </c>
      <c r="AD448" s="2">
        <v>0</v>
      </c>
    </row>
    <row r="449" spans="1:30" ht="30" x14ac:dyDescent="0.25">
      <c r="A449" s="2">
        <v>11</v>
      </c>
      <c r="B449" s="2" t="s">
        <v>37</v>
      </c>
      <c r="C449" s="2">
        <v>13898</v>
      </c>
      <c r="D449" s="3">
        <v>44413</v>
      </c>
      <c r="E449" s="2" t="s">
        <v>2062</v>
      </c>
      <c r="F449" s="2"/>
      <c r="G449" s="2" t="s">
        <v>2063</v>
      </c>
      <c r="H449" s="2" t="s">
        <v>2064</v>
      </c>
      <c r="I449" s="2" t="s">
        <v>41</v>
      </c>
      <c r="J449" s="3">
        <v>38807</v>
      </c>
      <c r="K449" s="2"/>
      <c r="L449" s="2"/>
      <c r="M449" s="2">
        <v>43</v>
      </c>
      <c r="N449" s="2">
        <v>17</v>
      </c>
      <c r="O449" s="2" t="s">
        <v>53</v>
      </c>
      <c r="P449" s="2" t="s">
        <v>54</v>
      </c>
      <c r="Q449" s="2"/>
      <c r="R449" s="2" t="s">
        <v>44</v>
      </c>
      <c r="S449" s="2">
        <v>8250215703</v>
      </c>
      <c r="T449" s="2" t="s">
        <v>712</v>
      </c>
      <c r="U449" s="2"/>
      <c r="V449" s="2">
        <v>9982708030</v>
      </c>
      <c r="W449" s="2" t="s">
        <v>2065</v>
      </c>
      <c r="X449" s="2">
        <v>96000</v>
      </c>
      <c r="Y449" s="2" t="s">
        <v>46</v>
      </c>
      <c r="Z449" s="2" t="s">
        <v>46</v>
      </c>
      <c r="AA449" s="2" t="s">
        <v>57</v>
      </c>
      <c r="AB449" s="2">
        <v>15</v>
      </c>
      <c r="AC449" s="2" t="s">
        <v>48</v>
      </c>
      <c r="AD449" s="2">
        <v>2</v>
      </c>
    </row>
    <row r="450" spans="1:30" ht="30" x14ac:dyDescent="0.25">
      <c r="A450" s="2">
        <v>11</v>
      </c>
      <c r="B450" s="2" t="s">
        <v>37</v>
      </c>
      <c r="C450" s="2">
        <v>13961</v>
      </c>
      <c r="D450" s="3">
        <v>44436</v>
      </c>
      <c r="E450" s="2" t="s">
        <v>2066</v>
      </c>
      <c r="F450" s="2"/>
      <c r="G450" s="2" t="s">
        <v>2067</v>
      </c>
      <c r="H450" s="2" t="s">
        <v>2068</v>
      </c>
      <c r="I450" s="2" t="s">
        <v>41</v>
      </c>
      <c r="J450" s="3">
        <v>38602</v>
      </c>
      <c r="K450" s="2"/>
      <c r="L450" s="2"/>
      <c r="M450" s="2">
        <v>43</v>
      </c>
      <c r="N450" s="2">
        <v>22</v>
      </c>
      <c r="O450" s="2" t="s">
        <v>773</v>
      </c>
      <c r="P450" s="2" t="s">
        <v>43</v>
      </c>
      <c r="Q450" s="2"/>
      <c r="R450" s="2" t="s">
        <v>44</v>
      </c>
      <c r="S450" s="2">
        <v>8250215703</v>
      </c>
      <c r="T450" s="2" t="s">
        <v>2069</v>
      </c>
      <c r="U450" s="2" t="s">
        <v>2070</v>
      </c>
      <c r="V450" s="2">
        <v>9166288684</v>
      </c>
      <c r="W450" s="2" t="s">
        <v>2071</v>
      </c>
      <c r="X450" s="2">
        <v>45000</v>
      </c>
      <c r="Y450" s="2" t="s">
        <v>46</v>
      </c>
      <c r="Z450" s="2" t="s">
        <v>46</v>
      </c>
      <c r="AA450" s="2" t="s">
        <v>47</v>
      </c>
      <c r="AB450" s="2">
        <v>16</v>
      </c>
      <c r="AC450" s="2" t="s">
        <v>48</v>
      </c>
      <c r="AD450" s="2">
        <v>0</v>
      </c>
    </row>
    <row r="451" spans="1:30" ht="45" x14ac:dyDescent="0.25">
      <c r="A451" s="2">
        <v>11</v>
      </c>
      <c r="B451" s="2" t="s">
        <v>37</v>
      </c>
      <c r="C451" s="2">
        <v>13810</v>
      </c>
      <c r="D451" s="3">
        <v>44399</v>
      </c>
      <c r="E451" s="2" t="s">
        <v>2072</v>
      </c>
      <c r="F451" s="2"/>
      <c r="G451" s="2" t="s">
        <v>2073</v>
      </c>
      <c r="H451" s="2" t="s">
        <v>159</v>
      </c>
      <c r="I451" s="2" t="s">
        <v>41</v>
      </c>
      <c r="J451" s="3">
        <v>38399</v>
      </c>
      <c r="K451" s="2"/>
      <c r="L451" s="2"/>
      <c r="M451" s="2">
        <v>43</v>
      </c>
      <c r="N451" s="2">
        <v>21</v>
      </c>
      <c r="O451" s="2" t="s">
        <v>42</v>
      </c>
      <c r="P451" s="2" t="s">
        <v>43</v>
      </c>
      <c r="Q451" s="2"/>
      <c r="R451" s="2" t="s">
        <v>44</v>
      </c>
      <c r="S451" s="2">
        <v>8250215703</v>
      </c>
      <c r="T451" s="2" t="s">
        <v>2074</v>
      </c>
      <c r="U451" s="2" t="s">
        <v>2075</v>
      </c>
      <c r="V451" s="2">
        <v>9983470630</v>
      </c>
      <c r="W451" s="2" t="s">
        <v>2076</v>
      </c>
      <c r="X451" s="2">
        <v>120000</v>
      </c>
      <c r="Y451" s="2" t="s">
        <v>46</v>
      </c>
      <c r="Z451" s="2" t="s">
        <v>46</v>
      </c>
      <c r="AA451" s="2" t="s">
        <v>47</v>
      </c>
      <c r="AB451" s="2">
        <v>16</v>
      </c>
      <c r="AC451" s="2" t="s">
        <v>48</v>
      </c>
      <c r="AD451" s="2">
        <v>1</v>
      </c>
    </row>
    <row r="452" spans="1:30" ht="30" x14ac:dyDescent="0.25">
      <c r="A452" s="2">
        <v>11</v>
      </c>
      <c r="B452" s="2" t="s">
        <v>37</v>
      </c>
      <c r="C452" s="2">
        <v>13862</v>
      </c>
      <c r="D452" s="3">
        <v>44406</v>
      </c>
      <c r="E452" s="2" t="s">
        <v>2077</v>
      </c>
      <c r="F452" s="2"/>
      <c r="G452" s="2" t="s">
        <v>2078</v>
      </c>
      <c r="H452" s="2" t="s">
        <v>2079</v>
      </c>
      <c r="I452" s="2" t="s">
        <v>52</v>
      </c>
      <c r="J452" s="3">
        <v>39515</v>
      </c>
      <c r="K452" s="2"/>
      <c r="L452" s="2"/>
      <c r="M452" s="2">
        <v>43</v>
      </c>
      <c r="N452" s="2">
        <v>21</v>
      </c>
      <c r="O452" s="2" t="s">
        <v>42</v>
      </c>
      <c r="P452" s="2" t="s">
        <v>43</v>
      </c>
      <c r="Q452" s="2"/>
      <c r="R452" s="2" t="s">
        <v>44</v>
      </c>
      <c r="S452" s="2">
        <v>8250215703</v>
      </c>
      <c r="T452" s="2" t="s">
        <v>2080</v>
      </c>
      <c r="U452" s="2" t="s">
        <v>2081</v>
      </c>
      <c r="V452" s="2">
        <v>9982651711</v>
      </c>
      <c r="W452" s="2" t="s">
        <v>2082</v>
      </c>
      <c r="X452" s="2">
        <v>36000</v>
      </c>
      <c r="Y452" s="2" t="s">
        <v>46</v>
      </c>
      <c r="Z452" s="2" t="s">
        <v>46</v>
      </c>
      <c r="AA452" s="2" t="s">
        <v>47</v>
      </c>
      <c r="AB452" s="2">
        <v>13</v>
      </c>
      <c r="AC452" s="2" t="s">
        <v>48</v>
      </c>
      <c r="AD452" s="2">
        <v>1</v>
      </c>
    </row>
    <row r="453" spans="1:30" ht="30" x14ac:dyDescent="0.25">
      <c r="A453" s="2">
        <v>11</v>
      </c>
      <c r="B453" s="2" t="s">
        <v>37</v>
      </c>
      <c r="C453" s="2">
        <v>13902</v>
      </c>
      <c r="D453" s="3">
        <v>44420</v>
      </c>
      <c r="E453" s="2" t="s">
        <v>2083</v>
      </c>
      <c r="F453" s="2"/>
      <c r="G453" s="2" t="s">
        <v>1297</v>
      </c>
      <c r="H453" s="2" t="s">
        <v>1298</v>
      </c>
      <c r="I453" s="2" t="s">
        <v>41</v>
      </c>
      <c r="J453" s="3">
        <v>38359</v>
      </c>
      <c r="K453" s="2"/>
      <c r="L453" s="2"/>
      <c r="M453" s="2">
        <v>43</v>
      </c>
      <c r="N453" s="2">
        <v>18</v>
      </c>
      <c r="O453" s="2" t="s">
        <v>78</v>
      </c>
      <c r="P453" s="2" t="s">
        <v>43</v>
      </c>
      <c r="Q453" s="2"/>
      <c r="R453" s="2" t="s">
        <v>44</v>
      </c>
      <c r="S453" s="2">
        <v>8250215703</v>
      </c>
      <c r="T453" s="2" t="s">
        <v>2084</v>
      </c>
      <c r="U453" s="2"/>
      <c r="V453" s="2">
        <v>9680063325</v>
      </c>
      <c r="W453" s="2" t="s">
        <v>2085</v>
      </c>
      <c r="X453" s="2">
        <v>405458</v>
      </c>
      <c r="Y453" s="2" t="s">
        <v>46</v>
      </c>
      <c r="Z453" s="2" t="s">
        <v>46</v>
      </c>
      <c r="AA453" s="2" t="s">
        <v>47</v>
      </c>
      <c r="AB453" s="2">
        <v>16</v>
      </c>
      <c r="AC453" s="2" t="s">
        <v>48</v>
      </c>
      <c r="AD453" s="2">
        <v>2</v>
      </c>
    </row>
    <row r="454" spans="1:30" ht="30" x14ac:dyDescent="0.25">
      <c r="A454" s="2">
        <v>11</v>
      </c>
      <c r="B454" s="2" t="s">
        <v>37</v>
      </c>
      <c r="C454" s="2">
        <v>13829</v>
      </c>
      <c r="D454" s="3">
        <v>44405</v>
      </c>
      <c r="E454" s="2" t="s">
        <v>2086</v>
      </c>
      <c r="F454" s="2"/>
      <c r="G454" s="2" t="s">
        <v>2087</v>
      </c>
      <c r="H454" s="2" t="s">
        <v>2088</v>
      </c>
      <c r="I454" s="2" t="s">
        <v>41</v>
      </c>
      <c r="J454" s="3">
        <v>38579</v>
      </c>
      <c r="K454" s="2"/>
      <c r="L454" s="2"/>
      <c r="M454" s="2">
        <v>43</v>
      </c>
      <c r="N454" s="2">
        <v>20</v>
      </c>
      <c r="O454" s="2" t="s">
        <v>42</v>
      </c>
      <c r="P454" s="2" t="s">
        <v>54</v>
      </c>
      <c r="Q454" s="2"/>
      <c r="R454" s="2" t="s">
        <v>44</v>
      </c>
      <c r="S454" s="2">
        <v>8250215703</v>
      </c>
      <c r="T454" s="2" t="s">
        <v>2089</v>
      </c>
      <c r="U454" s="2"/>
      <c r="V454" s="2">
        <v>9783003351</v>
      </c>
      <c r="W454" s="2" t="s">
        <v>2090</v>
      </c>
      <c r="X454" s="2">
        <v>120000</v>
      </c>
      <c r="Y454" s="2" t="s">
        <v>46</v>
      </c>
      <c r="Z454" s="2" t="s">
        <v>46</v>
      </c>
      <c r="AA454" s="2" t="s">
        <v>57</v>
      </c>
      <c r="AB454" s="2">
        <v>16</v>
      </c>
      <c r="AC454" s="2" t="s">
        <v>48</v>
      </c>
      <c r="AD454" s="2">
        <v>1</v>
      </c>
    </row>
    <row r="455" spans="1:30" ht="30" x14ac:dyDescent="0.25">
      <c r="A455" s="2">
        <v>11</v>
      </c>
      <c r="B455" s="2" t="s">
        <v>37</v>
      </c>
      <c r="C455" s="2">
        <v>13790</v>
      </c>
      <c r="D455" s="3">
        <v>44399</v>
      </c>
      <c r="E455" s="2" t="s">
        <v>2091</v>
      </c>
      <c r="F455" s="2"/>
      <c r="G455" s="2" t="s">
        <v>1060</v>
      </c>
      <c r="H455" s="2" t="s">
        <v>856</v>
      </c>
      <c r="I455" s="2" t="s">
        <v>52</v>
      </c>
      <c r="J455" s="3">
        <v>38709</v>
      </c>
      <c r="K455" s="2"/>
      <c r="L455" s="2"/>
      <c r="M455" s="2">
        <v>43</v>
      </c>
      <c r="N455" s="2">
        <v>22</v>
      </c>
      <c r="O455" s="2" t="s">
        <v>53</v>
      </c>
      <c r="P455" s="2" t="s">
        <v>43</v>
      </c>
      <c r="Q455" s="2"/>
      <c r="R455" s="2" t="s">
        <v>44</v>
      </c>
      <c r="S455" s="2">
        <v>8250215703</v>
      </c>
      <c r="T455" s="2" t="s">
        <v>2092</v>
      </c>
      <c r="U455" s="2" t="s">
        <v>2093</v>
      </c>
      <c r="V455" s="2">
        <v>9460252686</v>
      </c>
      <c r="W455" s="2" t="s">
        <v>2094</v>
      </c>
      <c r="X455" s="2">
        <v>50000</v>
      </c>
      <c r="Y455" s="2" t="s">
        <v>46</v>
      </c>
      <c r="Z455" s="2" t="s">
        <v>46</v>
      </c>
      <c r="AA455" s="2" t="s">
        <v>47</v>
      </c>
      <c r="AB455" s="2">
        <v>16</v>
      </c>
      <c r="AC455" s="2" t="s">
        <v>48</v>
      </c>
      <c r="AD455" s="2">
        <v>0</v>
      </c>
    </row>
    <row r="456" spans="1:30" ht="30" x14ac:dyDescent="0.25">
      <c r="A456" s="2">
        <v>11</v>
      </c>
      <c r="B456" s="2" t="s">
        <v>37</v>
      </c>
      <c r="C456" s="2">
        <v>13921</v>
      </c>
      <c r="D456" s="3">
        <v>44421</v>
      </c>
      <c r="E456" s="2" t="s">
        <v>2095</v>
      </c>
      <c r="F456" s="2"/>
      <c r="G456" s="2" t="s">
        <v>2096</v>
      </c>
      <c r="H456" s="2" t="s">
        <v>2097</v>
      </c>
      <c r="I456" s="2" t="s">
        <v>41</v>
      </c>
      <c r="J456" s="3">
        <v>38601</v>
      </c>
      <c r="K456" s="2"/>
      <c r="L456" s="2"/>
      <c r="M456" s="2">
        <v>43</v>
      </c>
      <c r="N456" s="2">
        <v>15</v>
      </c>
      <c r="O456" s="2" t="s">
        <v>42</v>
      </c>
      <c r="P456" s="2" t="s">
        <v>43</v>
      </c>
      <c r="Q456" s="2"/>
      <c r="R456" s="2" t="s">
        <v>44</v>
      </c>
      <c r="S456" s="2">
        <v>8250215703</v>
      </c>
      <c r="T456" s="2" t="s">
        <v>2098</v>
      </c>
      <c r="U456" s="2"/>
      <c r="V456" s="2">
        <v>9829335024</v>
      </c>
      <c r="W456" s="2" t="s">
        <v>2099</v>
      </c>
      <c r="X456" s="2">
        <v>96000</v>
      </c>
      <c r="Y456" s="2" t="s">
        <v>46</v>
      </c>
      <c r="Z456" s="2" t="s">
        <v>46</v>
      </c>
      <c r="AA456" s="2" t="s">
        <v>47</v>
      </c>
      <c r="AB456" s="2">
        <v>16</v>
      </c>
      <c r="AC456" s="2" t="s">
        <v>48</v>
      </c>
      <c r="AD456" s="2">
        <v>2</v>
      </c>
    </row>
    <row r="457" spans="1:30" ht="30" x14ac:dyDescent="0.25">
      <c r="A457" s="2">
        <v>11</v>
      </c>
      <c r="B457" s="2" t="s">
        <v>37</v>
      </c>
      <c r="C457" s="2">
        <v>13958</v>
      </c>
      <c r="D457" s="3">
        <v>44436</v>
      </c>
      <c r="E457" s="2" t="s">
        <v>2100</v>
      </c>
      <c r="F457" s="2"/>
      <c r="G457" s="2" t="s">
        <v>2101</v>
      </c>
      <c r="H457" s="2" t="s">
        <v>2102</v>
      </c>
      <c r="I457" s="2" t="s">
        <v>41</v>
      </c>
      <c r="J457" s="3">
        <v>38204</v>
      </c>
      <c r="K457" s="2"/>
      <c r="L457" s="2"/>
      <c r="M457" s="2">
        <v>43</v>
      </c>
      <c r="N457" s="2">
        <v>23</v>
      </c>
      <c r="O457" s="2" t="s">
        <v>773</v>
      </c>
      <c r="P457" s="2" t="s">
        <v>43</v>
      </c>
      <c r="Q457" s="2"/>
      <c r="R457" s="2" t="s">
        <v>44</v>
      </c>
      <c r="S457" s="2">
        <v>8250215703</v>
      </c>
      <c r="T457" s="2" t="s">
        <v>2103</v>
      </c>
      <c r="U457" s="2" t="s">
        <v>2104</v>
      </c>
      <c r="V457" s="2">
        <v>9610979391</v>
      </c>
      <c r="W457" s="2" t="s">
        <v>2105</v>
      </c>
      <c r="X457" s="2">
        <v>72000</v>
      </c>
      <c r="Y457" s="2" t="s">
        <v>46</v>
      </c>
      <c r="Z457" s="2" t="s">
        <v>46</v>
      </c>
      <c r="AA457" s="2" t="s">
        <v>47</v>
      </c>
      <c r="AB457" s="2">
        <v>17</v>
      </c>
      <c r="AC457" s="2" t="s">
        <v>48</v>
      </c>
      <c r="AD457" s="2">
        <v>2</v>
      </c>
    </row>
    <row r="458" spans="1:30" ht="45" x14ac:dyDescent="0.25">
      <c r="A458" s="2">
        <v>11</v>
      </c>
      <c r="B458" s="2" t="s">
        <v>37</v>
      </c>
      <c r="C458" s="2">
        <v>13832</v>
      </c>
      <c r="D458" s="3">
        <v>44405</v>
      </c>
      <c r="E458" s="2" t="s">
        <v>2106</v>
      </c>
      <c r="F458" s="2"/>
      <c r="G458" s="2" t="s">
        <v>2107</v>
      </c>
      <c r="H458" s="2" t="s">
        <v>2108</v>
      </c>
      <c r="I458" s="2" t="s">
        <v>52</v>
      </c>
      <c r="J458" s="3">
        <v>38912</v>
      </c>
      <c r="K458" s="2"/>
      <c r="L458" s="2"/>
      <c r="M458" s="2">
        <v>43</v>
      </c>
      <c r="N458" s="2">
        <v>20</v>
      </c>
      <c r="O458" s="2" t="s">
        <v>773</v>
      </c>
      <c r="P458" s="2" t="s">
        <v>43</v>
      </c>
      <c r="Q458" s="2"/>
      <c r="R458" s="2" t="s">
        <v>44</v>
      </c>
      <c r="S458" s="2">
        <v>8250215703</v>
      </c>
      <c r="T458" s="2" t="s">
        <v>2109</v>
      </c>
      <c r="U458" s="2"/>
      <c r="V458" s="2">
        <v>6377510379</v>
      </c>
      <c r="W458" s="2" t="s">
        <v>2110</v>
      </c>
      <c r="X458" s="2">
        <v>12000</v>
      </c>
      <c r="Y458" s="2" t="s">
        <v>46</v>
      </c>
      <c r="Z458" s="2" t="s">
        <v>46</v>
      </c>
      <c r="AA458" s="2" t="s">
        <v>47</v>
      </c>
      <c r="AB458" s="2">
        <v>15</v>
      </c>
      <c r="AC458" s="2" t="s">
        <v>48</v>
      </c>
      <c r="AD458" s="2">
        <v>6</v>
      </c>
    </row>
    <row r="459" spans="1:30" ht="30" x14ac:dyDescent="0.25">
      <c r="A459" s="2">
        <v>11</v>
      </c>
      <c r="B459" s="2" t="s">
        <v>37</v>
      </c>
      <c r="C459" s="2">
        <v>13899</v>
      </c>
      <c r="D459" s="3">
        <v>44413</v>
      </c>
      <c r="E459" s="2" t="s">
        <v>2111</v>
      </c>
      <c r="F459" s="2"/>
      <c r="G459" s="2" t="s">
        <v>2112</v>
      </c>
      <c r="H459" s="2" t="s">
        <v>1544</v>
      </c>
      <c r="I459" s="2" t="s">
        <v>41</v>
      </c>
      <c r="J459" s="3">
        <v>39323</v>
      </c>
      <c r="K459" s="2"/>
      <c r="L459" s="2"/>
      <c r="M459" s="2">
        <v>43</v>
      </c>
      <c r="N459" s="2">
        <v>22</v>
      </c>
      <c r="O459" s="2" t="s">
        <v>53</v>
      </c>
      <c r="P459" s="2" t="s">
        <v>43</v>
      </c>
      <c r="Q459" s="2"/>
      <c r="R459" s="2" t="s">
        <v>44</v>
      </c>
      <c r="S459" s="2">
        <v>8250215703</v>
      </c>
      <c r="T459" s="2" t="s">
        <v>2113</v>
      </c>
      <c r="U459" s="2" t="s">
        <v>2114</v>
      </c>
      <c r="V459" s="2">
        <v>9982033289</v>
      </c>
      <c r="W459" s="2" t="s">
        <v>1485</v>
      </c>
      <c r="X459" s="2">
        <v>75000</v>
      </c>
      <c r="Y459" s="2" t="s">
        <v>46</v>
      </c>
      <c r="Z459" s="2" t="s">
        <v>46</v>
      </c>
      <c r="AA459" s="2" t="s">
        <v>47</v>
      </c>
      <c r="AB459" s="2">
        <v>14</v>
      </c>
      <c r="AC459" s="2" t="s">
        <v>48</v>
      </c>
      <c r="AD459" s="2">
        <v>1</v>
      </c>
    </row>
    <row r="460" spans="1:30" ht="30" x14ac:dyDescent="0.25">
      <c r="A460" s="2">
        <v>11</v>
      </c>
      <c r="B460" s="2" t="s">
        <v>37</v>
      </c>
      <c r="C460" s="2">
        <v>13541</v>
      </c>
      <c r="D460" s="3">
        <v>44083</v>
      </c>
      <c r="E460" s="2" t="s">
        <v>2115</v>
      </c>
      <c r="F460" s="2"/>
      <c r="G460" s="2" t="s">
        <v>2116</v>
      </c>
      <c r="H460" s="2" t="s">
        <v>2117</v>
      </c>
      <c r="I460" s="2" t="s">
        <v>41</v>
      </c>
      <c r="J460" s="3">
        <v>38138</v>
      </c>
      <c r="K460" s="2"/>
      <c r="L460" s="2"/>
      <c r="M460" s="2">
        <v>43</v>
      </c>
      <c r="N460" s="2">
        <v>18</v>
      </c>
      <c r="O460" s="2" t="s">
        <v>78</v>
      </c>
      <c r="P460" s="2" t="s">
        <v>43</v>
      </c>
      <c r="Q460" s="2"/>
      <c r="R460" s="2" t="s">
        <v>44</v>
      </c>
      <c r="S460" s="2">
        <v>8250215703</v>
      </c>
      <c r="T460" s="2" t="s">
        <v>1007</v>
      </c>
      <c r="U460" s="2" t="s">
        <v>2118</v>
      </c>
      <c r="V460" s="2">
        <v>9511545544</v>
      </c>
      <c r="W460" s="2" t="s">
        <v>2119</v>
      </c>
      <c r="X460" s="2">
        <v>218400</v>
      </c>
      <c r="Y460" s="2" t="s">
        <v>46</v>
      </c>
      <c r="Z460" s="2" t="s">
        <v>46</v>
      </c>
      <c r="AA460" s="2" t="s">
        <v>47</v>
      </c>
      <c r="AB460" s="2">
        <v>17</v>
      </c>
      <c r="AC460" s="2" t="s">
        <v>48</v>
      </c>
      <c r="AD460" s="2">
        <v>1</v>
      </c>
    </row>
    <row r="461" spans="1:30" ht="30" x14ac:dyDescent="0.25">
      <c r="A461" s="2">
        <v>11</v>
      </c>
      <c r="B461" s="2" t="s">
        <v>37</v>
      </c>
      <c r="C461" s="2">
        <v>13834</v>
      </c>
      <c r="D461" s="3">
        <v>44405</v>
      </c>
      <c r="E461" s="2" t="s">
        <v>2120</v>
      </c>
      <c r="F461" s="2"/>
      <c r="G461" s="2" t="s">
        <v>2121</v>
      </c>
      <c r="H461" s="2" t="s">
        <v>2122</v>
      </c>
      <c r="I461" s="2" t="s">
        <v>41</v>
      </c>
      <c r="J461" s="3">
        <v>37980</v>
      </c>
      <c r="K461" s="2"/>
      <c r="L461" s="2"/>
      <c r="M461" s="2">
        <v>43</v>
      </c>
      <c r="N461" s="2">
        <v>21</v>
      </c>
      <c r="O461" s="2" t="s">
        <v>42</v>
      </c>
      <c r="P461" s="2" t="s">
        <v>43</v>
      </c>
      <c r="Q461" s="2"/>
      <c r="R461" s="2" t="s">
        <v>44</v>
      </c>
      <c r="S461" s="2">
        <v>8250215703</v>
      </c>
      <c r="T461" s="2" t="s">
        <v>2123</v>
      </c>
      <c r="U461" s="2" t="s">
        <v>2124</v>
      </c>
      <c r="V461" s="2">
        <v>8290688923</v>
      </c>
      <c r="W461" s="2" t="s">
        <v>1945</v>
      </c>
      <c r="X461" s="2">
        <v>200000</v>
      </c>
      <c r="Y461" s="2" t="s">
        <v>46</v>
      </c>
      <c r="Z461" s="2" t="s">
        <v>46</v>
      </c>
      <c r="AA461" s="2" t="s">
        <v>47</v>
      </c>
      <c r="AB461" s="2">
        <v>18</v>
      </c>
      <c r="AC461" s="2" t="s">
        <v>48</v>
      </c>
      <c r="AD461" s="2">
        <v>0</v>
      </c>
    </row>
    <row r="462" spans="1:30" ht="30" x14ac:dyDescent="0.25">
      <c r="A462" s="2">
        <v>11</v>
      </c>
      <c r="B462" s="2" t="s">
        <v>37</v>
      </c>
      <c r="C462" s="2">
        <v>13935</v>
      </c>
      <c r="D462" s="3">
        <v>44426</v>
      </c>
      <c r="E462" s="2" t="s">
        <v>2125</v>
      </c>
      <c r="F462" s="2"/>
      <c r="G462" s="2" t="s">
        <v>1811</v>
      </c>
      <c r="H462" s="2" t="s">
        <v>2025</v>
      </c>
      <c r="I462" s="2" t="s">
        <v>41</v>
      </c>
      <c r="J462" s="3">
        <v>38514</v>
      </c>
      <c r="K462" s="2"/>
      <c r="L462" s="2"/>
      <c r="M462" s="2">
        <v>43</v>
      </c>
      <c r="N462" s="2">
        <v>8</v>
      </c>
      <c r="O462" s="2" t="s">
        <v>53</v>
      </c>
      <c r="P462" s="2" t="s">
        <v>43</v>
      </c>
      <c r="Q462" s="2"/>
      <c r="R462" s="2" t="s">
        <v>44</v>
      </c>
      <c r="S462" s="2">
        <v>8250215703</v>
      </c>
      <c r="T462" s="2" t="s">
        <v>2126</v>
      </c>
      <c r="U462" s="2"/>
      <c r="V462" s="2">
        <v>7976816882</v>
      </c>
      <c r="W462" s="2" t="s">
        <v>2027</v>
      </c>
      <c r="X462" s="2">
        <v>888073</v>
      </c>
      <c r="Y462" s="2" t="s">
        <v>46</v>
      </c>
      <c r="Z462" s="2" t="s">
        <v>46</v>
      </c>
      <c r="AA462" s="2" t="s">
        <v>47</v>
      </c>
      <c r="AB462" s="2">
        <v>16</v>
      </c>
      <c r="AC462" s="2" t="s">
        <v>48</v>
      </c>
      <c r="AD462" s="2">
        <v>1</v>
      </c>
    </row>
    <row r="463" spans="1:30" ht="30" x14ac:dyDescent="0.25">
      <c r="A463" s="2">
        <v>11</v>
      </c>
      <c r="B463" s="2" t="s">
        <v>37</v>
      </c>
      <c r="C463" s="2">
        <v>13809</v>
      </c>
      <c r="D463" s="3">
        <v>44399</v>
      </c>
      <c r="E463" s="2" t="s">
        <v>2127</v>
      </c>
      <c r="F463" s="2"/>
      <c r="G463" s="2" t="s">
        <v>1301</v>
      </c>
      <c r="H463" s="2" t="s">
        <v>1302</v>
      </c>
      <c r="I463" s="2" t="s">
        <v>41</v>
      </c>
      <c r="J463" s="3">
        <v>38712</v>
      </c>
      <c r="K463" s="2"/>
      <c r="L463" s="2"/>
      <c r="M463" s="2">
        <v>43</v>
      </c>
      <c r="N463" s="2">
        <v>22</v>
      </c>
      <c r="O463" s="2" t="s">
        <v>53</v>
      </c>
      <c r="P463" s="2" t="s">
        <v>43</v>
      </c>
      <c r="Q463" s="2"/>
      <c r="R463" s="2" t="s">
        <v>44</v>
      </c>
      <c r="S463" s="2">
        <v>8250215703</v>
      </c>
      <c r="T463" s="2" t="s">
        <v>2128</v>
      </c>
      <c r="U463" s="2"/>
      <c r="V463" s="2">
        <v>9460726109</v>
      </c>
      <c r="W463" s="2" t="s">
        <v>2129</v>
      </c>
      <c r="X463" s="2">
        <v>0</v>
      </c>
      <c r="Y463" s="2" t="s">
        <v>46</v>
      </c>
      <c r="Z463" s="2" t="s">
        <v>46</v>
      </c>
      <c r="AA463" s="2" t="s">
        <v>47</v>
      </c>
      <c r="AB463" s="2">
        <v>16</v>
      </c>
      <c r="AC463" s="2" t="s">
        <v>48</v>
      </c>
      <c r="AD463" s="2">
        <v>1</v>
      </c>
    </row>
    <row r="464" spans="1:30" ht="30" x14ac:dyDescent="0.25">
      <c r="A464" s="2">
        <v>11</v>
      </c>
      <c r="B464" s="2" t="s">
        <v>37</v>
      </c>
      <c r="C464" s="2">
        <v>13806</v>
      </c>
      <c r="D464" s="3">
        <v>44399</v>
      </c>
      <c r="E464" s="2" t="s">
        <v>2130</v>
      </c>
      <c r="F464" s="2"/>
      <c r="G464" s="2" t="s">
        <v>2131</v>
      </c>
      <c r="H464" s="2" t="s">
        <v>103</v>
      </c>
      <c r="I464" s="2" t="s">
        <v>41</v>
      </c>
      <c r="J464" s="3">
        <v>38909</v>
      </c>
      <c r="K464" s="2"/>
      <c r="L464" s="2"/>
      <c r="M464" s="2">
        <v>43</v>
      </c>
      <c r="N464" s="2">
        <v>20</v>
      </c>
      <c r="O464" s="2" t="s">
        <v>53</v>
      </c>
      <c r="P464" s="2" t="s">
        <v>43</v>
      </c>
      <c r="Q464" s="2"/>
      <c r="R464" s="2" t="s">
        <v>44</v>
      </c>
      <c r="S464" s="2">
        <v>8250215703</v>
      </c>
      <c r="T464" s="2" t="s">
        <v>2132</v>
      </c>
      <c r="U464" s="2" t="s">
        <v>2133</v>
      </c>
      <c r="V464" s="2">
        <v>7568756883</v>
      </c>
      <c r="W464" s="2" t="s">
        <v>1945</v>
      </c>
      <c r="X464" s="2">
        <v>40000</v>
      </c>
      <c r="Y464" s="2" t="s">
        <v>46</v>
      </c>
      <c r="Z464" s="2" t="s">
        <v>46</v>
      </c>
      <c r="AA464" s="2" t="s">
        <v>47</v>
      </c>
      <c r="AB464" s="2">
        <v>15</v>
      </c>
      <c r="AC464" s="2" t="s">
        <v>48</v>
      </c>
      <c r="AD464" s="2">
        <v>1</v>
      </c>
    </row>
    <row r="465" spans="1:30" ht="30" x14ac:dyDescent="0.25">
      <c r="A465" s="2">
        <v>11</v>
      </c>
      <c r="B465" s="2" t="s">
        <v>37</v>
      </c>
      <c r="C465" s="2">
        <v>13811</v>
      </c>
      <c r="D465" s="3">
        <v>44399</v>
      </c>
      <c r="E465" s="2" t="s">
        <v>2134</v>
      </c>
      <c r="F465" s="2"/>
      <c r="G465" s="2" t="s">
        <v>2135</v>
      </c>
      <c r="H465" s="2" t="s">
        <v>2136</v>
      </c>
      <c r="I465" s="2" t="s">
        <v>52</v>
      </c>
      <c r="J465" s="3">
        <v>39032</v>
      </c>
      <c r="K465" s="2"/>
      <c r="L465" s="2"/>
      <c r="M465" s="2">
        <v>43</v>
      </c>
      <c r="N465" s="2">
        <v>21</v>
      </c>
      <c r="O465" s="2" t="s">
        <v>78</v>
      </c>
      <c r="P465" s="2" t="s">
        <v>43</v>
      </c>
      <c r="Q465" s="2"/>
      <c r="R465" s="2" t="s">
        <v>44</v>
      </c>
      <c r="S465" s="2">
        <v>8250215703</v>
      </c>
      <c r="T465" s="2" t="s">
        <v>942</v>
      </c>
      <c r="U465" s="2" t="s">
        <v>2137</v>
      </c>
      <c r="V465" s="2">
        <v>6377012189</v>
      </c>
      <c r="W465" s="2" t="s">
        <v>2138</v>
      </c>
      <c r="X465" s="2">
        <v>60000</v>
      </c>
      <c r="Y465" s="2" t="s">
        <v>46</v>
      </c>
      <c r="Z465" s="2" t="s">
        <v>46</v>
      </c>
      <c r="AA465" s="2" t="s">
        <v>47</v>
      </c>
      <c r="AB465" s="2">
        <v>15</v>
      </c>
      <c r="AC465" s="2" t="s">
        <v>48</v>
      </c>
      <c r="AD465" s="2">
        <v>1</v>
      </c>
    </row>
    <row r="466" spans="1:30" ht="30" x14ac:dyDescent="0.25">
      <c r="A466" s="2">
        <v>11</v>
      </c>
      <c r="B466" s="2" t="s">
        <v>37</v>
      </c>
      <c r="C466" s="2">
        <v>13756</v>
      </c>
      <c r="D466" s="3">
        <v>44394</v>
      </c>
      <c r="E466" s="2" t="s">
        <v>2139</v>
      </c>
      <c r="F466" s="2"/>
      <c r="G466" s="2" t="s">
        <v>2140</v>
      </c>
      <c r="H466" s="2" t="s">
        <v>1086</v>
      </c>
      <c r="I466" s="2" t="s">
        <v>41</v>
      </c>
      <c r="J466" s="3">
        <v>38910</v>
      </c>
      <c r="K466" s="2"/>
      <c r="L466" s="2"/>
      <c r="M466" s="2">
        <v>43</v>
      </c>
      <c r="N466" s="2">
        <v>18</v>
      </c>
      <c r="O466" s="2" t="s">
        <v>78</v>
      </c>
      <c r="P466" s="2" t="s">
        <v>43</v>
      </c>
      <c r="Q466" s="2"/>
      <c r="R466" s="2" t="s">
        <v>44</v>
      </c>
      <c r="S466" s="2">
        <v>8250215703</v>
      </c>
      <c r="T466" s="2" t="s">
        <v>2141</v>
      </c>
      <c r="U466" s="2" t="s">
        <v>2142</v>
      </c>
      <c r="V466" s="2">
        <v>8000023545</v>
      </c>
      <c r="W466" s="2" t="s">
        <v>2143</v>
      </c>
      <c r="X466" s="2">
        <v>36000</v>
      </c>
      <c r="Y466" s="2" t="s">
        <v>46</v>
      </c>
      <c r="Z466" s="2" t="s">
        <v>46</v>
      </c>
      <c r="AA466" s="2" t="s">
        <v>47</v>
      </c>
      <c r="AB466" s="2">
        <v>15</v>
      </c>
      <c r="AC466" s="2" t="s">
        <v>48</v>
      </c>
      <c r="AD466" s="2">
        <v>0</v>
      </c>
    </row>
    <row r="467" spans="1:30" ht="30" x14ac:dyDescent="0.25">
      <c r="A467" s="2">
        <v>11</v>
      </c>
      <c r="B467" s="2" t="s">
        <v>37</v>
      </c>
      <c r="C467" s="2">
        <v>14000</v>
      </c>
      <c r="D467" s="3">
        <v>44483</v>
      </c>
      <c r="E467" s="2" t="s">
        <v>2144</v>
      </c>
      <c r="F467" s="2"/>
      <c r="G467" s="2" t="s">
        <v>2145</v>
      </c>
      <c r="H467" s="2" t="s">
        <v>2146</v>
      </c>
      <c r="I467" s="2" t="s">
        <v>41</v>
      </c>
      <c r="J467" s="3">
        <v>38878</v>
      </c>
      <c r="K467" s="2"/>
      <c r="L467" s="2"/>
      <c r="M467" s="2">
        <v>43</v>
      </c>
      <c r="N467" s="2">
        <v>17</v>
      </c>
      <c r="O467" s="2" t="s">
        <v>53</v>
      </c>
      <c r="P467" s="2" t="s">
        <v>43</v>
      </c>
      <c r="Q467" s="2"/>
      <c r="R467" s="2" t="s">
        <v>44</v>
      </c>
      <c r="S467" s="2">
        <v>8250215703</v>
      </c>
      <c r="T467" s="2" t="s">
        <v>2147</v>
      </c>
      <c r="U467" s="2" t="s">
        <v>2148</v>
      </c>
      <c r="V467" s="2">
        <v>8949918909</v>
      </c>
      <c r="W467" s="2" t="s">
        <v>2149</v>
      </c>
      <c r="X467" s="2">
        <v>40000</v>
      </c>
      <c r="Y467" s="2" t="s">
        <v>46</v>
      </c>
      <c r="Z467" s="2" t="s">
        <v>46</v>
      </c>
      <c r="AA467" s="2" t="s">
        <v>47</v>
      </c>
      <c r="AB467" s="2">
        <v>15</v>
      </c>
      <c r="AC467" s="2" t="s">
        <v>48</v>
      </c>
      <c r="AD467" s="2">
        <v>0</v>
      </c>
    </row>
    <row r="468" spans="1:30" ht="30" x14ac:dyDescent="0.25">
      <c r="A468" s="2">
        <v>11</v>
      </c>
      <c r="B468" s="2" t="s">
        <v>37</v>
      </c>
      <c r="C468" s="2">
        <v>13831</v>
      </c>
      <c r="D468" s="3">
        <v>44405</v>
      </c>
      <c r="E468" s="2" t="s">
        <v>2150</v>
      </c>
      <c r="F468" s="2"/>
      <c r="G468" s="2" t="s">
        <v>2151</v>
      </c>
      <c r="H468" s="2" t="s">
        <v>2152</v>
      </c>
      <c r="I468" s="2" t="s">
        <v>41</v>
      </c>
      <c r="J468" s="3">
        <v>38502</v>
      </c>
      <c r="K468" s="2"/>
      <c r="L468" s="2"/>
      <c r="M468" s="2">
        <v>43</v>
      </c>
      <c r="N468" s="2">
        <v>21</v>
      </c>
      <c r="O468" s="2" t="s">
        <v>42</v>
      </c>
      <c r="P468" s="2" t="s">
        <v>43</v>
      </c>
      <c r="Q468" s="2"/>
      <c r="R468" s="2" t="s">
        <v>44</v>
      </c>
      <c r="S468" s="2">
        <v>8250215703</v>
      </c>
      <c r="T468" s="2" t="s">
        <v>2153</v>
      </c>
      <c r="U468" s="2"/>
      <c r="V468" s="2">
        <v>9413024912</v>
      </c>
      <c r="W468" s="2" t="s">
        <v>2154</v>
      </c>
      <c r="X468" s="2">
        <v>70000</v>
      </c>
      <c r="Y468" s="2" t="s">
        <v>46</v>
      </c>
      <c r="Z468" s="2" t="s">
        <v>46</v>
      </c>
      <c r="AA468" s="2" t="s">
        <v>47</v>
      </c>
      <c r="AB468" s="2">
        <v>16</v>
      </c>
      <c r="AC468" s="2" t="s">
        <v>48</v>
      </c>
      <c r="AD468" s="2">
        <v>1</v>
      </c>
    </row>
    <row r="469" spans="1:30" ht="30" x14ac:dyDescent="0.25">
      <c r="A469" s="2">
        <v>11</v>
      </c>
      <c r="B469" s="2" t="s">
        <v>37</v>
      </c>
      <c r="C469" s="2">
        <v>13960</v>
      </c>
      <c r="D469" s="3">
        <v>44436</v>
      </c>
      <c r="E469" s="2" t="s">
        <v>2155</v>
      </c>
      <c r="F469" s="2"/>
      <c r="G469" s="2" t="s">
        <v>2156</v>
      </c>
      <c r="H469" s="2" t="s">
        <v>2157</v>
      </c>
      <c r="I469" s="2" t="s">
        <v>41</v>
      </c>
      <c r="J469" s="3">
        <v>38493</v>
      </c>
      <c r="K469" s="2"/>
      <c r="L469" s="2"/>
      <c r="M469" s="2">
        <v>43</v>
      </c>
      <c r="N469" s="2">
        <v>22</v>
      </c>
      <c r="O469" s="2" t="s">
        <v>773</v>
      </c>
      <c r="P469" s="2" t="s">
        <v>43</v>
      </c>
      <c r="Q469" s="2"/>
      <c r="R469" s="2" t="s">
        <v>44</v>
      </c>
      <c r="S469" s="2">
        <v>8250215703</v>
      </c>
      <c r="T469" s="2" t="s">
        <v>2158</v>
      </c>
      <c r="U469" s="2" t="s">
        <v>2159</v>
      </c>
      <c r="V469" s="2">
        <v>9982988588</v>
      </c>
      <c r="W469" s="2" t="s">
        <v>2160</v>
      </c>
      <c r="X469" s="2">
        <v>120000</v>
      </c>
      <c r="Y469" s="2" t="s">
        <v>46</v>
      </c>
      <c r="Z469" s="2" t="s">
        <v>46</v>
      </c>
      <c r="AA469" s="2" t="s">
        <v>47</v>
      </c>
      <c r="AB469" s="2">
        <v>16</v>
      </c>
      <c r="AC469" s="2" t="s">
        <v>48</v>
      </c>
      <c r="AD469" s="2">
        <v>0</v>
      </c>
    </row>
    <row r="470" spans="1:30" ht="30" x14ac:dyDescent="0.25">
      <c r="A470" s="2">
        <v>11</v>
      </c>
      <c r="B470" s="2" t="s">
        <v>37</v>
      </c>
      <c r="C470" s="2">
        <v>13917</v>
      </c>
      <c r="D470" s="3">
        <v>44421</v>
      </c>
      <c r="E470" s="2" t="s">
        <v>2161</v>
      </c>
      <c r="F470" s="2"/>
      <c r="G470" s="2" t="s">
        <v>455</v>
      </c>
      <c r="H470" s="2" t="s">
        <v>2162</v>
      </c>
      <c r="I470" s="2" t="s">
        <v>41</v>
      </c>
      <c r="J470" s="3">
        <v>38797</v>
      </c>
      <c r="K470" s="2"/>
      <c r="L470" s="2"/>
      <c r="M470" s="2">
        <v>43</v>
      </c>
      <c r="N470" s="2">
        <v>21</v>
      </c>
      <c r="O470" s="2" t="s">
        <v>53</v>
      </c>
      <c r="P470" s="2" t="s">
        <v>43</v>
      </c>
      <c r="Q470" s="2"/>
      <c r="R470" s="2" t="s">
        <v>44</v>
      </c>
      <c r="S470" s="2">
        <v>8250215703</v>
      </c>
      <c r="T470" s="2" t="s">
        <v>2163</v>
      </c>
      <c r="U470" s="2" t="s">
        <v>2164</v>
      </c>
      <c r="V470" s="2">
        <v>9784508908</v>
      </c>
      <c r="W470" s="2" t="s">
        <v>2165</v>
      </c>
      <c r="X470" s="2">
        <v>60000</v>
      </c>
      <c r="Y470" s="2" t="s">
        <v>46</v>
      </c>
      <c r="Z470" s="2" t="s">
        <v>46</v>
      </c>
      <c r="AA470" s="2" t="s">
        <v>47</v>
      </c>
      <c r="AB470" s="2">
        <v>15</v>
      </c>
      <c r="AC470" s="2" t="s">
        <v>48</v>
      </c>
      <c r="AD470" s="2">
        <v>10</v>
      </c>
    </row>
    <row r="471" spans="1:30" ht="30" x14ac:dyDescent="0.25">
      <c r="A471" s="2">
        <v>11</v>
      </c>
      <c r="B471" s="2" t="s">
        <v>37</v>
      </c>
      <c r="C471" s="2">
        <v>13981</v>
      </c>
      <c r="D471" s="3">
        <v>44452</v>
      </c>
      <c r="E471" s="2" t="s">
        <v>2166</v>
      </c>
      <c r="F471" s="2"/>
      <c r="G471" s="2" t="s">
        <v>2167</v>
      </c>
      <c r="H471" s="2" t="s">
        <v>159</v>
      </c>
      <c r="I471" s="2" t="s">
        <v>52</v>
      </c>
      <c r="J471" s="3">
        <v>37895</v>
      </c>
      <c r="K471" s="2"/>
      <c r="L471" s="2"/>
      <c r="M471" s="2">
        <v>43</v>
      </c>
      <c r="N471" s="2">
        <v>13</v>
      </c>
      <c r="O471" s="2" t="s">
        <v>53</v>
      </c>
      <c r="P471" s="2" t="s">
        <v>43</v>
      </c>
      <c r="Q471" s="2"/>
      <c r="R471" s="2" t="s">
        <v>44</v>
      </c>
      <c r="S471" s="2">
        <v>8250215703</v>
      </c>
      <c r="T471" s="2" t="s">
        <v>2168</v>
      </c>
      <c r="U471" s="2"/>
      <c r="V471" s="2">
        <v>9571476272</v>
      </c>
      <c r="W471" s="2" t="s">
        <v>2169</v>
      </c>
      <c r="X471" s="2">
        <v>0</v>
      </c>
      <c r="Y471" s="2" t="s">
        <v>46</v>
      </c>
      <c r="Z471" s="2" t="s">
        <v>46</v>
      </c>
      <c r="AA471" s="2" t="s">
        <v>47</v>
      </c>
      <c r="AB471" s="2">
        <v>18</v>
      </c>
      <c r="AC471" s="2" t="s">
        <v>48</v>
      </c>
      <c r="AD471" s="2">
        <v>9</v>
      </c>
    </row>
    <row r="472" spans="1:30" ht="30" x14ac:dyDescent="0.25">
      <c r="A472" s="2">
        <v>11</v>
      </c>
      <c r="B472" s="2" t="s">
        <v>37</v>
      </c>
      <c r="C472" s="2">
        <v>13760</v>
      </c>
      <c r="D472" s="3">
        <v>44394</v>
      </c>
      <c r="E472" s="2" t="s">
        <v>2170</v>
      </c>
      <c r="F472" s="2"/>
      <c r="G472" s="2" t="s">
        <v>918</v>
      </c>
      <c r="H472" s="2" t="s">
        <v>735</v>
      </c>
      <c r="I472" s="2" t="s">
        <v>41</v>
      </c>
      <c r="J472" s="3">
        <v>37333</v>
      </c>
      <c r="K472" s="2"/>
      <c r="L472" s="2"/>
      <c r="M472" s="2">
        <v>43</v>
      </c>
      <c r="N472" s="2">
        <v>20</v>
      </c>
      <c r="O472" s="2" t="s">
        <v>53</v>
      </c>
      <c r="P472" s="2" t="s">
        <v>43</v>
      </c>
      <c r="Q472" s="2"/>
      <c r="R472" s="2" t="s">
        <v>44</v>
      </c>
      <c r="S472" s="2">
        <v>8250215703</v>
      </c>
      <c r="T472" s="2" t="s">
        <v>2171</v>
      </c>
      <c r="U472" s="2"/>
      <c r="V472" s="2">
        <v>9950059536</v>
      </c>
      <c r="W472" s="2" t="s">
        <v>2172</v>
      </c>
      <c r="X472" s="2">
        <v>42000</v>
      </c>
      <c r="Y472" s="2" t="s">
        <v>46</v>
      </c>
      <c r="Z472" s="2" t="s">
        <v>46</v>
      </c>
      <c r="AA472" s="2" t="s">
        <v>47</v>
      </c>
      <c r="AB472" s="2">
        <v>19</v>
      </c>
      <c r="AC472" s="2" t="s">
        <v>48</v>
      </c>
      <c r="AD472" s="2">
        <v>0</v>
      </c>
    </row>
    <row r="473" spans="1:30" ht="30" x14ac:dyDescent="0.25">
      <c r="A473" s="2">
        <v>11</v>
      </c>
      <c r="B473" s="2" t="s">
        <v>37</v>
      </c>
      <c r="C473" s="2">
        <v>13538</v>
      </c>
      <c r="D473" s="3">
        <v>44083</v>
      </c>
      <c r="E473" s="2" t="s">
        <v>2173</v>
      </c>
      <c r="F473" s="2"/>
      <c r="G473" s="2" t="s">
        <v>2078</v>
      </c>
      <c r="H473" s="2" t="s">
        <v>2079</v>
      </c>
      <c r="I473" s="2" t="s">
        <v>41</v>
      </c>
      <c r="J473" s="3">
        <v>39111</v>
      </c>
      <c r="K473" s="2"/>
      <c r="L473" s="2"/>
      <c r="M473" s="2">
        <v>43</v>
      </c>
      <c r="N473" s="2">
        <v>23</v>
      </c>
      <c r="O473" s="2" t="s">
        <v>42</v>
      </c>
      <c r="P473" s="2" t="s">
        <v>43</v>
      </c>
      <c r="Q473" s="2"/>
      <c r="R473" s="2" t="s">
        <v>44</v>
      </c>
      <c r="S473" s="2">
        <v>8250215703</v>
      </c>
      <c r="T473" s="2" t="s">
        <v>2174</v>
      </c>
      <c r="U473" s="2" t="s">
        <v>2081</v>
      </c>
      <c r="V473" s="2">
        <v>9982651686</v>
      </c>
      <c r="W473" s="2" t="s">
        <v>2082</v>
      </c>
      <c r="X473" s="2">
        <v>50000</v>
      </c>
      <c r="Y473" s="2" t="s">
        <v>46</v>
      </c>
      <c r="Z473" s="2" t="s">
        <v>46</v>
      </c>
      <c r="AA473" s="2" t="s">
        <v>47</v>
      </c>
      <c r="AB473" s="2">
        <v>14</v>
      </c>
      <c r="AC473" s="2" t="s">
        <v>48</v>
      </c>
      <c r="AD473" s="2">
        <v>15</v>
      </c>
    </row>
    <row r="474" spans="1:30" ht="30" x14ac:dyDescent="0.25">
      <c r="A474" s="2">
        <v>11</v>
      </c>
      <c r="B474" s="2" t="s">
        <v>37</v>
      </c>
      <c r="C474" s="2">
        <v>13865</v>
      </c>
      <c r="D474" s="3">
        <v>44406</v>
      </c>
      <c r="E474" s="2" t="s">
        <v>2175</v>
      </c>
      <c r="F474" s="2"/>
      <c r="G474" s="2" t="s">
        <v>2176</v>
      </c>
      <c r="H474" s="2" t="s">
        <v>103</v>
      </c>
      <c r="I474" s="2" t="s">
        <v>41</v>
      </c>
      <c r="J474" s="3">
        <v>38783</v>
      </c>
      <c r="K474" s="2"/>
      <c r="L474" s="2"/>
      <c r="M474" s="2">
        <v>43</v>
      </c>
      <c r="N474" s="2">
        <v>22</v>
      </c>
      <c r="O474" s="2" t="s">
        <v>78</v>
      </c>
      <c r="P474" s="2" t="s">
        <v>43</v>
      </c>
      <c r="Q474" s="2"/>
      <c r="R474" s="2" t="s">
        <v>44</v>
      </c>
      <c r="S474" s="2">
        <v>8250215703</v>
      </c>
      <c r="T474" s="2" t="s">
        <v>2177</v>
      </c>
      <c r="U474" s="2"/>
      <c r="V474" s="2">
        <v>9610833466</v>
      </c>
      <c r="W474" s="2" t="s">
        <v>2178</v>
      </c>
      <c r="X474" s="2">
        <v>700000</v>
      </c>
      <c r="Y474" s="2" t="s">
        <v>46</v>
      </c>
      <c r="Z474" s="2" t="s">
        <v>46</v>
      </c>
      <c r="AA474" s="2" t="s">
        <v>47</v>
      </c>
      <c r="AB474" s="2">
        <v>15</v>
      </c>
      <c r="AC474" s="2" t="s">
        <v>48</v>
      </c>
      <c r="AD474" s="2">
        <v>12</v>
      </c>
    </row>
    <row r="475" spans="1:30" ht="30" x14ac:dyDescent="0.25">
      <c r="A475" s="2">
        <v>11</v>
      </c>
      <c r="B475" s="2" t="s">
        <v>37</v>
      </c>
      <c r="C475" s="2">
        <v>13896</v>
      </c>
      <c r="D475" s="3">
        <v>44413</v>
      </c>
      <c r="E475" s="2" t="s">
        <v>1427</v>
      </c>
      <c r="F475" s="2"/>
      <c r="G475" s="2" t="s">
        <v>2044</v>
      </c>
      <c r="H475" s="2" t="s">
        <v>2179</v>
      </c>
      <c r="I475" s="2" t="s">
        <v>41</v>
      </c>
      <c r="J475" s="3">
        <v>38602</v>
      </c>
      <c r="K475" s="2"/>
      <c r="L475" s="2"/>
      <c r="M475" s="2">
        <v>43</v>
      </c>
      <c r="N475" s="2">
        <v>17</v>
      </c>
      <c r="O475" s="2" t="s">
        <v>53</v>
      </c>
      <c r="P475" s="2" t="s">
        <v>43</v>
      </c>
      <c r="Q475" s="2"/>
      <c r="R475" s="2" t="s">
        <v>44</v>
      </c>
      <c r="S475" s="2">
        <v>8250215703</v>
      </c>
      <c r="T475" s="2" t="s">
        <v>2180</v>
      </c>
      <c r="U475" s="2" t="s">
        <v>2181</v>
      </c>
      <c r="V475" s="2">
        <v>9462437134</v>
      </c>
      <c r="W475" s="2" t="s">
        <v>2182</v>
      </c>
      <c r="X475" s="2">
        <v>480000</v>
      </c>
      <c r="Y475" s="2" t="s">
        <v>46</v>
      </c>
      <c r="Z475" s="2" t="s">
        <v>46</v>
      </c>
      <c r="AA475" s="2" t="s">
        <v>47</v>
      </c>
      <c r="AB475" s="2">
        <v>16</v>
      </c>
      <c r="AC475" s="2" t="s">
        <v>48</v>
      </c>
      <c r="AD475" s="2">
        <v>10</v>
      </c>
    </row>
    <row r="476" spans="1:30" ht="30" x14ac:dyDescent="0.25">
      <c r="A476" s="2">
        <v>11</v>
      </c>
      <c r="B476" s="2" t="s">
        <v>37</v>
      </c>
      <c r="C476" s="2">
        <v>13989</v>
      </c>
      <c r="D476" s="3">
        <v>44454</v>
      </c>
      <c r="E476" s="2" t="s">
        <v>2183</v>
      </c>
      <c r="F476" s="2"/>
      <c r="G476" s="2" t="s">
        <v>597</v>
      </c>
      <c r="H476" s="2" t="s">
        <v>1572</v>
      </c>
      <c r="I476" s="2" t="s">
        <v>41</v>
      </c>
      <c r="J476" s="3">
        <v>39270</v>
      </c>
      <c r="K476" s="2"/>
      <c r="L476" s="2"/>
      <c r="M476" s="2">
        <v>43</v>
      </c>
      <c r="N476" s="2">
        <v>11</v>
      </c>
      <c r="O476" s="2" t="s">
        <v>53</v>
      </c>
      <c r="P476" s="2" t="s">
        <v>43</v>
      </c>
      <c r="Q476" s="2"/>
      <c r="R476" s="2" t="s">
        <v>44</v>
      </c>
      <c r="S476" s="2">
        <v>8250215703</v>
      </c>
      <c r="T476" s="2" t="s">
        <v>2184</v>
      </c>
      <c r="U476" s="2" t="s">
        <v>2185</v>
      </c>
      <c r="V476" s="2">
        <v>9460028959</v>
      </c>
      <c r="W476" s="2" t="s">
        <v>2186</v>
      </c>
      <c r="X476" s="2">
        <v>36000</v>
      </c>
      <c r="Y476" s="2" t="s">
        <v>46</v>
      </c>
      <c r="Z476" s="2" t="s">
        <v>46</v>
      </c>
      <c r="AA476" s="2" t="s">
        <v>47</v>
      </c>
      <c r="AB476" s="2">
        <v>14</v>
      </c>
      <c r="AC476" s="2" t="s">
        <v>48</v>
      </c>
      <c r="AD476" s="2">
        <v>2</v>
      </c>
    </row>
    <row r="477" spans="1:30" ht="30" x14ac:dyDescent="0.25">
      <c r="A477" s="2">
        <v>11</v>
      </c>
      <c r="B477" s="2" t="s">
        <v>1108</v>
      </c>
      <c r="C477" s="2">
        <v>13204</v>
      </c>
      <c r="D477" s="3">
        <v>43649</v>
      </c>
      <c r="E477" s="2" t="s">
        <v>2187</v>
      </c>
      <c r="F477" s="2"/>
      <c r="G477" s="2" t="s">
        <v>1763</v>
      </c>
      <c r="H477" s="2" t="s">
        <v>1157</v>
      </c>
      <c r="I477" s="2" t="s">
        <v>41</v>
      </c>
      <c r="J477" s="3">
        <v>38696</v>
      </c>
      <c r="K477" s="2"/>
      <c r="L477" s="2"/>
      <c r="M477" s="2">
        <v>43</v>
      </c>
      <c r="N477" s="2">
        <v>0</v>
      </c>
      <c r="O477" s="2" t="s">
        <v>53</v>
      </c>
      <c r="P477" s="2" t="s">
        <v>43</v>
      </c>
      <c r="Q477" s="2"/>
      <c r="R477" s="2" t="s">
        <v>44</v>
      </c>
      <c r="S477" s="2">
        <v>8250215703</v>
      </c>
      <c r="T477" s="2" t="s">
        <v>2188</v>
      </c>
      <c r="U477" s="2" t="s">
        <v>2189</v>
      </c>
      <c r="V477" s="2">
        <v>9001922482</v>
      </c>
      <c r="W477" s="2" t="s">
        <v>2190</v>
      </c>
      <c r="X477" s="2">
        <v>36000</v>
      </c>
      <c r="Y477" s="2" t="s">
        <v>46</v>
      </c>
      <c r="Z477" s="2" t="s">
        <v>46</v>
      </c>
      <c r="AA477" s="2" t="s">
        <v>47</v>
      </c>
      <c r="AB477" s="2">
        <v>16</v>
      </c>
      <c r="AC477" s="2" t="s">
        <v>48</v>
      </c>
      <c r="AD477" s="2">
        <v>5</v>
      </c>
    </row>
    <row r="478" spans="1:30" ht="30" x14ac:dyDescent="0.25">
      <c r="A478" s="2">
        <v>11</v>
      </c>
      <c r="B478" s="2" t="s">
        <v>1108</v>
      </c>
      <c r="C478" s="2">
        <v>12970</v>
      </c>
      <c r="D478" s="3">
        <v>43281</v>
      </c>
      <c r="E478" s="2" t="s">
        <v>2191</v>
      </c>
      <c r="F478" s="2"/>
      <c r="G478" s="2" t="s">
        <v>904</v>
      </c>
      <c r="H478" s="2" t="s">
        <v>2192</v>
      </c>
      <c r="I478" s="2" t="s">
        <v>41</v>
      </c>
      <c r="J478" s="3">
        <v>38563</v>
      </c>
      <c r="K478" s="2"/>
      <c r="L478" s="2"/>
      <c r="M478" s="2">
        <v>43</v>
      </c>
      <c r="N478" s="2">
        <v>0</v>
      </c>
      <c r="O478" s="2" t="s">
        <v>53</v>
      </c>
      <c r="P478" s="2" t="s">
        <v>43</v>
      </c>
      <c r="Q478" s="2"/>
      <c r="R478" s="2" t="s">
        <v>44</v>
      </c>
      <c r="S478" s="2">
        <v>8250215703</v>
      </c>
      <c r="T478" s="2" t="s">
        <v>2193</v>
      </c>
      <c r="U478" s="2"/>
      <c r="V478" s="2">
        <v>9950482109</v>
      </c>
      <c r="W478" s="2" t="s">
        <v>2194</v>
      </c>
      <c r="X478" s="2">
        <v>36000</v>
      </c>
      <c r="Y478" s="2" t="s">
        <v>46</v>
      </c>
      <c r="Z478" s="2" t="s">
        <v>46</v>
      </c>
      <c r="AA478" s="2" t="s">
        <v>47</v>
      </c>
      <c r="AB478" s="2">
        <v>16</v>
      </c>
      <c r="AC478" s="2" t="s">
        <v>48</v>
      </c>
      <c r="AD478" s="2">
        <v>1</v>
      </c>
    </row>
    <row r="479" spans="1:30" ht="45" x14ac:dyDescent="0.25">
      <c r="A479" s="2">
        <v>11</v>
      </c>
      <c r="B479" s="2" t="s">
        <v>1108</v>
      </c>
      <c r="C479" s="2">
        <v>13028</v>
      </c>
      <c r="D479" s="3">
        <v>43285</v>
      </c>
      <c r="E479" s="2" t="s">
        <v>1787</v>
      </c>
      <c r="F479" s="2"/>
      <c r="G479" s="2" t="s">
        <v>997</v>
      </c>
      <c r="H479" s="2" t="s">
        <v>2195</v>
      </c>
      <c r="I479" s="2" t="s">
        <v>41</v>
      </c>
      <c r="J479" s="3">
        <v>37510</v>
      </c>
      <c r="K479" s="2"/>
      <c r="L479" s="2"/>
      <c r="M479" s="2">
        <v>43</v>
      </c>
      <c r="N479" s="2">
        <v>0</v>
      </c>
      <c r="O479" s="2" t="s">
        <v>78</v>
      </c>
      <c r="P479" s="2" t="s">
        <v>43</v>
      </c>
      <c r="Q479" s="2"/>
      <c r="R479" s="2" t="s">
        <v>44</v>
      </c>
      <c r="S479" s="2">
        <v>8250215703</v>
      </c>
      <c r="T479" s="2" t="s">
        <v>2196</v>
      </c>
      <c r="U479" s="2" t="s">
        <v>1000</v>
      </c>
      <c r="V479" s="2">
        <v>8769930449</v>
      </c>
      <c r="W479" s="2" t="s">
        <v>2197</v>
      </c>
      <c r="X479" s="2">
        <v>36000</v>
      </c>
      <c r="Y479" s="2" t="s">
        <v>46</v>
      </c>
      <c r="Z479" s="2" t="s">
        <v>46</v>
      </c>
      <c r="AA479" s="2" t="s">
        <v>47</v>
      </c>
      <c r="AB479" s="2">
        <v>19</v>
      </c>
      <c r="AC479" s="2" t="s">
        <v>48</v>
      </c>
      <c r="AD479" s="2">
        <v>2</v>
      </c>
    </row>
    <row r="480" spans="1:30" ht="30" x14ac:dyDescent="0.25">
      <c r="A480" s="2">
        <v>11</v>
      </c>
      <c r="B480" s="2" t="s">
        <v>1108</v>
      </c>
      <c r="C480" s="2">
        <v>13030</v>
      </c>
      <c r="D480" s="3">
        <v>43285</v>
      </c>
      <c r="E480" s="2" t="s">
        <v>2198</v>
      </c>
      <c r="F480" s="2"/>
      <c r="G480" s="2" t="s">
        <v>2199</v>
      </c>
      <c r="H480" s="2" t="s">
        <v>2200</v>
      </c>
      <c r="I480" s="2" t="s">
        <v>41</v>
      </c>
      <c r="J480" s="3">
        <v>37293</v>
      </c>
      <c r="K480" s="2"/>
      <c r="L480" s="2"/>
      <c r="M480" s="2">
        <v>43</v>
      </c>
      <c r="N480" s="2">
        <v>0</v>
      </c>
      <c r="O480" s="2" t="s">
        <v>53</v>
      </c>
      <c r="P480" s="2" t="s">
        <v>43</v>
      </c>
      <c r="Q480" s="2"/>
      <c r="R480" s="2" t="s">
        <v>44</v>
      </c>
      <c r="S480" s="2">
        <v>8250215703</v>
      </c>
      <c r="T480" s="2" t="s">
        <v>2201</v>
      </c>
      <c r="U480" s="2" t="s">
        <v>2202</v>
      </c>
      <c r="V480" s="2">
        <v>9662392571</v>
      </c>
      <c r="W480" s="2" t="s">
        <v>2203</v>
      </c>
      <c r="X480" s="2">
        <v>36000</v>
      </c>
      <c r="Y480" s="2" t="s">
        <v>240</v>
      </c>
      <c r="Z480" s="2" t="s">
        <v>46</v>
      </c>
      <c r="AA480" s="2" t="s">
        <v>47</v>
      </c>
      <c r="AB480" s="2">
        <v>19</v>
      </c>
      <c r="AC480" s="2" t="s">
        <v>48</v>
      </c>
      <c r="AD480" s="2">
        <v>10</v>
      </c>
    </row>
    <row r="481" spans="1:30" ht="45" x14ac:dyDescent="0.25">
      <c r="A481" s="2">
        <v>11</v>
      </c>
      <c r="B481" s="2" t="s">
        <v>1108</v>
      </c>
      <c r="C481" s="2">
        <v>13275</v>
      </c>
      <c r="D481" s="3">
        <v>43655</v>
      </c>
      <c r="E481" s="2" t="s">
        <v>2204</v>
      </c>
      <c r="F481" s="2"/>
      <c r="G481" s="2" t="s">
        <v>1104</v>
      </c>
      <c r="H481" s="2" t="s">
        <v>599</v>
      </c>
      <c r="I481" s="2" t="s">
        <v>41</v>
      </c>
      <c r="J481" s="3">
        <v>38918</v>
      </c>
      <c r="K481" s="2"/>
      <c r="L481" s="2"/>
      <c r="M481" s="2">
        <v>43</v>
      </c>
      <c r="N481" s="2">
        <v>0</v>
      </c>
      <c r="O481" s="2" t="s">
        <v>773</v>
      </c>
      <c r="P481" s="2" t="s">
        <v>43</v>
      </c>
      <c r="Q481" s="2"/>
      <c r="R481" s="2" t="s">
        <v>44</v>
      </c>
      <c r="S481" s="2">
        <v>8250215703</v>
      </c>
      <c r="T481" s="2" t="s">
        <v>2205</v>
      </c>
      <c r="U481" s="2" t="s">
        <v>1106</v>
      </c>
      <c r="V481" s="2">
        <v>9468847517</v>
      </c>
      <c r="W481" s="2" t="s">
        <v>2206</v>
      </c>
      <c r="X481" s="2">
        <v>48000</v>
      </c>
      <c r="Y481" s="2" t="s">
        <v>46</v>
      </c>
      <c r="Z481" s="2" t="s">
        <v>46</v>
      </c>
      <c r="AA481" s="2" t="s">
        <v>47</v>
      </c>
      <c r="AB481" s="2">
        <v>15</v>
      </c>
      <c r="AC481" s="2" t="s">
        <v>48</v>
      </c>
      <c r="AD481" s="2">
        <v>2</v>
      </c>
    </row>
    <row r="482" spans="1:30" ht="30" x14ac:dyDescent="0.25">
      <c r="A482" s="2">
        <v>11</v>
      </c>
      <c r="B482" s="2" t="s">
        <v>1108</v>
      </c>
      <c r="C482" s="2">
        <v>13337</v>
      </c>
      <c r="D482" s="3">
        <v>43658</v>
      </c>
      <c r="E482" s="2" t="s">
        <v>2207</v>
      </c>
      <c r="F482" s="2" t="s">
        <v>229</v>
      </c>
      <c r="G482" s="2" t="s">
        <v>2208</v>
      </c>
      <c r="H482" s="2" t="s">
        <v>2209</v>
      </c>
      <c r="I482" s="2" t="s">
        <v>41</v>
      </c>
      <c r="J482" s="3">
        <v>37957</v>
      </c>
      <c r="K482" s="2"/>
      <c r="L482" s="2"/>
      <c r="M482" s="2">
        <v>43</v>
      </c>
      <c r="N482" s="2">
        <v>0</v>
      </c>
      <c r="O482" s="2" t="s">
        <v>53</v>
      </c>
      <c r="P482" s="2" t="s">
        <v>43</v>
      </c>
      <c r="Q482" s="2"/>
      <c r="R482" s="2" t="s">
        <v>44</v>
      </c>
      <c r="S482" s="2">
        <v>8250215703</v>
      </c>
      <c r="T482" s="2" t="s">
        <v>2210</v>
      </c>
      <c r="U482" s="2" t="s">
        <v>2211</v>
      </c>
      <c r="V482" s="2">
        <v>9636187857</v>
      </c>
      <c r="W482" s="2" t="s">
        <v>2212</v>
      </c>
      <c r="X482" s="2">
        <v>36000</v>
      </c>
      <c r="Y482" s="2" t="s">
        <v>46</v>
      </c>
      <c r="Z482" s="2" t="s">
        <v>46</v>
      </c>
      <c r="AA482" s="2" t="s">
        <v>47</v>
      </c>
      <c r="AB482" s="2">
        <v>18</v>
      </c>
      <c r="AC482" s="2" t="s">
        <v>48</v>
      </c>
      <c r="AD482" s="2">
        <v>2</v>
      </c>
    </row>
    <row r="483" spans="1:30" ht="30" x14ac:dyDescent="0.25">
      <c r="A483" s="2">
        <v>11</v>
      </c>
      <c r="B483" s="2" t="s">
        <v>1108</v>
      </c>
      <c r="C483" s="2">
        <v>13238</v>
      </c>
      <c r="D483" s="3">
        <v>43654</v>
      </c>
      <c r="E483" s="2" t="s">
        <v>2213</v>
      </c>
      <c r="F483" s="2"/>
      <c r="G483" s="2" t="s">
        <v>2214</v>
      </c>
      <c r="H483" s="2" t="s">
        <v>2215</v>
      </c>
      <c r="I483" s="2" t="s">
        <v>41</v>
      </c>
      <c r="J483" s="3">
        <v>38812</v>
      </c>
      <c r="K483" s="2"/>
      <c r="L483" s="2"/>
      <c r="M483" s="2">
        <v>43</v>
      </c>
      <c r="N483" s="2">
        <v>0</v>
      </c>
      <c r="O483" s="2" t="s">
        <v>53</v>
      </c>
      <c r="P483" s="2" t="s">
        <v>43</v>
      </c>
      <c r="Q483" s="2"/>
      <c r="R483" s="2" t="s">
        <v>44</v>
      </c>
      <c r="S483" s="2">
        <v>8250215703</v>
      </c>
      <c r="T483" s="2" t="s">
        <v>2216</v>
      </c>
      <c r="U483" s="2" t="s">
        <v>2217</v>
      </c>
      <c r="V483" s="2">
        <v>7878766953</v>
      </c>
      <c r="W483" s="2" t="s">
        <v>2218</v>
      </c>
      <c r="X483" s="2">
        <v>36000</v>
      </c>
      <c r="Y483" s="2" t="s">
        <v>46</v>
      </c>
      <c r="Z483" s="2" t="s">
        <v>46</v>
      </c>
      <c r="AA483" s="2" t="s">
        <v>47</v>
      </c>
      <c r="AB483" s="2">
        <v>15</v>
      </c>
      <c r="AC483" s="2" t="s">
        <v>48</v>
      </c>
      <c r="AD483" s="2">
        <v>5</v>
      </c>
    </row>
    <row r="484" spans="1:30" ht="30" x14ac:dyDescent="0.25">
      <c r="A484" s="2">
        <v>11</v>
      </c>
      <c r="B484" s="2" t="s">
        <v>1108</v>
      </c>
      <c r="C484" s="2">
        <v>12965</v>
      </c>
      <c r="D484" s="3">
        <v>43281</v>
      </c>
      <c r="E484" s="2" t="s">
        <v>2219</v>
      </c>
      <c r="F484" s="2"/>
      <c r="G484" s="2" t="s">
        <v>2220</v>
      </c>
      <c r="H484" s="2" t="s">
        <v>591</v>
      </c>
      <c r="I484" s="2" t="s">
        <v>41</v>
      </c>
      <c r="J484" s="3">
        <v>38327</v>
      </c>
      <c r="K484" s="2"/>
      <c r="L484" s="2"/>
      <c r="M484" s="2">
        <v>43</v>
      </c>
      <c r="N484" s="2">
        <v>0</v>
      </c>
      <c r="O484" s="2" t="s">
        <v>773</v>
      </c>
      <c r="P484" s="2" t="s">
        <v>43</v>
      </c>
      <c r="Q484" s="2"/>
      <c r="R484" s="2" t="s">
        <v>44</v>
      </c>
      <c r="S484" s="2">
        <v>8250215703</v>
      </c>
      <c r="T484" s="2" t="s">
        <v>2221</v>
      </c>
      <c r="U484" s="2"/>
      <c r="V484" s="2">
        <v>9024766062</v>
      </c>
      <c r="W484" s="2" t="s">
        <v>679</v>
      </c>
      <c r="X484" s="2">
        <v>36000</v>
      </c>
      <c r="Y484" s="2" t="s">
        <v>46</v>
      </c>
      <c r="Z484" s="2" t="s">
        <v>46</v>
      </c>
      <c r="AA484" s="2" t="s">
        <v>47</v>
      </c>
      <c r="AB484" s="2">
        <v>17</v>
      </c>
      <c r="AC484" s="2" t="s">
        <v>48</v>
      </c>
      <c r="AD484" s="2">
        <v>2</v>
      </c>
    </row>
    <row r="485" spans="1:30" ht="30" x14ac:dyDescent="0.25">
      <c r="A485" s="2">
        <v>11</v>
      </c>
      <c r="B485" s="2" t="s">
        <v>1108</v>
      </c>
      <c r="C485" s="2">
        <v>13523</v>
      </c>
      <c r="D485" s="3">
        <v>44074</v>
      </c>
      <c r="E485" s="2" t="s">
        <v>2222</v>
      </c>
      <c r="F485" s="2"/>
      <c r="G485" s="2" t="s">
        <v>2223</v>
      </c>
      <c r="H485" s="2" t="s">
        <v>936</v>
      </c>
      <c r="I485" s="2" t="s">
        <v>41</v>
      </c>
      <c r="J485" s="3">
        <v>38543</v>
      </c>
      <c r="K485" s="2"/>
      <c r="L485" s="2"/>
      <c r="M485" s="2">
        <v>43</v>
      </c>
      <c r="N485" s="2">
        <v>0</v>
      </c>
      <c r="O485" s="2" t="s">
        <v>78</v>
      </c>
      <c r="P485" s="2" t="s">
        <v>43</v>
      </c>
      <c r="Q485" s="2"/>
      <c r="R485" s="2" t="s">
        <v>44</v>
      </c>
      <c r="S485" s="2">
        <v>8250215703</v>
      </c>
      <c r="T485" s="2" t="s">
        <v>2224</v>
      </c>
      <c r="U485" s="2" t="s">
        <v>2225</v>
      </c>
      <c r="V485" s="2">
        <v>9828262321</v>
      </c>
      <c r="W485" s="2" t="s">
        <v>2226</v>
      </c>
      <c r="X485" s="2">
        <v>40000</v>
      </c>
      <c r="Y485" s="2" t="s">
        <v>46</v>
      </c>
      <c r="Z485" s="2" t="s">
        <v>46</v>
      </c>
      <c r="AA485" s="2" t="s">
        <v>47</v>
      </c>
      <c r="AB485" s="2">
        <v>16</v>
      </c>
      <c r="AC485" s="2" t="s">
        <v>48</v>
      </c>
      <c r="AD485" s="2">
        <v>2</v>
      </c>
    </row>
    <row r="486" spans="1:30" ht="30" x14ac:dyDescent="0.25">
      <c r="A486" s="2">
        <v>11</v>
      </c>
      <c r="B486" s="2" t="s">
        <v>1108</v>
      </c>
      <c r="C486" s="2">
        <v>13319</v>
      </c>
      <c r="D486" s="3">
        <v>43280</v>
      </c>
      <c r="E486" s="2" t="s">
        <v>2227</v>
      </c>
      <c r="F486" s="2"/>
      <c r="G486" s="2" t="s">
        <v>2228</v>
      </c>
      <c r="H486" s="2" t="s">
        <v>2229</v>
      </c>
      <c r="I486" s="2" t="s">
        <v>41</v>
      </c>
      <c r="J486" s="3">
        <v>37816</v>
      </c>
      <c r="K486" s="2"/>
      <c r="L486" s="2"/>
      <c r="M486" s="2">
        <v>43</v>
      </c>
      <c r="N486" s="2">
        <v>0</v>
      </c>
      <c r="O486" s="2" t="s">
        <v>42</v>
      </c>
      <c r="P486" s="2" t="s">
        <v>43</v>
      </c>
      <c r="Q486" s="2"/>
      <c r="R486" s="2" t="s">
        <v>44</v>
      </c>
      <c r="S486" s="2">
        <v>8250215703</v>
      </c>
      <c r="T486" s="2" t="s">
        <v>2230</v>
      </c>
      <c r="U486" s="2" t="s">
        <v>2231</v>
      </c>
      <c r="V486" s="2">
        <v>9413262901</v>
      </c>
      <c r="W486" s="2" t="s">
        <v>2232</v>
      </c>
      <c r="X486" s="2">
        <v>36000</v>
      </c>
      <c r="Y486" s="2" t="s">
        <v>46</v>
      </c>
      <c r="Z486" s="2" t="s">
        <v>46</v>
      </c>
      <c r="AA486" s="2" t="s">
        <v>47</v>
      </c>
      <c r="AB486" s="2">
        <v>18</v>
      </c>
      <c r="AC486" s="2" t="s">
        <v>48</v>
      </c>
      <c r="AD486" s="2">
        <v>2</v>
      </c>
    </row>
    <row r="487" spans="1:30" ht="30" x14ac:dyDescent="0.25">
      <c r="A487" s="2">
        <v>11</v>
      </c>
      <c r="B487" s="2" t="s">
        <v>1108</v>
      </c>
      <c r="C487" s="2">
        <v>13423</v>
      </c>
      <c r="D487" s="3">
        <v>43679</v>
      </c>
      <c r="E487" s="2" t="s">
        <v>2233</v>
      </c>
      <c r="F487" s="2"/>
      <c r="G487" s="2" t="s">
        <v>2234</v>
      </c>
      <c r="H487" s="2" t="s">
        <v>2235</v>
      </c>
      <c r="I487" s="2" t="s">
        <v>41</v>
      </c>
      <c r="J487" s="3">
        <v>37726</v>
      </c>
      <c r="K487" s="2"/>
      <c r="L487" s="2"/>
      <c r="M487" s="2">
        <v>43</v>
      </c>
      <c r="N487" s="2">
        <v>0</v>
      </c>
      <c r="O487" s="2" t="s">
        <v>53</v>
      </c>
      <c r="P487" s="2" t="s">
        <v>43</v>
      </c>
      <c r="Q487" s="2"/>
      <c r="R487" s="2" t="s">
        <v>44</v>
      </c>
      <c r="S487" s="2">
        <v>8250215703</v>
      </c>
      <c r="T487" s="2" t="s">
        <v>2236</v>
      </c>
      <c r="U487" s="2" t="s">
        <v>2237</v>
      </c>
      <c r="V487" s="2">
        <v>9662016171</v>
      </c>
      <c r="W487" s="2" t="s">
        <v>1364</v>
      </c>
      <c r="X487" s="2">
        <v>36000</v>
      </c>
      <c r="Y487" s="2" t="s">
        <v>46</v>
      </c>
      <c r="Z487" s="2" t="s">
        <v>46</v>
      </c>
      <c r="AA487" s="2" t="s">
        <v>47</v>
      </c>
      <c r="AB487" s="2">
        <v>18</v>
      </c>
      <c r="AC487" s="2" t="s">
        <v>48</v>
      </c>
      <c r="AD487" s="2">
        <v>6</v>
      </c>
    </row>
    <row r="488" spans="1:30" ht="45" x14ac:dyDescent="0.25">
      <c r="A488" s="2">
        <v>11</v>
      </c>
      <c r="B488" s="2" t="s">
        <v>1108</v>
      </c>
      <c r="C488" s="2">
        <v>12939</v>
      </c>
      <c r="D488" s="3">
        <v>43281</v>
      </c>
      <c r="E488" s="2" t="s">
        <v>2238</v>
      </c>
      <c r="F488" s="2"/>
      <c r="G488" s="2" t="s">
        <v>2239</v>
      </c>
      <c r="H488" s="2" t="s">
        <v>2240</v>
      </c>
      <c r="I488" s="2" t="s">
        <v>41</v>
      </c>
      <c r="J488" s="3">
        <v>38768</v>
      </c>
      <c r="K488" s="2"/>
      <c r="L488" s="2"/>
      <c r="M488" s="2">
        <v>43</v>
      </c>
      <c r="N488" s="2">
        <v>0</v>
      </c>
      <c r="O488" s="2" t="s">
        <v>42</v>
      </c>
      <c r="P488" s="2" t="s">
        <v>43</v>
      </c>
      <c r="Q488" s="2"/>
      <c r="R488" s="2" t="s">
        <v>44</v>
      </c>
      <c r="S488" s="2">
        <v>8250215703</v>
      </c>
      <c r="T488" s="2" t="s">
        <v>2241</v>
      </c>
      <c r="U488" s="2" t="s">
        <v>2242</v>
      </c>
      <c r="V488" s="2">
        <v>9799216114</v>
      </c>
      <c r="W488" s="2" t="s">
        <v>2243</v>
      </c>
      <c r="X488" s="2">
        <v>36000</v>
      </c>
      <c r="Y488" s="2" t="s">
        <v>46</v>
      </c>
      <c r="Z488" s="2" t="s">
        <v>46</v>
      </c>
      <c r="AA488" s="2" t="s">
        <v>47</v>
      </c>
      <c r="AB488" s="2">
        <v>15</v>
      </c>
      <c r="AC488" s="2" t="s">
        <v>48</v>
      </c>
      <c r="AD488" s="2">
        <v>1</v>
      </c>
    </row>
    <row r="489" spans="1:30" ht="45" x14ac:dyDescent="0.25">
      <c r="A489" s="2">
        <v>11</v>
      </c>
      <c r="B489" s="2" t="s">
        <v>1108</v>
      </c>
      <c r="C489" s="2">
        <v>13263</v>
      </c>
      <c r="D489" s="3">
        <v>43654</v>
      </c>
      <c r="E489" s="2" t="s">
        <v>781</v>
      </c>
      <c r="F489" s="2"/>
      <c r="G489" s="2" t="s">
        <v>2244</v>
      </c>
      <c r="H489" s="2" t="s">
        <v>2245</v>
      </c>
      <c r="I489" s="2" t="s">
        <v>41</v>
      </c>
      <c r="J489" s="3">
        <v>37695</v>
      </c>
      <c r="K489" s="2"/>
      <c r="L489" s="2"/>
      <c r="M489" s="2">
        <v>43</v>
      </c>
      <c r="N489" s="2">
        <v>0</v>
      </c>
      <c r="O489" s="2" t="s">
        <v>42</v>
      </c>
      <c r="P489" s="2" t="s">
        <v>43</v>
      </c>
      <c r="Q489" s="2"/>
      <c r="R489" s="2" t="s">
        <v>44</v>
      </c>
      <c r="S489" s="2">
        <v>8250215703</v>
      </c>
      <c r="T489" s="2" t="s">
        <v>2246</v>
      </c>
      <c r="U489" s="2" t="s">
        <v>2247</v>
      </c>
      <c r="V489" s="2">
        <v>9649287371</v>
      </c>
      <c r="W489" s="2" t="s">
        <v>2248</v>
      </c>
      <c r="X489" s="2">
        <v>70000</v>
      </c>
      <c r="Y489" s="2" t="s">
        <v>46</v>
      </c>
      <c r="Z489" s="2" t="s">
        <v>46</v>
      </c>
      <c r="AA489" s="2" t="s">
        <v>47</v>
      </c>
      <c r="AB489" s="2">
        <v>18</v>
      </c>
      <c r="AC489" s="2" t="s">
        <v>48</v>
      </c>
      <c r="AD489" s="2">
        <v>4</v>
      </c>
    </row>
    <row r="490" spans="1:30" ht="30" x14ac:dyDescent="0.25">
      <c r="A490" s="2">
        <v>11</v>
      </c>
      <c r="B490" s="2" t="s">
        <v>1108</v>
      </c>
      <c r="C490" s="2">
        <v>12336</v>
      </c>
      <c r="D490" s="3">
        <v>42548</v>
      </c>
      <c r="E490" s="2" t="s">
        <v>2249</v>
      </c>
      <c r="F490" s="2"/>
      <c r="G490" s="2" t="s">
        <v>691</v>
      </c>
      <c r="H490" s="2" t="s">
        <v>2250</v>
      </c>
      <c r="I490" s="2" t="s">
        <v>41</v>
      </c>
      <c r="J490" s="3">
        <v>38171</v>
      </c>
      <c r="K490" s="2"/>
      <c r="L490" s="2"/>
      <c r="M490" s="2">
        <v>43</v>
      </c>
      <c r="N490" s="2">
        <v>0</v>
      </c>
      <c r="O490" s="2" t="s">
        <v>78</v>
      </c>
      <c r="P490" s="2" t="s">
        <v>43</v>
      </c>
      <c r="Q490" s="2"/>
      <c r="R490" s="2" t="s">
        <v>44</v>
      </c>
      <c r="S490" s="2">
        <v>8250215703</v>
      </c>
      <c r="T490" s="2" t="s">
        <v>2251</v>
      </c>
      <c r="U490" s="2" t="s">
        <v>2252</v>
      </c>
      <c r="V490" s="2">
        <v>9783573568</v>
      </c>
      <c r="W490" s="2" t="s">
        <v>2253</v>
      </c>
      <c r="X490" s="2">
        <v>66000</v>
      </c>
      <c r="Y490" s="2" t="s">
        <v>46</v>
      </c>
      <c r="Z490" s="2" t="s">
        <v>46</v>
      </c>
      <c r="AA490" s="2" t="s">
        <v>47</v>
      </c>
      <c r="AB490" s="2">
        <v>17</v>
      </c>
      <c r="AC490" s="2" t="s">
        <v>48</v>
      </c>
      <c r="AD490" s="2">
        <v>1</v>
      </c>
    </row>
    <row r="491" spans="1:30" ht="30" x14ac:dyDescent="0.25">
      <c r="A491" s="2">
        <v>11</v>
      </c>
      <c r="B491" s="2" t="s">
        <v>1108</v>
      </c>
      <c r="C491" s="2">
        <v>12323</v>
      </c>
      <c r="D491" s="3">
        <v>42548</v>
      </c>
      <c r="E491" s="2" t="s">
        <v>722</v>
      </c>
      <c r="F491" s="2"/>
      <c r="G491" s="2" t="s">
        <v>1787</v>
      </c>
      <c r="H491" s="2" t="s">
        <v>2254</v>
      </c>
      <c r="I491" s="2" t="s">
        <v>41</v>
      </c>
      <c r="J491" s="3">
        <v>37818</v>
      </c>
      <c r="K491" s="2"/>
      <c r="L491" s="2"/>
      <c r="M491" s="2">
        <v>43</v>
      </c>
      <c r="N491" s="2">
        <v>0</v>
      </c>
      <c r="O491" s="2" t="s">
        <v>53</v>
      </c>
      <c r="P491" s="2" t="s">
        <v>43</v>
      </c>
      <c r="Q491" s="2"/>
      <c r="R491" s="2" t="s">
        <v>44</v>
      </c>
      <c r="S491" s="2">
        <v>8250215703</v>
      </c>
      <c r="T491" s="2" t="s">
        <v>2255</v>
      </c>
      <c r="U491" s="2"/>
      <c r="V491" s="2">
        <v>9001859321</v>
      </c>
      <c r="W491" s="2" t="s">
        <v>69</v>
      </c>
      <c r="X491" s="2">
        <v>44000</v>
      </c>
      <c r="Y491" s="2" t="s">
        <v>46</v>
      </c>
      <c r="Z491" s="2" t="s">
        <v>46</v>
      </c>
      <c r="AA491" s="2" t="s">
        <v>47</v>
      </c>
      <c r="AB491" s="2">
        <v>18</v>
      </c>
      <c r="AC491" s="2" t="s">
        <v>48</v>
      </c>
      <c r="AD491" s="2">
        <v>1</v>
      </c>
    </row>
    <row r="492" spans="1:30" ht="30" x14ac:dyDescent="0.25">
      <c r="A492" s="2">
        <v>11</v>
      </c>
      <c r="B492" s="2" t="s">
        <v>1108</v>
      </c>
      <c r="C492" s="2">
        <v>12824</v>
      </c>
      <c r="D492" s="3">
        <v>42931</v>
      </c>
      <c r="E492" s="2" t="s">
        <v>2256</v>
      </c>
      <c r="F492" s="2"/>
      <c r="G492" s="2" t="s">
        <v>2257</v>
      </c>
      <c r="H492" s="2" t="s">
        <v>507</v>
      </c>
      <c r="I492" s="2" t="s">
        <v>41</v>
      </c>
      <c r="J492" s="3">
        <v>38325</v>
      </c>
      <c r="K492" s="2"/>
      <c r="L492" s="2"/>
      <c r="M492" s="2">
        <v>43</v>
      </c>
      <c r="N492" s="2">
        <v>0</v>
      </c>
      <c r="O492" s="2" t="s">
        <v>53</v>
      </c>
      <c r="P492" s="2" t="s">
        <v>43</v>
      </c>
      <c r="Q492" s="2"/>
      <c r="R492" s="2" t="s">
        <v>44</v>
      </c>
      <c r="S492" s="2">
        <v>8250215703</v>
      </c>
      <c r="T492" s="2" t="s">
        <v>2258</v>
      </c>
      <c r="U492" s="2" t="s">
        <v>2259</v>
      </c>
      <c r="V492" s="2">
        <v>9001386215</v>
      </c>
      <c r="W492" s="2" t="s">
        <v>462</v>
      </c>
      <c r="X492" s="2">
        <v>36000</v>
      </c>
      <c r="Y492" s="2" t="s">
        <v>46</v>
      </c>
      <c r="Z492" s="2" t="s">
        <v>46</v>
      </c>
      <c r="AA492" s="2" t="s">
        <v>47</v>
      </c>
      <c r="AB492" s="2">
        <v>17</v>
      </c>
      <c r="AC492" s="2" t="s">
        <v>48</v>
      </c>
      <c r="AD492" s="2">
        <v>2</v>
      </c>
    </row>
    <row r="493" spans="1:30" ht="30" x14ac:dyDescent="0.25">
      <c r="A493" s="2">
        <v>11</v>
      </c>
      <c r="B493" s="2" t="s">
        <v>1108</v>
      </c>
      <c r="C493" s="2">
        <v>13188</v>
      </c>
      <c r="D493" s="3">
        <v>43649</v>
      </c>
      <c r="E493" s="2" t="s">
        <v>2260</v>
      </c>
      <c r="F493" s="2"/>
      <c r="G493" s="2" t="s">
        <v>1413</v>
      </c>
      <c r="H493" s="2" t="s">
        <v>2261</v>
      </c>
      <c r="I493" s="2" t="s">
        <v>41</v>
      </c>
      <c r="J493" s="3">
        <v>38918</v>
      </c>
      <c r="K493" s="2"/>
      <c r="L493" s="2"/>
      <c r="M493" s="2">
        <v>43</v>
      </c>
      <c r="N493" s="2">
        <v>0</v>
      </c>
      <c r="O493" s="2" t="s">
        <v>53</v>
      </c>
      <c r="P493" s="2" t="s">
        <v>43</v>
      </c>
      <c r="Q493" s="2"/>
      <c r="R493" s="2" t="s">
        <v>44</v>
      </c>
      <c r="S493" s="2">
        <v>8250215703</v>
      </c>
      <c r="T493" s="2" t="s">
        <v>2262</v>
      </c>
      <c r="U493" s="2" t="s">
        <v>2263</v>
      </c>
      <c r="V493" s="2">
        <v>7014334102</v>
      </c>
      <c r="W493" s="2" t="s">
        <v>2264</v>
      </c>
      <c r="X493" s="2">
        <v>30000</v>
      </c>
      <c r="Y493" s="2" t="s">
        <v>46</v>
      </c>
      <c r="Z493" s="2" t="s">
        <v>46</v>
      </c>
      <c r="AA493" s="2" t="s">
        <v>47</v>
      </c>
      <c r="AB493" s="2">
        <v>15</v>
      </c>
      <c r="AC493" s="2" t="s">
        <v>48</v>
      </c>
      <c r="AD493" s="2">
        <v>2</v>
      </c>
    </row>
    <row r="494" spans="1:30" ht="30" x14ac:dyDescent="0.25">
      <c r="A494" s="2">
        <v>11</v>
      </c>
      <c r="B494" s="2" t="s">
        <v>2265</v>
      </c>
      <c r="C494" s="2">
        <v>13977</v>
      </c>
      <c r="D494" s="3">
        <v>44450</v>
      </c>
      <c r="E494" s="2" t="s">
        <v>2266</v>
      </c>
      <c r="F494" s="2"/>
      <c r="G494" s="2" t="s">
        <v>2267</v>
      </c>
      <c r="H494" s="2" t="s">
        <v>1665</v>
      </c>
      <c r="I494" s="2" t="s">
        <v>41</v>
      </c>
      <c r="J494" s="3">
        <v>38217</v>
      </c>
      <c r="K494" s="2"/>
      <c r="L494" s="2"/>
      <c r="M494" s="2">
        <v>43</v>
      </c>
      <c r="N494" s="2">
        <v>21</v>
      </c>
      <c r="O494" s="2" t="s">
        <v>53</v>
      </c>
      <c r="P494" s="2" t="s">
        <v>43</v>
      </c>
      <c r="Q494" s="2"/>
      <c r="R494" s="2" t="s">
        <v>44</v>
      </c>
      <c r="S494" s="2">
        <v>8250215703</v>
      </c>
      <c r="T494" s="2"/>
      <c r="U494" s="2"/>
      <c r="V494" s="2">
        <v>8769341188</v>
      </c>
      <c r="W494" s="2" t="s">
        <v>2268</v>
      </c>
      <c r="X494" s="2">
        <v>45000</v>
      </c>
      <c r="Y494" s="2" t="s">
        <v>46</v>
      </c>
      <c r="Z494" s="2" t="s">
        <v>46</v>
      </c>
      <c r="AA494" s="2" t="s">
        <v>47</v>
      </c>
      <c r="AB494" s="2">
        <v>17</v>
      </c>
      <c r="AC494" s="2" t="s">
        <v>48</v>
      </c>
      <c r="AD494" s="2">
        <v>1</v>
      </c>
    </row>
    <row r="495" spans="1:30" ht="30" x14ac:dyDescent="0.25">
      <c r="A495" s="2">
        <v>11</v>
      </c>
      <c r="B495" s="2" t="s">
        <v>2265</v>
      </c>
      <c r="C495" s="2">
        <v>13933</v>
      </c>
      <c r="D495" s="3">
        <v>44426</v>
      </c>
      <c r="E495" s="2" t="s">
        <v>2269</v>
      </c>
      <c r="F495" s="2"/>
      <c r="G495" s="2" t="s">
        <v>2270</v>
      </c>
      <c r="H495" s="2" t="s">
        <v>2271</v>
      </c>
      <c r="I495" s="2" t="s">
        <v>41</v>
      </c>
      <c r="J495" s="3">
        <v>39016</v>
      </c>
      <c r="K495" s="2"/>
      <c r="L495" s="2"/>
      <c r="M495" s="2">
        <v>43</v>
      </c>
      <c r="N495" s="2">
        <v>19</v>
      </c>
      <c r="O495" s="2" t="s">
        <v>42</v>
      </c>
      <c r="P495" s="2" t="s">
        <v>43</v>
      </c>
      <c r="Q495" s="2"/>
      <c r="R495" s="2" t="s">
        <v>44</v>
      </c>
      <c r="S495" s="2">
        <v>8250215703</v>
      </c>
      <c r="T495" s="2" t="s">
        <v>2272</v>
      </c>
      <c r="U495" s="2" t="s">
        <v>2273</v>
      </c>
      <c r="V495" s="2">
        <v>9166924375</v>
      </c>
      <c r="W495" s="2" t="s">
        <v>2274</v>
      </c>
      <c r="X495" s="2">
        <v>50000</v>
      </c>
      <c r="Y495" s="2" t="s">
        <v>46</v>
      </c>
      <c r="Z495" s="2" t="s">
        <v>46</v>
      </c>
      <c r="AA495" s="2" t="s">
        <v>47</v>
      </c>
      <c r="AB495" s="2">
        <v>15</v>
      </c>
      <c r="AC495" s="2" t="s">
        <v>48</v>
      </c>
      <c r="AD495" s="2">
        <v>1</v>
      </c>
    </row>
    <row r="496" spans="1:30" ht="30" x14ac:dyDescent="0.25">
      <c r="A496" s="2">
        <v>11</v>
      </c>
      <c r="B496" s="2" t="s">
        <v>2265</v>
      </c>
      <c r="C496" s="2">
        <v>13355</v>
      </c>
      <c r="D496" s="3">
        <v>43661</v>
      </c>
      <c r="E496" s="2" t="s">
        <v>2275</v>
      </c>
      <c r="F496" s="2"/>
      <c r="G496" s="2" t="s">
        <v>2276</v>
      </c>
      <c r="H496" s="2" t="s">
        <v>2277</v>
      </c>
      <c r="I496" s="2" t="s">
        <v>41</v>
      </c>
      <c r="J496" s="3">
        <v>38973</v>
      </c>
      <c r="K496" s="2"/>
      <c r="L496" s="2"/>
      <c r="M496" s="2">
        <v>43</v>
      </c>
      <c r="N496" s="2">
        <v>20</v>
      </c>
      <c r="O496" s="2" t="s">
        <v>53</v>
      </c>
      <c r="P496" s="2" t="s">
        <v>43</v>
      </c>
      <c r="Q496" s="2"/>
      <c r="R496" s="2" t="s">
        <v>44</v>
      </c>
      <c r="S496" s="2">
        <v>8250215703</v>
      </c>
      <c r="T496" s="2" t="s">
        <v>2278</v>
      </c>
      <c r="U496" s="2" t="s">
        <v>2279</v>
      </c>
      <c r="V496" s="2">
        <v>7048253220</v>
      </c>
      <c r="W496" s="2" t="s">
        <v>2280</v>
      </c>
      <c r="X496" s="2">
        <v>36000</v>
      </c>
      <c r="Y496" s="2" t="s">
        <v>46</v>
      </c>
      <c r="Z496" s="2" t="s">
        <v>46</v>
      </c>
      <c r="AA496" s="2" t="s">
        <v>47</v>
      </c>
      <c r="AB496" s="2">
        <v>15</v>
      </c>
      <c r="AC496" s="2" t="s">
        <v>48</v>
      </c>
      <c r="AD496" s="2">
        <v>4</v>
      </c>
    </row>
    <row r="497" spans="1:30" ht="30" x14ac:dyDescent="0.25">
      <c r="A497" s="2">
        <v>11</v>
      </c>
      <c r="B497" s="2" t="s">
        <v>2265</v>
      </c>
      <c r="C497" s="2">
        <v>13897</v>
      </c>
      <c r="D497" s="3">
        <v>44413</v>
      </c>
      <c r="E497" s="2" t="s">
        <v>2281</v>
      </c>
      <c r="F497" s="2"/>
      <c r="G497" s="2" t="s">
        <v>2282</v>
      </c>
      <c r="H497" s="2" t="s">
        <v>2283</v>
      </c>
      <c r="I497" s="2" t="s">
        <v>41</v>
      </c>
      <c r="J497" s="3">
        <v>38476</v>
      </c>
      <c r="K497" s="2"/>
      <c r="L497" s="2"/>
      <c r="M497" s="2">
        <v>43</v>
      </c>
      <c r="N497" s="2">
        <v>18</v>
      </c>
      <c r="O497" s="2" t="s">
        <v>53</v>
      </c>
      <c r="P497" s="2" t="s">
        <v>43</v>
      </c>
      <c r="Q497" s="2"/>
      <c r="R497" s="2" t="s">
        <v>44</v>
      </c>
      <c r="S497" s="2">
        <v>8250215703</v>
      </c>
      <c r="T497" s="2" t="s">
        <v>2284</v>
      </c>
      <c r="U497" s="2" t="s">
        <v>2285</v>
      </c>
      <c r="V497" s="2">
        <v>7878333712</v>
      </c>
      <c r="W497" s="2" t="s">
        <v>2286</v>
      </c>
      <c r="X497" s="2">
        <v>36000</v>
      </c>
      <c r="Y497" s="2" t="s">
        <v>46</v>
      </c>
      <c r="Z497" s="2" t="s">
        <v>46</v>
      </c>
      <c r="AA497" s="2" t="s">
        <v>47</v>
      </c>
      <c r="AB497" s="2">
        <v>16</v>
      </c>
      <c r="AC497" s="2" t="s">
        <v>48</v>
      </c>
      <c r="AD497" s="2">
        <v>2</v>
      </c>
    </row>
    <row r="498" spans="1:30" ht="30" x14ac:dyDescent="0.25">
      <c r="A498" s="2">
        <v>11</v>
      </c>
      <c r="B498" s="2" t="s">
        <v>2265</v>
      </c>
      <c r="C498" s="2">
        <v>13255</v>
      </c>
      <c r="D498" s="3">
        <v>43654</v>
      </c>
      <c r="E498" s="2" t="s">
        <v>2287</v>
      </c>
      <c r="F498" s="2"/>
      <c r="G498" s="2" t="s">
        <v>2288</v>
      </c>
      <c r="H498" s="2" t="s">
        <v>2289</v>
      </c>
      <c r="I498" s="2" t="s">
        <v>41</v>
      </c>
      <c r="J498" s="3">
        <v>38470</v>
      </c>
      <c r="K498" s="2"/>
      <c r="L498" s="2"/>
      <c r="M498" s="2">
        <v>43</v>
      </c>
      <c r="N498" s="2">
        <v>18</v>
      </c>
      <c r="O498" s="2" t="s">
        <v>825</v>
      </c>
      <c r="P498" s="2" t="s">
        <v>43</v>
      </c>
      <c r="Q498" s="2"/>
      <c r="R498" s="2" t="s">
        <v>44</v>
      </c>
      <c r="S498" s="2">
        <v>8250215703</v>
      </c>
      <c r="T498" s="2" t="s">
        <v>989</v>
      </c>
      <c r="U498" s="2" t="s">
        <v>2290</v>
      </c>
      <c r="V498" s="2">
        <v>8107298706</v>
      </c>
      <c r="W498" s="2" t="s">
        <v>1270</v>
      </c>
      <c r="X498" s="2">
        <v>36000</v>
      </c>
      <c r="Y498" s="2" t="s">
        <v>46</v>
      </c>
      <c r="Z498" s="2" t="s">
        <v>240</v>
      </c>
      <c r="AA498" s="2" t="s">
        <v>47</v>
      </c>
      <c r="AB498" s="2">
        <v>16</v>
      </c>
      <c r="AC498" s="2" t="s">
        <v>48</v>
      </c>
      <c r="AD498" s="2">
        <v>4</v>
      </c>
    </row>
    <row r="499" spans="1:30" ht="30" x14ac:dyDescent="0.25">
      <c r="A499" s="2">
        <v>11</v>
      </c>
      <c r="B499" s="2" t="s">
        <v>2265</v>
      </c>
      <c r="C499" s="2">
        <v>12926</v>
      </c>
      <c r="D499" s="3">
        <v>43279</v>
      </c>
      <c r="E499" s="2" t="s">
        <v>2291</v>
      </c>
      <c r="F499" s="2"/>
      <c r="G499" s="2" t="s">
        <v>2292</v>
      </c>
      <c r="H499" s="2" t="s">
        <v>2293</v>
      </c>
      <c r="I499" s="2" t="s">
        <v>41</v>
      </c>
      <c r="J499" s="3">
        <v>37949</v>
      </c>
      <c r="K499" s="2"/>
      <c r="L499" s="2"/>
      <c r="M499" s="2">
        <v>43</v>
      </c>
      <c r="N499" s="2">
        <v>19</v>
      </c>
      <c r="O499" s="2" t="s">
        <v>53</v>
      </c>
      <c r="P499" s="2" t="s">
        <v>43</v>
      </c>
      <c r="Q499" s="2"/>
      <c r="R499" s="2" t="s">
        <v>44</v>
      </c>
      <c r="S499" s="2">
        <v>8250215703</v>
      </c>
      <c r="T499" s="2" t="s">
        <v>2294</v>
      </c>
      <c r="U499" s="2" t="s">
        <v>2295</v>
      </c>
      <c r="V499" s="2">
        <v>9998928226</v>
      </c>
      <c r="W499" s="2" t="s">
        <v>2296</v>
      </c>
      <c r="X499" s="2">
        <v>36000</v>
      </c>
      <c r="Y499" s="2" t="s">
        <v>46</v>
      </c>
      <c r="Z499" s="2" t="s">
        <v>46</v>
      </c>
      <c r="AA499" s="2" t="s">
        <v>47</v>
      </c>
      <c r="AB499" s="2">
        <v>18</v>
      </c>
      <c r="AC499" s="2" t="s">
        <v>48</v>
      </c>
      <c r="AD499" s="2">
        <v>3</v>
      </c>
    </row>
    <row r="500" spans="1:30" ht="30" x14ac:dyDescent="0.25">
      <c r="A500" s="2">
        <v>11</v>
      </c>
      <c r="B500" s="2" t="s">
        <v>2265</v>
      </c>
      <c r="C500" s="2">
        <v>12893</v>
      </c>
      <c r="D500" s="3">
        <v>43274</v>
      </c>
      <c r="E500" s="2" t="s">
        <v>2297</v>
      </c>
      <c r="F500" s="2"/>
      <c r="G500" s="2" t="s">
        <v>378</v>
      </c>
      <c r="H500" s="2" t="s">
        <v>507</v>
      </c>
      <c r="I500" s="2" t="s">
        <v>41</v>
      </c>
      <c r="J500" s="3">
        <v>38138</v>
      </c>
      <c r="K500" s="2"/>
      <c r="L500" s="2"/>
      <c r="M500" s="2">
        <v>43</v>
      </c>
      <c r="N500" s="2">
        <v>19</v>
      </c>
      <c r="O500" s="2" t="s">
        <v>78</v>
      </c>
      <c r="P500" s="2" t="s">
        <v>43</v>
      </c>
      <c r="Q500" s="2"/>
      <c r="R500" s="2" t="s">
        <v>44</v>
      </c>
      <c r="S500" s="2">
        <v>8250215703</v>
      </c>
      <c r="T500" s="2" t="s">
        <v>2298</v>
      </c>
      <c r="U500" s="2" t="s">
        <v>2299</v>
      </c>
      <c r="V500" s="2">
        <v>9799987515</v>
      </c>
      <c r="W500" s="2" t="s">
        <v>679</v>
      </c>
      <c r="X500" s="2">
        <v>45000</v>
      </c>
      <c r="Y500" s="2" t="s">
        <v>46</v>
      </c>
      <c r="Z500" s="2" t="s">
        <v>46</v>
      </c>
      <c r="AA500" s="2" t="s">
        <v>47</v>
      </c>
      <c r="AB500" s="2">
        <v>17</v>
      </c>
      <c r="AC500" s="2" t="s">
        <v>48</v>
      </c>
      <c r="AD500" s="2">
        <v>1</v>
      </c>
    </row>
    <row r="501" spans="1:30" ht="30" x14ac:dyDescent="0.25">
      <c r="A501" s="2">
        <v>11</v>
      </c>
      <c r="B501" s="2" t="s">
        <v>2265</v>
      </c>
      <c r="C501" s="2">
        <v>13866</v>
      </c>
      <c r="D501" s="3">
        <v>44406</v>
      </c>
      <c r="E501" s="2" t="s">
        <v>2300</v>
      </c>
      <c r="F501" s="2"/>
      <c r="G501" s="2" t="s">
        <v>2301</v>
      </c>
      <c r="H501" s="2" t="s">
        <v>2302</v>
      </c>
      <c r="I501" s="2" t="s">
        <v>41</v>
      </c>
      <c r="J501" s="3">
        <v>38089</v>
      </c>
      <c r="K501" s="2"/>
      <c r="L501" s="2"/>
      <c r="M501" s="2">
        <v>43</v>
      </c>
      <c r="N501" s="2">
        <v>17</v>
      </c>
      <c r="O501" s="2" t="s">
        <v>53</v>
      </c>
      <c r="P501" s="2" t="s">
        <v>43</v>
      </c>
      <c r="Q501" s="2"/>
      <c r="R501" s="2" t="s">
        <v>44</v>
      </c>
      <c r="S501" s="2">
        <v>8250215703</v>
      </c>
      <c r="T501" s="2" t="s">
        <v>2303</v>
      </c>
      <c r="U501" s="2" t="s">
        <v>2304</v>
      </c>
      <c r="V501" s="2">
        <v>9784652871</v>
      </c>
      <c r="W501" s="2" t="s">
        <v>2305</v>
      </c>
      <c r="X501" s="2">
        <v>60000</v>
      </c>
      <c r="Y501" s="2" t="s">
        <v>46</v>
      </c>
      <c r="Z501" s="2" t="s">
        <v>46</v>
      </c>
      <c r="AA501" s="2" t="s">
        <v>47</v>
      </c>
      <c r="AB501" s="2">
        <v>17</v>
      </c>
      <c r="AC501" s="2" t="s">
        <v>48</v>
      </c>
      <c r="AD501" s="2">
        <v>2</v>
      </c>
    </row>
    <row r="502" spans="1:30" ht="30" x14ac:dyDescent="0.25">
      <c r="A502" s="2">
        <v>11</v>
      </c>
      <c r="B502" s="2" t="s">
        <v>2265</v>
      </c>
      <c r="C502" s="2">
        <v>13729</v>
      </c>
      <c r="D502" s="3">
        <v>44390</v>
      </c>
      <c r="E502" s="2" t="s">
        <v>2306</v>
      </c>
      <c r="F502" s="2"/>
      <c r="G502" s="2" t="s">
        <v>2307</v>
      </c>
      <c r="H502" s="2" t="s">
        <v>2308</v>
      </c>
      <c r="I502" s="2" t="s">
        <v>41</v>
      </c>
      <c r="J502" s="3">
        <v>38909</v>
      </c>
      <c r="K502" s="2"/>
      <c r="L502" s="2"/>
      <c r="M502" s="2">
        <v>43</v>
      </c>
      <c r="N502" s="2">
        <v>18</v>
      </c>
      <c r="O502" s="2" t="s">
        <v>53</v>
      </c>
      <c r="P502" s="2" t="s">
        <v>43</v>
      </c>
      <c r="Q502" s="2"/>
      <c r="R502" s="2" t="s">
        <v>44</v>
      </c>
      <c r="S502" s="2">
        <v>8250215703</v>
      </c>
      <c r="T502" s="2" t="s">
        <v>2309</v>
      </c>
      <c r="U502" s="2"/>
      <c r="V502" s="2">
        <v>9829235045</v>
      </c>
      <c r="W502" s="2" t="s">
        <v>2310</v>
      </c>
      <c r="X502" s="2">
        <v>120000</v>
      </c>
      <c r="Y502" s="2" t="s">
        <v>46</v>
      </c>
      <c r="Z502" s="2" t="s">
        <v>46</v>
      </c>
      <c r="AA502" s="2" t="s">
        <v>47</v>
      </c>
      <c r="AB502" s="2">
        <v>15</v>
      </c>
      <c r="AC502" s="2" t="s">
        <v>48</v>
      </c>
      <c r="AD502" s="2">
        <v>1</v>
      </c>
    </row>
    <row r="503" spans="1:30" ht="30" x14ac:dyDescent="0.25">
      <c r="A503" s="2">
        <v>11</v>
      </c>
      <c r="B503" s="2" t="s">
        <v>2265</v>
      </c>
      <c r="C503" s="2">
        <v>13219</v>
      </c>
      <c r="D503" s="3">
        <v>43649</v>
      </c>
      <c r="E503" s="2" t="s">
        <v>2311</v>
      </c>
      <c r="F503" s="2"/>
      <c r="G503" s="2" t="s">
        <v>2312</v>
      </c>
      <c r="H503" s="2" t="s">
        <v>819</v>
      </c>
      <c r="I503" s="2" t="s">
        <v>41</v>
      </c>
      <c r="J503" s="3">
        <v>37545</v>
      </c>
      <c r="K503" s="2"/>
      <c r="L503" s="2"/>
      <c r="M503" s="2">
        <v>43</v>
      </c>
      <c r="N503" s="2">
        <v>16</v>
      </c>
      <c r="O503" s="2" t="s">
        <v>78</v>
      </c>
      <c r="P503" s="2" t="s">
        <v>43</v>
      </c>
      <c r="Q503" s="2"/>
      <c r="R503" s="2" t="s">
        <v>44</v>
      </c>
      <c r="S503" s="2">
        <v>8250215703</v>
      </c>
      <c r="T503" s="2" t="s">
        <v>2313</v>
      </c>
      <c r="U503" s="2" t="s">
        <v>2314</v>
      </c>
      <c r="V503" s="2">
        <v>9571129504</v>
      </c>
      <c r="W503" s="2" t="s">
        <v>2315</v>
      </c>
      <c r="X503" s="2">
        <v>36000</v>
      </c>
      <c r="Y503" s="2" t="s">
        <v>46</v>
      </c>
      <c r="Z503" s="2" t="s">
        <v>46</v>
      </c>
      <c r="AA503" s="2" t="s">
        <v>47</v>
      </c>
      <c r="AB503" s="2">
        <v>19</v>
      </c>
      <c r="AC503" s="2" t="s">
        <v>48</v>
      </c>
      <c r="AD503" s="2">
        <v>3</v>
      </c>
    </row>
    <row r="504" spans="1:30" ht="45" x14ac:dyDescent="0.25">
      <c r="A504" s="2">
        <v>11</v>
      </c>
      <c r="B504" s="2" t="s">
        <v>2265</v>
      </c>
      <c r="C504" s="2">
        <v>13825</v>
      </c>
      <c r="D504" s="3">
        <v>44405</v>
      </c>
      <c r="E504" s="2" t="s">
        <v>2316</v>
      </c>
      <c r="F504" s="2"/>
      <c r="G504" s="2" t="s">
        <v>2317</v>
      </c>
      <c r="H504" s="2" t="s">
        <v>2318</v>
      </c>
      <c r="I504" s="2" t="s">
        <v>41</v>
      </c>
      <c r="J504" s="3">
        <v>38090</v>
      </c>
      <c r="K504" s="2"/>
      <c r="L504" s="2"/>
      <c r="M504" s="2">
        <v>43</v>
      </c>
      <c r="N504" s="2">
        <v>20</v>
      </c>
      <c r="O504" s="2" t="s">
        <v>42</v>
      </c>
      <c r="P504" s="2" t="s">
        <v>43</v>
      </c>
      <c r="Q504" s="2"/>
      <c r="R504" s="2" t="s">
        <v>44</v>
      </c>
      <c r="S504" s="2">
        <v>8250215703</v>
      </c>
      <c r="T504" s="2" t="s">
        <v>2319</v>
      </c>
      <c r="U504" s="2"/>
      <c r="V504" s="2">
        <v>9929380876</v>
      </c>
      <c r="W504" s="2" t="s">
        <v>2320</v>
      </c>
      <c r="X504" s="2">
        <v>100000</v>
      </c>
      <c r="Y504" s="2" t="s">
        <v>46</v>
      </c>
      <c r="Z504" s="2" t="s">
        <v>46</v>
      </c>
      <c r="AA504" s="2" t="s">
        <v>47</v>
      </c>
      <c r="AB504" s="2">
        <v>17</v>
      </c>
      <c r="AC504" s="2" t="s">
        <v>48</v>
      </c>
      <c r="AD504" s="2">
        <v>1</v>
      </c>
    </row>
    <row r="505" spans="1:30" ht="45" x14ac:dyDescent="0.25">
      <c r="A505" s="2">
        <v>11</v>
      </c>
      <c r="B505" s="2" t="s">
        <v>2265</v>
      </c>
      <c r="C505" s="2">
        <v>13748</v>
      </c>
      <c r="D505" s="3">
        <v>44394</v>
      </c>
      <c r="E505" s="2" t="s">
        <v>2321</v>
      </c>
      <c r="F505" s="2"/>
      <c r="G505" s="2" t="s">
        <v>2322</v>
      </c>
      <c r="H505" s="2" t="s">
        <v>2323</v>
      </c>
      <c r="I505" s="2" t="s">
        <v>41</v>
      </c>
      <c r="J505" s="3">
        <v>38178</v>
      </c>
      <c r="K505" s="2"/>
      <c r="L505" s="2"/>
      <c r="M505" s="2">
        <v>43</v>
      </c>
      <c r="N505" s="2">
        <v>19</v>
      </c>
      <c r="O505" s="2" t="s">
        <v>53</v>
      </c>
      <c r="P505" s="2" t="s">
        <v>43</v>
      </c>
      <c r="Q505" s="2"/>
      <c r="R505" s="2" t="s">
        <v>44</v>
      </c>
      <c r="S505" s="2">
        <v>8250215703</v>
      </c>
      <c r="T505" s="2" t="s">
        <v>2324</v>
      </c>
      <c r="U505" s="2" t="s">
        <v>2325</v>
      </c>
      <c r="V505" s="2">
        <v>8058331960</v>
      </c>
      <c r="W505" s="2" t="s">
        <v>2326</v>
      </c>
      <c r="X505" s="2">
        <v>50000</v>
      </c>
      <c r="Y505" s="2" t="s">
        <v>46</v>
      </c>
      <c r="Z505" s="2" t="s">
        <v>46</v>
      </c>
      <c r="AA505" s="2" t="s">
        <v>47</v>
      </c>
      <c r="AB505" s="2">
        <v>17</v>
      </c>
      <c r="AC505" s="2" t="s">
        <v>48</v>
      </c>
      <c r="AD505" s="2">
        <v>1</v>
      </c>
    </row>
    <row r="506" spans="1:30" ht="30" x14ac:dyDescent="0.25">
      <c r="A506" s="2">
        <v>11</v>
      </c>
      <c r="B506" s="2" t="s">
        <v>2265</v>
      </c>
      <c r="C506" s="2">
        <v>12620</v>
      </c>
      <c r="D506" s="3">
        <v>42572</v>
      </c>
      <c r="E506" s="2" t="s">
        <v>2327</v>
      </c>
      <c r="F506" s="2" t="s">
        <v>229</v>
      </c>
      <c r="G506" s="2" t="s">
        <v>2328</v>
      </c>
      <c r="H506" s="2" t="s">
        <v>2329</v>
      </c>
      <c r="I506" s="2" t="s">
        <v>41</v>
      </c>
      <c r="J506" s="3">
        <v>38535</v>
      </c>
      <c r="K506" s="2"/>
      <c r="L506" s="2"/>
      <c r="M506" s="2">
        <v>43</v>
      </c>
      <c r="N506" s="2">
        <v>17</v>
      </c>
      <c r="O506" s="2" t="s">
        <v>53</v>
      </c>
      <c r="P506" s="2" t="s">
        <v>43</v>
      </c>
      <c r="Q506" s="2"/>
      <c r="R506" s="2" t="s">
        <v>44</v>
      </c>
      <c r="S506" s="2">
        <v>8250215703</v>
      </c>
      <c r="T506" s="2" t="s">
        <v>1308</v>
      </c>
      <c r="U506" s="2"/>
      <c r="V506" s="2">
        <v>9509964876</v>
      </c>
      <c r="W506" s="2" t="s">
        <v>1148</v>
      </c>
      <c r="X506" s="2">
        <v>12000</v>
      </c>
      <c r="Y506" s="2" t="s">
        <v>46</v>
      </c>
      <c r="Z506" s="2" t="s">
        <v>46</v>
      </c>
      <c r="AA506" s="2" t="s">
        <v>47</v>
      </c>
      <c r="AB506" s="2">
        <v>16</v>
      </c>
      <c r="AC506" s="2" t="s">
        <v>48</v>
      </c>
      <c r="AD506" s="2">
        <v>1</v>
      </c>
    </row>
    <row r="507" spans="1:30" ht="30" x14ac:dyDescent="0.25">
      <c r="A507" s="2">
        <v>11</v>
      </c>
      <c r="B507" s="2" t="s">
        <v>2265</v>
      </c>
      <c r="C507" s="2">
        <v>13878</v>
      </c>
      <c r="D507" s="3">
        <v>44407</v>
      </c>
      <c r="E507" s="2" t="s">
        <v>2330</v>
      </c>
      <c r="F507" s="2"/>
      <c r="G507" s="2" t="s">
        <v>2331</v>
      </c>
      <c r="H507" s="2" t="s">
        <v>2332</v>
      </c>
      <c r="I507" s="2" t="s">
        <v>41</v>
      </c>
      <c r="J507" s="3">
        <v>37929</v>
      </c>
      <c r="K507" s="2"/>
      <c r="L507" s="2"/>
      <c r="M507" s="2">
        <v>43</v>
      </c>
      <c r="N507" s="2">
        <v>21</v>
      </c>
      <c r="O507" s="2" t="s">
        <v>53</v>
      </c>
      <c r="P507" s="2" t="s">
        <v>43</v>
      </c>
      <c r="Q507" s="2"/>
      <c r="R507" s="2" t="s">
        <v>44</v>
      </c>
      <c r="S507" s="2">
        <v>8250215703</v>
      </c>
      <c r="T507" s="2" t="s">
        <v>2333</v>
      </c>
      <c r="U507" s="2" t="s">
        <v>2334</v>
      </c>
      <c r="V507" s="2">
        <v>9024673730</v>
      </c>
      <c r="W507" s="2" t="s">
        <v>2335</v>
      </c>
      <c r="X507" s="2">
        <v>36000</v>
      </c>
      <c r="Y507" s="2" t="s">
        <v>46</v>
      </c>
      <c r="Z507" s="2" t="s">
        <v>46</v>
      </c>
      <c r="AA507" s="2" t="s">
        <v>47</v>
      </c>
      <c r="AB507" s="2">
        <v>18</v>
      </c>
      <c r="AC507" s="2" t="s">
        <v>48</v>
      </c>
      <c r="AD507" s="2">
        <v>5</v>
      </c>
    </row>
    <row r="508" spans="1:30" ht="45" x14ac:dyDescent="0.25">
      <c r="A508" s="2">
        <v>11</v>
      </c>
      <c r="B508" s="2" t="s">
        <v>2265</v>
      </c>
      <c r="C508" s="2">
        <v>13273</v>
      </c>
      <c r="D508" s="3">
        <v>43655</v>
      </c>
      <c r="E508" s="2" t="s">
        <v>1543</v>
      </c>
      <c r="F508" s="2"/>
      <c r="G508" s="2" t="s">
        <v>2336</v>
      </c>
      <c r="H508" s="2" t="s">
        <v>2337</v>
      </c>
      <c r="I508" s="2" t="s">
        <v>41</v>
      </c>
      <c r="J508" s="3">
        <v>38549</v>
      </c>
      <c r="K508" s="2"/>
      <c r="L508" s="2"/>
      <c r="M508" s="2">
        <v>43</v>
      </c>
      <c r="N508" s="2">
        <v>18</v>
      </c>
      <c r="O508" s="2" t="s">
        <v>773</v>
      </c>
      <c r="P508" s="2" t="s">
        <v>43</v>
      </c>
      <c r="Q508" s="2"/>
      <c r="R508" s="2" t="s">
        <v>44</v>
      </c>
      <c r="S508" s="2">
        <v>8250215703</v>
      </c>
      <c r="T508" s="2" t="s">
        <v>2338</v>
      </c>
      <c r="U508" s="2" t="s">
        <v>2339</v>
      </c>
      <c r="V508" s="2">
        <v>7073895484</v>
      </c>
      <c r="W508" s="2" t="s">
        <v>2340</v>
      </c>
      <c r="X508" s="2">
        <v>40000</v>
      </c>
      <c r="Y508" s="2" t="s">
        <v>46</v>
      </c>
      <c r="Z508" s="2" t="s">
        <v>46</v>
      </c>
      <c r="AA508" s="2" t="s">
        <v>47</v>
      </c>
      <c r="AB508" s="2">
        <v>16</v>
      </c>
      <c r="AC508" s="2" t="s">
        <v>48</v>
      </c>
      <c r="AD508" s="2">
        <v>1</v>
      </c>
    </row>
    <row r="509" spans="1:30" ht="45" x14ac:dyDescent="0.25">
      <c r="A509" s="2">
        <v>11</v>
      </c>
      <c r="B509" s="2" t="s">
        <v>2265</v>
      </c>
      <c r="C509" s="2">
        <v>12956</v>
      </c>
      <c r="D509" s="3">
        <v>43281</v>
      </c>
      <c r="E509" s="2" t="s">
        <v>2341</v>
      </c>
      <c r="F509" s="2"/>
      <c r="G509" s="2" t="s">
        <v>2342</v>
      </c>
      <c r="H509" s="2" t="s">
        <v>2343</v>
      </c>
      <c r="I509" s="2" t="s">
        <v>41</v>
      </c>
      <c r="J509" s="3">
        <v>38389</v>
      </c>
      <c r="K509" s="2"/>
      <c r="L509" s="2"/>
      <c r="M509" s="2">
        <v>43</v>
      </c>
      <c r="N509" s="2">
        <v>17</v>
      </c>
      <c r="O509" s="2" t="s">
        <v>78</v>
      </c>
      <c r="P509" s="2" t="s">
        <v>43</v>
      </c>
      <c r="Q509" s="2"/>
      <c r="R509" s="2" t="s">
        <v>44</v>
      </c>
      <c r="S509" s="2">
        <v>8250215703</v>
      </c>
      <c r="T509" s="2" t="s">
        <v>2344</v>
      </c>
      <c r="U509" s="2" t="s">
        <v>2345</v>
      </c>
      <c r="V509" s="2">
        <v>9680507454</v>
      </c>
      <c r="W509" s="2" t="s">
        <v>2346</v>
      </c>
      <c r="X509" s="2">
        <v>36000</v>
      </c>
      <c r="Y509" s="2" t="s">
        <v>46</v>
      </c>
      <c r="Z509" s="2" t="s">
        <v>46</v>
      </c>
      <c r="AA509" s="2" t="s">
        <v>47</v>
      </c>
      <c r="AB509" s="2">
        <v>16</v>
      </c>
      <c r="AC509" s="2" t="s">
        <v>48</v>
      </c>
      <c r="AD509" s="2">
        <v>1</v>
      </c>
    </row>
    <row r="510" spans="1:30" ht="30" x14ac:dyDescent="0.25">
      <c r="A510" s="2">
        <v>11</v>
      </c>
      <c r="B510" s="2" t="s">
        <v>2265</v>
      </c>
      <c r="C510" s="2">
        <v>13559</v>
      </c>
      <c r="D510" s="3">
        <v>44089</v>
      </c>
      <c r="E510" s="2" t="s">
        <v>2347</v>
      </c>
      <c r="F510" s="2" t="s">
        <v>229</v>
      </c>
      <c r="G510" s="2" t="s">
        <v>2348</v>
      </c>
      <c r="H510" s="2" t="s">
        <v>2349</v>
      </c>
      <c r="I510" s="2" t="s">
        <v>41</v>
      </c>
      <c r="J510" s="3">
        <v>38793</v>
      </c>
      <c r="K510" s="2"/>
      <c r="L510" s="2"/>
      <c r="M510" s="2">
        <v>43</v>
      </c>
      <c r="N510" s="2">
        <v>16</v>
      </c>
      <c r="O510" s="2" t="s">
        <v>53</v>
      </c>
      <c r="P510" s="2" t="s">
        <v>43</v>
      </c>
      <c r="Q510" s="2"/>
      <c r="R510" s="2" t="s">
        <v>44</v>
      </c>
      <c r="S510" s="2">
        <v>8250215703</v>
      </c>
      <c r="T510" s="2" t="s">
        <v>2350</v>
      </c>
      <c r="U510" s="2" t="s">
        <v>2351</v>
      </c>
      <c r="V510" s="2">
        <v>8279261056</v>
      </c>
      <c r="W510" s="2" t="s">
        <v>2352</v>
      </c>
      <c r="X510" s="2">
        <v>598140</v>
      </c>
      <c r="Y510" s="2" t="s">
        <v>46</v>
      </c>
      <c r="Z510" s="2" t="s">
        <v>46</v>
      </c>
      <c r="AA510" s="2" t="s">
        <v>47</v>
      </c>
      <c r="AB510" s="2">
        <v>15</v>
      </c>
      <c r="AC510" s="2" t="s">
        <v>2353</v>
      </c>
      <c r="AD510" s="2">
        <v>30</v>
      </c>
    </row>
    <row r="511" spans="1:30" ht="30" x14ac:dyDescent="0.25">
      <c r="A511" s="2">
        <v>11</v>
      </c>
      <c r="B511" s="2" t="s">
        <v>2265</v>
      </c>
      <c r="C511" s="2">
        <v>13336</v>
      </c>
      <c r="D511" s="3">
        <v>43658</v>
      </c>
      <c r="E511" s="2" t="s">
        <v>2354</v>
      </c>
      <c r="F511" s="2"/>
      <c r="G511" s="2" t="s">
        <v>2355</v>
      </c>
      <c r="H511" s="2" t="s">
        <v>2356</v>
      </c>
      <c r="I511" s="2" t="s">
        <v>41</v>
      </c>
      <c r="J511" s="3">
        <v>38478</v>
      </c>
      <c r="K511" s="2"/>
      <c r="L511" s="2"/>
      <c r="M511" s="2">
        <v>43</v>
      </c>
      <c r="N511" s="2">
        <v>18</v>
      </c>
      <c r="O511" s="2" t="s">
        <v>78</v>
      </c>
      <c r="P511" s="2" t="s">
        <v>43</v>
      </c>
      <c r="Q511" s="2"/>
      <c r="R511" s="2" t="s">
        <v>44</v>
      </c>
      <c r="S511" s="2">
        <v>8250215703</v>
      </c>
      <c r="T511" s="2" t="s">
        <v>2357</v>
      </c>
      <c r="U511" s="2" t="s">
        <v>2358</v>
      </c>
      <c r="V511" s="2">
        <v>7023879601</v>
      </c>
      <c r="W511" s="2" t="s">
        <v>2359</v>
      </c>
      <c r="X511" s="2">
        <v>45000</v>
      </c>
      <c r="Y511" s="2" t="s">
        <v>46</v>
      </c>
      <c r="Z511" s="2" t="s">
        <v>46</v>
      </c>
      <c r="AA511" s="2" t="s">
        <v>47</v>
      </c>
      <c r="AB511" s="2">
        <v>16</v>
      </c>
      <c r="AC511" s="2" t="s">
        <v>48</v>
      </c>
      <c r="AD511" s="2">
        <v>4</v>
      </c>
    </row>
    <row r="512" spans="1:30" ht="30" x14ac:dyDescent="0.25">
      <c r="A512" s="2">
        <v>11</v>
      </c>
      <c r="B512" s="2" t="s">
        <v>2265</v>
      </c>
      <c r="C512" s="2">
        <v>13201</v>
      </c>
      <c r="D512" s="3">
        <v>43649</v>
      </c>
      <c r="E512" s="2" t="s">
        <v>2360</v>
      </c>
      <c r="F512" s="2"/>
      <c r="G512" s="2" t="s">
        <v>1630</v>
      </c>
      <c r="H512" s="2" t="s">
        <v>2361</v>
      </c>
      <c r="I512" s="2" t="s">
        <v>41</v>
      </c>
      <c r="J512" s="3">
        <v>38251</v>
      </c>
      <c r="K512" s="2"/>
      <c r="L512" s="2"/>
      <c r="M512" s="2">
        <v>43</v>
      </c>
      <c r="N512" s="2">
        <v>19</v>
      </c>
      <c r="O512" s="2" t="s">
        <v>53</v>
      </c>
      <c r="P512" s="2" t="s">
        <v>43</v>
      </c>
      <c r="Q512" s="2"/>
      <c r="R512" s="2" t="s">
        <v>44</v>
      </c>
      <c r="S512" s="2">
        <v>8250215703</v>
      </c>
      <c r="T512" s="2" t="s">
        <v>2362</v>
      </c>
      <c r="U512" s="2" t="s">
        <v>2363</v>
      </c>
      <c r="V512" s="2">
        <v>9929569880</v>
      </c>
      <c r="W512" s="2" t="s">
        <v>1634</v>
      </c>
      <c r="X512" s="2">
        <v>36000</v>
      </c>
      <c r="Y512" s="2" t="s">
        <v>46</v>
      </c>
      <c r="Z512" s="2" t="s">
        <v>240</v>
      </c>
      <c r="AA512" s="2" t="s">
        <v>47</v>
      </c>
      <c r="AB512" s="2">
        <v>17</v>
      </c>
      <c r="AC512" s="2" t="s">
        <v>48</v>
      </c>
      <c r="AD512" s="2">
        <v>5</v>
      </c>
    </row>
    <row r="513" spans="1:30" ht="45" x14ac:dyDescent="0.25">
      <c r="A513" s="2">
        <v>11</v>
      </c>
      <c r="B513" s="2" t="s">
        <v>2265</v>
      </c>
      <c r="C513" s="2">
        <v>13930</v>
      </c>
      <c r="D513" s="3">
        <v>44426</v>
      </c>
      <c r="E513" s="2" t="s">
        <v>2364</v>
      </c>
      <c r="F513" s="2"/>
      <c r="G513" s="2" t="s">
        <v>2365</v>
      </c>
      <c r="H513" s="2" t="s">
        <v>2366</v>
      </c>
      <c r="I513" s="2" t="s">
        <v>41</v>
      </c>
      <c r="J513" s="3">
        <v>38960</v>
      </c>
      <c r="K513" s="2"/>
      <c r="L513" s="2"/>
      <c r="M513" s="2">
        <v>43</v>
      </c>
      <c r="N513" s="2">
        <v>20</v>
      </c>
      <c r="O513" s="2" t="s">
        <v>53</v>
      </c>
      <c r="P513" s="2" t="s">
        <v>43</v>
      </c>
      <c r="Q513" s="2"/>
      <c r="R513" s="2" t="s">
        <v>44</v>
      </c>
      <c r="S513" s="2">
        <v>8250215703</v>
      </c>
      <c r="T513" s="2" t="s">
        <v>2367</v>
      </c>
      <c r="U513" s="2"/>
      <c r="V513" s="2">
        <v>9460824888</v>
      </c>
      <c r="W513" s="2" t="s">
        <v>2368</v>
      </c>
      <c r="X513" s="2">
        <v>400000</v>
      </c>
      <c r="Y513" s="2" t="s">
        <v>46</v>
      </c>
      <c r="Z513" s="2" t="s">
        <v>46</v>
      </c>
      <c r="AA513" s="2" t="s">
        <v>47</v>
      </c>
      <c r="AB513" s="2">
        <v>15</v>
      </c>
      <c r="AC513" s="2" t="s">
        <v>48</v>
      </c>
      <c r="AD513" s="2">
        <v>2</v>
      </c>
    </row>
    <row r="514" spans="1:30" ht="30" x14ac:dyDescent="0.25">
      <c r="A514" s="2">
        <v>11</v>
      </c>
      <c r="B514" s="2" t="s">
        <v>2265</v>
      </c>
      <c r="C514" s="2">
        <v>13235</v>
      </c>
      <c r="D514" s="3">
        <v>43654</v>
      </c>
      <c r="E514" s="2" t="s">
        <v>2369</v>
      </c>
      <c r="F514" s="2"/>
      <c r="G514" s="2" t="s">
        <v>2370</v>
      </c>
      <c r="H514" s="2" t="s">
        <v>1567</v>
      </c>
      <c r="I514" s="2" t="s">
        <v>41</v>
      </c>
      <c r="J514" s="3">
        <v>38520</v>
      </c>
      <c r="K514" s="2"/>
      <c r="L514" s="2"/>
      <c r="M514" s="2">
        <v>43</v>
      </c>
      <c r="N514" s="2">
        <v>18</v>
      </c>
      <c r="O514" s="2" t="s">
        <v>773</v>
      </c>
      <c r="P514" s="2" t="s">
        <v>43</v>
      </c>
      <c r="Q514" s="2"/>
      <c r="R514" s="2" t="s">
        <v>44</v>
      </c>
      <c r="S514" s="2">
        <v>8250215703</v>
      </c>
      <c r="T514" s="2" t="s">
        <v>2371</v>
      </c>
      <c r="U514" s="2" t="s">
        <v>2372</v>
      </c>
      <c r="V514" s="2">
        <v>7073895484</v>
      </c>
      <c r="W514" s="2" t="s">
        <v>1107</v>
      </c>
      <c r="X514" s="2">
        <v>40000</v>
      </c>
      <c r="Y514" s="2" t="s">
        <v>46</v>
      </c>
      <c r="Z514" s="2" t="s">
        <v>46</v>
      </c>
      <c r="AA514" s="2" t="s">
        <v>47</v>
      </c>
      <c r="AB514" s="2">
        <v>16</v>
      </c>
      <c r="AC514" s="2" t="s">
        <v>48</v>
      </c>
      <c r="AD514" s="2">
        <v>1</v>
      </c>
    </row>
    <row r="515" spans="1:30" ht="45" x14ac:dyDescent="0.25">
      <c r="A515" s="2">
        <v>11</v>
      </c>
      <c r="B515" s="2" t="s">
        <v>2265</v>
      </c>
      <c r="C515" s="2">
        <v>13835</v>
      </c>
      <c r="D515" s="3">
        <v>44405</v>
      </c>
      <c r="E515" s="2" t="s">
        <v>2373</v>
      </c>
      <c r="F515" s="2"/>
      <c r="G515" s="2" t="s">
        <v>2374</v>
      </c>
      <c r="H515" s="2" t="s">
        <v>941</v>
      </c>
      <c r="I515" s="2" t="s">
        <v>41</v>
      </c>
      <c r="J515" s="3">
        <v>38544</v>
      </c>
      <c r="K515" s="2"/>
      <c r="L515" s="2"/>
      <c r="M515" s="2">
        <v>43</v>
      </c>
      <c r="N515" s="2">
        <v>19</v>
      </c>
      <c r="O515" s="2" t="s">
        <v>53</v>
      </c>
      <c r="P515" s="2" t="s">
        <v>43</v>
      </c>
      <c r="Q515" s="2"/>
      <c r="R515" s="2" t="s">
        <v>44</v>
      </c>
      <c r="S515" s="2">
        <v>8250215703</v>
      </c>
      <c r="T515" s="2" t="s">
        <v>2375</v>
      </c>
      <c r="U515" s="2" t="s">
        <v>2376</v>
      </c>
      <c r="V515" s="2">
        <v>9636282374</v>
      </c>
      <c r="W515" s="2" t="s">
        <v>1034</v>
      </c>
      <c r="X515" s="2">
        <v>50000</v>
      </c>
      <c r="Y515" s="2" t="s">
        <v>46</v>
      </c>
      <c r="Z515" s="2" t="s">
        <v>46</v>
      </c>
      <c r="AA515" s="2" t="s">
        <v>47</v>
      </c>
      <c r="AB515" s="2">
        <v>16</v>
      </c>
      <c r="AC515" s="2" t="s">
        <v>48</v>
      </c>
      <c r="AD515" s="2">
        <v>0</v>
      </c>
    </row>
    <row r="516" spans="1:30" ht="30" x14ac:dyDescent="0.25">
      <c r="A516" s="2">
        <v>11</v>
      </c>
      <c r="B516" s="2" t="s">
        <v>2265</v>
      </c>
      <c r="C516" s="2">
        <v>13713</v>
      </c>
      <c r="D516" s="3">
        <v>44384</v>
      </c>
      <c r="E516" s="2" t="s">
        <v>2377</v>
      </c>
      <c r="F516" s="2"/>
      <c r="G516" s="2" t="s">
        <v>2378</v>
      </c>
      <c r="H516" s="2" t="s">
        <v>2068</v>
      </c>
      <c r="I516" s="2" t="s">
        <v>41</v>
      </c>
      <c r="J516" s="3">
        <v>38253</v>
      </c>
      <c r="K516" s="2"/>
      <c r="L516" s="2"/>
      <c r="M516" s="2">
        <v>43</v>
      </c>
      <c r="N516" s="2">
        <v>18</v>
      </c>
      <c r="O516" s="2" t="s">
        <v>53</v>
      </c>
      <c r="P516" s="2" t="s">
        <v>43</v>
      </c>
      <c r="Q516" s="2"/>
      <c r="R516" s="2" t="s">
        <v>44</v>
      </c>
      <c r="S516" s="2">
        <v>8250215703</v>
      </c>
      <c r="T516" s="2" t="s">
        <v>2379</v>
      </c>
      <c r="U516" s="2"/>
      <c r="V516" s="2">
        <v>8824522463</v>
      </c>
      <c r="W516" s="2" t="s">
        <v>1950</v>
      </c>
      <c r="X516" s="2">
        <v>36000</v>
      </c>
      <c r="Y516" s="2" t="s">
        <v>46</v>
      </c>
      <c r="Z516" s="2" t="s">
        <v>240</v>
      </c>
      <c r="AA516" s="2" t="s">
        <v>47</v>
      </c>
      <c r="AB516" s="2">
        <v>17</v>
      </c>
      <c r="AC516" s="2" t="s">
        <v>48</v>
      </c>
      <c r="AD516" s="2">
        <v>1</v>
      </c>
    </row>
    <row r="517" spans="1:30" ht="30" x14ac:dyDescent="0.25">
      <c r="A517" s="2">
        <v>11</v>
      </c>
      <c r="B517" s="2" t="s">
        <v>2265</v>
      </c>
      <c r="C517" s="2">
        <v>13826</v>
      </c>
      <c r="D517" s="3">
        <v>44405</v>
      </c>
      <c r="E517" s="2" t="s">
        <v>2380</v>
      </c>
      <c r="F517" s="2"/>
      <c r="G517" s="2" t="s">
        <v>2381</v>
      </c>
      <c r="H517" s="2" t="s">
        <v>1012</v>
      </c>
      <c r="I517" s="2" t="s">
        <v>41</v>
      </c>
      <c r="J517" s="3">
        <v>38868</v>
      </c>
      <c r="K517" s="2"/>
      <c r="L517" s="2"/>
      <c r="M517" s="2">
        <v>43</v>
      </c>
      <c r="N517" s="2">
        <v>19</v>
      </c>
      <c r="O517" s="2" t="s">
        <v>78</v>
      </c>
      <c r="P517" s="2" t="s">
        <v>43</v>
      </c>
      <c r="Q517" s="2"/>
      <c r="R517" s="2" t="s">
        <v>44</v>
      </c>
      <c r="S517" s="2">
        <v>8250215703</v>
      </c>
      <c r="T517" s="2" t="s">
        <v>2382</v>
      </c>
      <c r="U517" s="2" t="s">
        <v>2383</v>
      </c>
      <c r="V517" s="2">
        <v>6350215280</v>
      </c>
      <c r="W517" s="2" t="s">
        <v>2384</v>
      </c>
      <c r="X517" s="2">
        <v>108000</v>
      </c>
      <c r="Y517" s="2" t="s">
        <v>46</v>
      </c>
      <c r="Z517" s="2" t="s">
        <v>46</v>
      </c>
      <c r="AA517" s="2" t="s">
        <v>47</v>
      </c>
      <c r="AB517" s="2">
        <v>15</v>
      </c>
      <c r="AC517" s="2" t="s">
        <v>48</v>
      </c>
      <c r="AD517" s="2">
        <v>2</v>
      </c>
    </row>
    <row r="518" spans="1:30" ht="30" x14ac:dyDescent="0.25">
      <c r="A518" s="2">
        <v>11</v>
      </c>
      <c r="B518" s="2" t="s">
        <v>2265</v>
      </c>
      <c r="C518" s="2">
        <v>13216</v>
      </c>
      <c r="D518" s="3">
        <v>43649</v>
      </c>
      <c r="E518" s="2" t="s">
        <v>2385</v>
      </c>
      <c r="F518" s="2"/>
      <c r="G518" s="2" t="s">
        <v>2386</v>
      </c>
      <c r="H518" s="2" t="s">
        <v>133</v>
      </c>
      <c r="I518" s="2" t="s">
        <v>41</v>
      </c>
      <c r="J518" s="3">
        <v>38554</v>
      </c>
      <c r="K518" s="2"/>
      <c r="L518" s="2"/>
      <c r="M518" s="2">
        <v>43</v>
      </c>
      <c r="N518" s="2">
        <v>19</v>
      </c>
      <c r="O518" s="2" t="s">
        <v>78</v>
      </c>
      <c r="P518" s="2" t="s">
        <v>43</v>
      </c>
      <c r="Q518" s="2"/>
      <c r="R518" s="2" t="s">
        <v>44</v>
      </c>
      <c r="S518" s="2">
        <v>8250215703</v>
      </c>
      <c r="T518" s="2" t="s">
        <v>2387</v>
      </c>
      <c r="U518" s="2" t="s">
        <v>2388</v>
      </c>
      <c r="V518" s="2">
        <v>8769467696</v>
      </c>
      <c r="W518" s="2" t="s">
        <v>2389</v>
      </c>
      <c r="X518" s="2">
        <v>36000</v>
      </c>
      <c r="Y518" s="2" t="s">
        <v>46</v>
      </c>
      <c r="Z518" s="2" t="s">
        <v>46</v>
      </c>
      <c r="AA518" s="2" t="s">
        <v>47</v>
      </c>
      <c r="AB518" s="2">
        <v>16</v>
      </c>
      <c r="AC518" s="2" t="s">
        <v>48</v>
      </c>
      <c r="AD518" s="2">
        <v>6</v>
      </c>
    </row>
    <row r="519" spans="1:30" ht="45" x14ac:dyDescent="0.25">
      <c r="A519" s="2">
        <v>11</v>
      </c>
      <c r="B519" s="2" t="s">
        <v>2265</v>
      </c>
      <c r="C519" s="2">
        <v>13984</v>
      </c>
      <c r="D519" s="3">
        <v>44453</v>
      </c>
      <c r="E519" s="2" t="s">
        <v>2390</v>
      </c>
      <c r="F519" s="2"/>
      <c r="G519" s="2" t="s">
        <v>2391</v>
      </c>
      <c r="H519" s="2" t="s">
        <v>2392</v>
      </c>
      <c r="I519" s="2" t="s">
        <v>41</v>
      </c>
      <c r="J519" s="3">
        <v>38045</v>
      </c>
      <c r="K519" s="2"/>
      <c r="L519" s="2"/>
      <c r="M519" s="2">
        <v>43</v>
      </c>
      <c r="N519" s="2">
        <v>18</v>
      </c>
      <c r="O519" s="2" t="s">
        <v>42</v>
      </c>
      <c r="P519" s="2" t="s">
        <v>43</v>
      </c>
      <c r="Q519" s="2"/>
      <c r="R519" s="2" t="s">
        <v>44</v>
      </c>
      <c r="S519" s="2">
        <v>8250215703</v>
      </c>
      <c r="T519" s="2" t="s">
        <v>2393</v>
      </c>
      <c r="U519" s="2"/>
      <c r="V519" s="2">
        <v>9601839066</v>
      </c>
      <c r="W519" s="2" t="s">
        <v>2394</v>
      </c>
      <c r="X519" s="2">
        <v>36000</v>
      </c>
      <c r="Y519" s="2" t="s">
        <v>46</v>
      </c>
      <c r="Z519" s="2" t="s">
        <v>46</v>
      </c>
      <c r="AA519" s="2" t="s">
        <v>47</v>
      </c>
      <c r="AB519" s="2">
        <v>17</v>
      </c>
      <c r="AC519" s="2" t="s">
        <v>48</v>
      </c>
      <c r="AD519" s="2">
        <v>2</v>
      </c>
    </row>
    <row r="520" spans="1:30" ht="45" x14ac:dyDescent="0.25">
      <c r="A520" s="2">
        <v>11</v>
      </c>
      <c r="B520" s="2" t="s">
        <v>2265</v>
      </c>
      <c r="C520" s="2">
        <v>12969</v>
      </c>
      <c r="D520" s="3">
        <v>43281</v>
      </c>
      <c r="E520" s="2" t="s">
        <v>2395</v>
      </c>
      <c r="F520" s="2" t="s">
        <v>229</v>
      </c>
      <c r="G520" s="2" t="s">
        <v>982</v>
      </c>
      <c r="H520" s="2" t="s">
        <v>2396</v>
      </c>
      <c r="I520" s="2" t="s">
        <v>41</v>
      </c>
      <c r="J520" s="3">
        <v>38214</v>
      </c>
      <c r="K520" s="2"/>
      <c r="L520" s="2"/>
      <c r="M520" s="2">
        <v>43</v>
      </c>
      <c r="N520" s="2">
        <v>18</v>
      </c>
      <c r="O520" s="2" t="s">
        <v>53</v>
      </c>
      <c r="P520" s="2" t="s">
        <v>43</v>
      </c>
      <c r="Q520" s="2"/>
      <c r="R520" s="2" t="s">
        <v>44</v>
      </c>
      <c r="S520" s="2">
        <v>8250215703</v>
      </c>
      <c r="T520" s="2" t="s">
        <v>2397</v>
      </c>
      <c r="U520" s="2" t="s">
        <v>2398</v>
      </c>
      <c r="V520" s="2">
        <v>9024766062</v>
      </c>
      <c r="W520" s="2" t="s">
        <v>2399</v>
      </c>
      <c r="X520" s="2">
        <v>6000</v>
      </c>
      <c r="Y520" s="2" t="s">
        <v>46</v>
      </c>
      <c r="Z520" s="2" t="s">
        <v>46</v>
      </c>
      <c r="AA520" s="2" t="s">
        <v>47</v>
      </c>
      <c r="AB520" s="2">
        <v>17</v>
      </c>
      <c r="AC520" s="2" t="s">
        <v>48</v>
      </c>
      <c r="AD520" s="2">
        <v>2</v>
      </c>
    </row>
    <row r="521" spans="1:30" ht="30" x14ac:dyDescent="0.25">
      <c r="A521" s="2">
        <v>11</v>
      </c>
      <c r="B521" s="2" t="s">
        <v>2265</v>
      </c>
      <c r="C521" s="2">
        <v>13208</v>
      </c>
      <c r="D521" s="3">
        <v>43649</v>
      </c>
      <c r="E521" s="2" t="s">
        <v>1314</v>
      </c>
      <c r="F521" s="2" t="s">
        <v>229</v>
      </c>
      <c r="G521" s="2" t="s">
        <v>2328</v>
      </c>
      <c r="H521" s="2" t="s">
        <v>2400</v>
      </c>
      <c r="I521" s="2" t="s">
        <v>41</v>
      </c>
      <c r="J521" s="3">
        <v>38321</v>
      </c>
      <c r="K521" s="2"/>
      <c r="L521" s="2"/>
      <c r="M521" s="2">
        <v>43</v>
      </c>
      <c r="N521" s="2">
        <v>18</v>
      </c>
      <c r="O521" s="2" t="s">
        <v>53</v>
      </c>
      <c r="P521" s="2" t="s">
        <v>43</v>
      </c>
      <c r="Q521" s="2"/>
      <c r="R521" s="2" t="s">
        <v>44</v>
      </c>
      <c r="S521" s="2">
        <v>8250215703</v>
      </c>
      <c r="T521" s="2" t="s">
        <v>2401</v>
      </c>
      <c r="U521" s="2" t="s">
        <v>2402</v>
      </c>
      <c r="V521" s="2">
        <v>9680495769</v>
      </c>
      <c r="W521" s="2" t="s">
        <v>2403</v>
      </c>
      <c r="X521" s="2">
        <v>30000</v>
      </c>
      <c r="Y521" s="2" t="s">
        <v>46</v>
      </c>
      <c r="Z521" s="2" t="s">
        <v>46</v>
      </c>
      <c r="AA521" s="2" t="s">
        <v>47</v>
      </c>
      <c r="AB521" s="2">
        <v>17</v>
      </c>
      <c r="AC521" s="2" t="s">
        <v>48</v>
      </c>
      <c r="AD521" s="2">
        <v>3</v>
      </c>
    </row>
    <row r="522" spans="1:30" ht="30" x14ac:dyDescent="0.25">
      <c r="A522" s="2">
        <v>11</v>
      </c>
      <c r="B522" s="2" t="s">
        <v>2265</v>
      </c>
      <c r="C522" s="2">
        <v>13531</v>
      </c>
      <c r="D522" s="3">
        <v>44074</v>
      </c>
      <c r="E522" s="2" t="s">
        <v>2404</v>
      </c>
      <c r="F522" s="2"/>
      <c r="G522" s="2" t="s">
        <v>2378</v>
      </c>
      <c r="H522" s="2" t="s">
        <v>2068</v>
      </c>
      <c r="I522" s="2" t="s">
        <v>41</v>
      </c>
      <c r="J522" s="3">
        <v>38770</v>
      </c>
      <c r="K522" s="2"/>
      <c r="L522" s="2"/>
      <c r="M522" s="2">
        <v>43</v>
      </c>
      <c r="N522" s="2">
        <v>19</v>
      </c>
      <c r="O522" s="2" t="s">
        <v>53</v>
      </c>
      <c r="P522" s="2" t="s">
        <v>43</v>
      </c>
      <c r="Q522" s="2"/>
      <c r="R522" s="2" t="s">
        <v>44</v>
      </c>
      <c r="S522" s="2">
        <v>8250215703</v>
      </c>
      <c r="T522" s="2" t="s">
        <v>2405</v>
      </c>
      <c r="U522" s="2" t="s">
        <v>2406</v>
      </c>
      <c r="V522" s="2">
        <v>9799508968</v>
      </c>
      <c r="W522" s="2" t="s">
        <v>1270</v>
      </c>
      <c r="X522" s="2">
        <v>60000</v>
      </c>
      <c r="Y522" s="2" t="s">
        <v>46</v>
      </c>
      <c r="Z522" s="2" t="s">
        <v>240</v>
      </c>
      <c r="AA522" s="2" t="s">
        <v>47</v>
      </c>
      <c r="AB522" s="2">
        <v>15</v>
      </c>
      <c r="AC522" s="2" t="s">
        <v>48</v>
      </c>
      <c r="AD522" s="2">
        <v>0</v>
      </c>
    </row>
    <row r="523" spans="1:30" ht="30" x14ac:dyDescent="0.25">
      <c r="A523" s="2">
        <v>11</v>
      </c>
      <c r="B523" s="2" t="s">
        <v>2265</v>
      </c>
      <c r="C523" s="2">
        <v>13727</v>
      </c>
      <c r="D523" s="3">
        <v>44390</v>
      </c>
      <c r="E523" s="2" t="s">
        <v>2407</v>
      </c>
      <c r="F523" s="2"/>
      <c r="G523" s="2" t="s">
        <v>2408</v>
      </c>
      <c r="H523" s="2" t="s">
        <v>2409</v>
      </c>
      <c r="I523" s="2" t="s">
        <v>41</v>
      </c>
      <c r="J523" s="3">
        <v>38484</v>
      </c>
      <c r="K523" s="2"/>
      <c r="L523" s="2"/>
      <c r="M523" s="2">
        <v>43</v>
      </c>
      <c r="N523" s="2">
        <v>18</v>
      </c>
      <c r="O523" s="2" t="s">
        <v>42</v>
      </c>
      <c r="P523" s="2" t="s">
        <v>43</v>
      </c>
      <c r="Q523" s="2"/>
      <c r="R523" s="2" t="s">
        <v>44</v>
      </c>
      <c r="S523" s="2">
        <v>8250215703</v>
      </c>
      <c r="T523" s="2" t="s">
        <v>2410</v>
      </c>
      <c r="U523" s="2"/>
      <c r="V523" s="2">
        <v>9414785974</v>
      </c>
      <c r="W523" s="2" t="s">
        <v>2411</v>
      </c>
      <c r="X523" s="2">
        <v>60000</v>
      </c>
      <c r="Y523" s="2" t="s">
        <v>46</v>
      </c>
      <c r="Z523" s="2" t="s">
        <v>46</v>
      </c>
      <c r="AA523" s="2" t="s">
        <v>47</v>
      </c>
      <c r="AB523" s="2">
        <v>16</v>
      </c>
      <c r="AC523" s="2" t="s">
        <v>48</v>
      </c>
      <c r="AD523" s="2">
        <v>2</v>
      </c>
    </row>
    <row r="524" spans="1:30" ht="30" x14ac:dyDescent="0.25">
      <c r="A524" s="2">
        <v>11</v>
      </c>
      <c r="B524" s="2" t="s">
        <v>2265</v>
      </c>
      <c r="C524" s="2">
        <v>13236</v>
      </c>
      <c r="D524" s="3">
        <v>43654</v>
      </c>
      <c r="E524" s="2" t="s">
        <v>2412</v>
      </c>
      <c r="F524" s="2"/>
      <c r="G524" s="2" t="s">
        <v>2370</v>
      </c>
      <c r="H524" s="2" t="s">
        <v>1567</v>
      </c>
      <c r="I524" s="2" t="s">
        <v>41</v>
      </c>
      <c r="J524" s="3">
        <v>38934</v>
      </c>
      <c r="K524" s="2"/>
      <c r="L524" s="2"/>
      <c r="M524" s="2">
        <v>43</v>
      </c>
      <c r="N524" s="2">
        <v>16</v>
      </c>
      <c r="O524" s="2" t="s">
        <v>773</v>
      </c>
      <c r="P524" s="2" t="s">
        <v>43</v>
      </c>
      <c r="Q524" s="2"/>
      <c r="R524" s="2" t="s">
        <v>44</v>
      </c>
      <c r="S524" s="2">
        <v>8250215703</v>
      </c>
      <c r="T524" s="2" t="s">
        <v>2413</v>
      </c>
      <c r="U524" s="2" t="s">
        <v>2372</v>
      </c>
      <c r="V524" s="2">
        <v>9784459481</v>
      </c>
      <c r="W524" s="2" t="s">
        <v>1107</v>
      </c>
      <c r="X524" s="2">
        <v>40000</v>
      </c>
      <c r="Y524" s="2" t="s">
        <v>46</v>
      </c>
      <c r="Z524" s="2" t="s">
        <v>46</v>
      </c>
      <c r="AA524" s="2" t="s">
        <v>47</v>
      </c>
      <c r="AB524" s="2">
        <v>15</v>
      </c>
      <c r="AC524" s="2" t="s">
        <v>48</v>
      </c>
      <c r="AD524" s="2">
        <v>1</v>
      </c>
    </row>
    <row r="525" spans="1:30" ht="30" x14ac:dyDescent="0.25">
      <c r="A525" s="2">
        <v>11</v>
      </c>
      <c r="B525" s="2" t="s">
        <v>2265</v>
      </c>
      <c r="C525" s="2">
        <v>13234</v>
      </c>
      <c r="D525" s="3">
        <v>43654</v>
      </c>
      <c r="E525" s="2" t="s">
        <v>2414</v>
      </c>
      <c r="F525" s="2"/>
      <c r="G525" s="2" t="s">
        <v>2415</v>
      </c>
      <c r="H525" s="2" t="s">
        <v>856</v>
      </c>
      <c r="I525" s="2" t="s">
        <v>41</v>
      </c>
      <c r="J525" s="3">
        <v>37485</v>
      </c>
      <c r="K525" s="2"/>
      <c r="L525" s="2"/>
      <c r="M525" s="2">
        <v>43</v>
      </c>
      <c r="N525" s="2">
        <v>20</v>
      </c>
      <c r="O525" s="2" t="s">
        <v>78</v>
      </c>
      <c r="P525" s="2" t="s">
        <v>43</v>
      </c>
      <c r="Q525" s="2"/>
      <c r="R525" s="2" t="s">
        <v>44</v>
      </c>
      <c r="S525" s="2">
        <v>8250215703</v>
      </c>
      <c r="T525" s="2" t="s">
        <v>2416</v>
      </c>
      <c r="U525" s="2" t="s">
        <v>1742</v>
      </c>
      <c r="V525" s="2">
        <v>9001339053</v>
      </c>
      <c r="W525" s="2" t="s">
        <v>2417</v>
      </c>
      <c r="X525" s="2">
        <v>0</v>
      </c>
      <c r="Y525" s="2" t="s">
        <v>46</v>
      </c>
      <c r="Z525" s="2" t="s">
        <v>46</v>
      </c>
      <c r="AA525" s="2" t="s">
        <v>47</v>
      </c>
      <c r="AB525" s="2">
        <v>19</v>
      </c>
      <c r="AC525" s="2" t="s">
        <v>48</v>
      </c>
      <c r="AD525" s="2">
        <v>2</v>
      </c>
    </row>
    <row r="526" spans="1:30" ht="30" x14ac:dyDescent="0.25">
      <c r="A526" s="2">
        <v>11</v>
      </c>
      <c r="B526" s="2" t="s">
        <v>2265</v>
      </c>
      <c r="C526" s="2">
        <v>13439</v>
      </c>
      <c r="D526" s="3">
        <v>44047</v>
      </c>
      <c r="E526" s="2" t="s">
        <v>2418</v>
      </c>
      <c r="F526" s="2"/>
      <c r="G526" s="2" t="s">
        <v>2312</v>
      </c>
      <c r="H526" s="2" t="s">
        <v>1076</v>
      </c>
      <c r="I526" s="2" t="s">
        <v>41</v>
      </c>
      <c r="J526" s="3">
        <v>38234</v>
      </c>
      <c r="K526" s="2"/>
      <c r="L526" s="2"/>
      <c r="M526" s="2">
        <v>43</v>
      </c>
      <c r="N526" s="2">
        <v>18</v>
      </c>
      <c r="O526" s="2" t="s">
        <v>78</v>
      </c>
      <c r="P526" s="2" t="s">
        <v>43</v>
      </c>
      <c r="Q526" s="2"/>
      <c r="R526" s="2" t="s">
        <v>44</v>
      </c>
      <c r="S526" s="2">
        <v>8250215703</v>
      </c>
      <c r="T526" s="2" t="s">
        <v>2419</v>
      </c>
      <c r="U526" s="2" t="s">
        <v>2420</v>
      </c>
      <c r="V526" s="2">
        <v>9660058984</v>
      </c>
      <c r="W526" s="2" t="s">
        <v>1730</v>
      </c>
      <c r="X526" s="2">
        <v>148000</v>
      </c>
      <c r="Y526" s="2" t="s">
        <v>46</v>
      </c>
      <c r="Z526" s="2" t="s">
        <v>46</v>
      </c>
      <c r="AA526" s="2" t="s">
        <v>47</v>
      </c>
      <c r="AB526" s="2">
        <v>17</v>
      </c>
      <c r="AC526" s="2" t="s">
        <v>48</v>
      </c>
      <c r="AD526" s="2">
        <v>0</v>
      </c>
    </row>
    <row r="527" spans="1:30" ht="30" x14ac:dyDescent="0.25">
      <c r="A527" s="2">
        <v>11</v>
      </c>
      <c r="B527" s="2" t="s">
        <v>2265</v>
      </c>
      <c r="C527" s="2">
        <v>13558</v>
      </c>
      <c r="D527" s="3">
        <v>44089</v>
      </c>
      <c r="E527" s="2" t="s">
        <v>2421</v>
      </c>
      <c r="F527" s="2"/>
      <c r="G527" s="2" t="s">
        <v>138</v>
      </c>
      <c r="H527" s="2" t="s">
        <v>2422</v>
      </c>
      <c r="I527" s="2" t="s">
        <v>41</v>
      </c>
      <c r="J527" s="3">
        <v>38450</v>
      </c>
      <c r="K527" s="2"/>
      <c r="L527" s="2"/>
      <c r="M527" s="2">
        <v>43</v>
      </c>
      <c r="N527" s="2">
        <v>19</v>
      </c>
      <c r="O527" s="2" t="s">
        <v>53</v>
      </c>
      <c r="P527" s="2" t="s">
        <v>43</v>
      </c>
      <c r="Q527" s="2"/>
      <c r="R527" s="2" t="s">
        <v>44</v>
      </c>
      <c r="S527" s="2">
        <v>8250215703</v>
      </c>
      <c r="T527" s="2" t="s">
        <v>2423</v>
      </c>
      <c r="U527" s="2" t="s">
        <v>2424</v>
      </c>
      <c r="V527" s="2">
        <v>8000181845</v>
      </c>
      <c r="W527" s="2" t="s">
        <v>2425</v>
      </c>
      <c r="X527" s="2">
        <v>90000</v>
      </c>
      <c r="Y527" s="2" t="s">
        <v>46</v>
      </c>
      <c r="Z527" s="2" t="s">
        <v>46</v>
      </c>
      <c r="AA527" s="2" t="s">
        <v>47</v>
      </c>
      <c r="AB527" s="2">
        <v>16</v>
      </c>
      <c r="AC527" s="2" t="s">
        <v>48</v>
      </c>
      <c r="AD527" s="2">
        <v>5</v>
      </c>
    </row>
    <row r="528" spans="1:30" ht="30" x14ac:dyDescent="0.25">
      <c r="A528" s="2">
        <v>11</v>
      </c>
      <c r="B528" s="2" t="s">
        <v>2265</v>
      </c>
      <c r="C528" s="2">
        <v>13335</v>
      </c>
      <c r="D528" s="3">
        <v>43658</v>
      </c>
      <c r="E528" s="2" t="s">
        <v>2426</v>
      </c>
      <c r="F528" s="2"/>
      <c r="G528" s="2" t="s">
        <v>1884</v>
      </c>
      <c r="H528" s="2" t="s">
        <v>1178</v>
      </c>
      <c r="I528" s="2" t="s">
        <v>41</v>
      </c>
      <c r="J528" s="3">
        <v>37140</v>
      </c>
      <c r="K528" s="2"/>
      <c r="L528" s="2"/>
      <c r="M528" s="2">
        <v>43</v>
      </c>
      <c r="N528" s="2">
        <v>19</v>
      </c>
      <c r="O528" s="2" t="s">
        <v>78</v>
      </c>
      <c r="P528" s="2" t="s">
        <v>43</v>
      </c>
      <c r="Q528" s="2"/>
      <c r="R528" s="2" t="s">
        <v>44</v>
      </c>
      <c r="S528" s="2">
        <v>8250215703</v>
      </c>
      <c r="T528" s="2" t="s">
        <v>2427</v>
      </c>
      <c r="U528" s="2" t="s">
        <v>2428</v>
      </c>
      <c r="V528" s="2">
        <v>7073327215</v>
      </c>
      <c r="W528" s="2" t="s">
        <v>1730</v>
      </c>
      <c r="X528" s="2">
        <v>45000</v>
      </c>
      <c r="Y528" s="2" t="s">
        <v>46</v>
      </c>
      <c r="Z528" s="2" t="s">
        <v>46</v>
      </c>
      <c r="AA528" s="2" t="s">
        <v>47</v>
      </c>
      <c r="AB528" s="2">
        <v>20</v>
      </c>
      <c r="AC528" s="2" t="s">
        <v>48</v>
      </c>
      <c r="AD528" s="2">
        <v>3</v>
      </c>
    </row>
    <row r="529" spans="1:30" ht="30" x14ac:dyDescent="0.25">
      <c r="A529" s="2">
        <v>11</v>
      </c>
      <c r="B529" s="2" t="s">
        <v>2265</v>
      </c>
      <c r="C529" s="2">
        <v>13196</v>
      </c>
      <c r="D529" s="3">
        <v>43649</v>
      </c>
      <c r="E529" s="2" t="s">
        <v>2429</v>
      </c>
      <c r="F529" s="2"/>
      <c r="G529" s="2" t="s">
        <v>2430</v>
      </c>
      <c r="H529" s="2" t="s">
        <v>2020</v>
      </c>
      <c r="I529" s="2" t="s">
        <v>41</v>
      </c>
      <c r="J529" s="3">
        <v>38238</v>
      </c>
      <c r="K529" s="2"/>
      <c r="L529" s="2"/>
      <c r="M529" s="2">
        <v>43</v>
      </c>
      <c r="N529" s="2">
        <v>18</v>
      </c>
      <c r="O529" s="2" t="s">
        <v>78</v>
      </c>
      <c r="P529" s="2" t="s">
        <v>43</v>
      </c>
      <c r="Q529" s="2"/>
      <c r="R529" s="2" t="s">
        <v>44</v>
      </c>
      <c r="S529" s="2">
        <v>8250215703</v>
      </c>
      <c r="T529" s="2" t="s">
        <v>2431</v>
      </c>
      <c r="U529" s="2" t="s">
        <v>2432</v>
      </c>
      <c r="V529" s="2">
        <v>7023921688</v>
      </c>
      <c r="W529" s="2" t="s">
        <v>1730</v>
      </c>
      <c r="X529" s="2">
        <v>44000</v>
      </c>
      <c r="Y529" s="2" t="s">
        <v>46</v>
      </c>
      <c r="Z529" s="2" t="s">
        <v>46</v>
      </c>
      <c r="AA529" s="2" t="s">
        <v>47</v>
      </c>
      <c r="AB529" s="2">
        <v>17</v>
      </c>
      <c r="AC529" s="2" t="s">
        <v>1645</v>
      </c>
      <c r="AD529" s="2">
        <v>2</v>
      </c>
    </row>
    <row r="530" spans="1:30" ht="30" x14ac:dyDescent="0.25">
      <c r="A530" s="2">
        <v>11</v>
      </c>
      <c r="B530" s="2" t="s">
        <v>2265</v>
      </c>
      <c r="C530" s="2">
        <v>13079</v>
      </c>
      <c r="D530" s="3">
        <v>43286</v>
      </c>
      <c r="E530" s="2" t="s">
        <v>2433</v>
      </c>
      <c r="F530" s="2"/>
      <c r="G530" s="2" t="s">
        <v>2434</v>
      </c>
      <c r="H530" s="2" t="s">
        <v>2435</v>
      </c>
      <c r="I530" s="2" t="s">
        <v>41</v>
      </c>
      <c r="J530" s="3">
        <v>38571</v>
      </c>
      <c r="K530" s="2"/>
      <c r="L530" s="2"/>
      <c r="M530" s="2">
        <v>43</v>
      </c>
      <c r="N530" s="2">
        <v>19</v>
      </c>
      <c r="O530" s="2" t="s">
        <v>42</v>
      </c>
      <c r="P530" s="2" t="s">
        <v>43</v>
      </c>
      <c r="Q530" s="2"/>
      <c r="R530" s="2" t="s">
        <v>44</v>
      </c>
      <c r="S530" s="2">
        <v>8250215703</v>
      </c>
      <c r="T530" s="2" t="s">
        <v>2436</v>
      </c>
      <c r="U530" s="2" t="s">
        <v>2437</v>
      </c>
      <c r="V530" s="2">
        <v>9414830385</v>
      </c>
      <c r="W530" s="2" t="s">
        <v>1058</v>
      </c>
      <c r="X530" s="2">
        <v>36000</v>
      </c>
      <c r="Y530" s="2" t="s">
        <v>46</v>
      </c>
      <c r="Z530" s="2" t="s">
        <v>46</v>
      </c>
      <c r="AA530" s="2" t="s">
        <v>47</v>
      </c>
      <c r="AB530" s="2">
        <v>16</v>
      </c>
      <c r="AC530" s="2" t="s">
        <v>48</v>
      </c>
      <c r="AD530" s="2">
        <v>2</v>
      </c>
    </row>
    <row r="531" spans="1:30" ht="30" x14ac:dyDescent="0.25">
      <c r="A531" s="2">
        <v>11</v>
      </c>
      <c r="B531" s="2" t="s">
        <v>2265</v>
      </c>
      <c r="C531" s="2">
        <v>13254</v>
      </c>
      <c r="D531" s="3">
        <v>43654</v>
      </c>
      <c r="E531" s="2" t="s">
        <v>1194</v>
      </c>
      <c r="F531" s="2"/>
      <c r="G531" s="2" t="s">
        <v>904</v>
      </c>
      <c r="H531" s="2" t="s">
        <v>1401</v>
      </c>
      <c r="I531" s="2" t="s">
        <v>41</v>
      </c>
      <c r="J531" s="3">
        <v>38380</v>
      </c>
      <c r="K531" s="2"/>
      <c r="L531" s="2"/>
      <c r="M531" s="2">
        <v>43</v>
      </c>
      <c r="N531" s="2">
        <v>20</v>
      </c>
      <c r="O531" s="2" t="s">
        <v>53</v>
      </c>
      <c r="P531" s="2" t="s">
        <v>43</v>
      </c>
      <c r="Q531" s="2"/>
      <c r="R531" s="2" t="s">
        <v>44</v>
      </c>
      <c r="S531" s="2">
        <v>8250215703</v>
      </c>
      <c r="T531" s="2" t="s">
        <v>2438</v>
      </c>
      <c r="U531" s="2" t="s">
        <v>1403</v>
      </c>
      <c r="V531" s="2">
        <v>9799064182</v>
      </c>
      <c r="W531" s="2" t="s">
        <v>2439</v>
      </c>
      <c r="X531" s="2">
        <v>36000</v>
      </c>
      <c r="Y531" s="2" t="s">
        <v>46</v>
      </c>
      <c r="Z531" s="2" t="s">
        <v>46</v>
      </c>
      <c r="AA531" s="2" t="s">
        <v>47</v>
      </c>
      <c r="AB531" s="2">
        <v>16</v>
      </c>
      <c r="AC531" s="2" t="s">
        <v>48</v>
      </c>
      <c r="AD531" s="2">
        <v>10</v>
      </c>
    </row>
    <row r="532" spans="1:30" ht="30" x14ac:dyDescent="0.25">
      <c r="A532" s="2">
        <v>11</v>
      </c>
      <c r="B532" s="2" t="s">
        <v>2265</v>
      </c>
      <c r="C532" s="2">
        <v>13317</v>
      </c>
      <c r="D532" s="3">
        <v>43655</v>
      </c>
      <c r="E532" s="2" t="s">
        <v>940</v>
      </c>
      <c r="F532" s="2"/>
      <c r="G532" s="2" t="s">
        <v>2440</v>
      </c>
      <c r="H532" s="2" t="s">
        <v>2441</v>
      </c>
      <c r="I532" s="2" t="s">
        <v>41</v>
      </c>
      <c r="J532" s="3">
        <v>38443</v>
      </c>
      <c r="K532" s="2"/>
      <c r="L532" s="2"/>
      <c r="M532" s="2">
        <v>43</v>
      </c>
      <c r="N532" s="2">
        <v>19</v>
      </c>
      <c r="O532" s="2" t="s">
        <v>78</v>
      </c>
      <c r="P532" s="2" t="s">
        <v>43</v>
      </c>
      <c r="Q532" s="2"/>
      <c r="R532" s="2" t="s">
        <v>44</v>
      </c>
      <c r="S532" s="2">
        <v>8250215703</v>
      </c>
      <c r="T532" s="2" t="s">
        <v>2442</v>
      </c>
      <c r="U532" s="2" t="s">
        <v>2443</v>
      </c>
      <c r="V532" s="2">
        <v>8003684415</v>
      </c>
      <c r="W532" s="2" t="s">
        <v>2444</v>
      </c>
      <c r="X532" s="2">
        <v>40000</v>
      </c>
      <c r="Y532" s="2" t="s">
        <v>46</v>
      </c>
      <c r="Z532" s="2" t="s">
        <v>46</v>
      </c>
      <c r="AA532" s="2" t="s">
        <v>47</v>
      </c>
      <c r="AB532" s="2">
        <v>16</v>
      </c>
      <c r="AC532" s="2" t="s">
        <v>48</v>
      </c>
      <c r="AD532" s="2">
        <v>8</v>
      </c>
    </row>
    <row r="533" spans="1:30" ht="30" x14ac:dyDescent="0.25">
      <c r="A533" s="2">
        <v>11</v>
      </c>
      <c r="B533" s="2" t="s">
        <v>2265</v>
      </c>
      <c r="C533" s="2">
        <v>13191</v>
      </c>
      <c r="D533" s="3">
        <v>43649</v>
      </c>
      <c r="E533" s="2" t="s">
        <v>2445</v>
      </c>
      <c r="F533" s="2"/>
      <c r="G533" s="2" t="s">
        <v>2446</v>
      </c>
      <c r="H533" s="2" t="s">
        <v>1157</v>
      </c>
      <c r="I533" s="2" t="s">
        <v>41</v>
      </c>
      <c r="J533" s="3">
        <v>38468</v>
      </c>
      <c r="K533" s="2"/>
      <c r="L533" s="2"/>
      <c r="M533" s="2">
        <v>43</v>
      </c>
      <c r="N533" s="2">
        <v>21</v>
      </c>
      <c r="O533" s="2" t="s">
        <v>78</v>
      </c>
      <c r="P533" s="2" t="s">
        <v>43</v>
      </c>
      <c r="Q533" s="2"/>
      <c r="R533" s="2" t="s">
        <v>44</v>
      </c>
      <c r="S533" s="2">
        <v>8250215703</v>
      </c>
      <c r="T533" s="2" t="s">
        <v>2447</v>
      </c>
      <c r="U533" s="2" t="s">
        <v>2448</v>
      </c>
      <c r="V533" s="2">
        <v>9950484202</v>
      </c>
      <c r="W533" s="2" t="s">
        <v>1270</v>
      </c>
      <c r="X533" s="2">
        <v>36000</v>
      </c>
      <c r="Y533" s="2" t="s">
        <v>46</v>
      </c>
      <c r="Z533" s="2" t="s">
        <v>46</v>
      </c>
      <c r="AA533" s="2" t="s">
        <v>47</v>
      </c>
      <c r="AB533" s="2">
        <v>16</v>
      </c>
      <c r="AC533" s="2" t="s">
        <v>48</v>
      </c>
      <c r="AD533" s="2">
        <v>3</v>
      </c>
    </row>
    <row r="534" spans="1:30" ht="30" x14ac:dyDescent="0.25">
      <c r="A534" s="2">
        <v>11</v>
      </c>
      <c r="B534" s="2" t="s">
        <v>2265</v>
      </c>
      <c r="C534" s="2">
        <v>13775</v>
      </c>
      <c r="D534" s="3">
        <v>44396</v>
      </c>
      <c r="E534" s="2" t="s">
        <v>2449</v>
      </c>
      <c r="F534" s="2"/>
      <c r="G534" s="2" t="s">
        <v>2450</v>
      </c>
      <c r="H534" s="2" t="s">
        <v>2451</v>
      </c>
      <c r="I534" s="2" t="s">
        <v>41</v>
      </c>
      <c r="J534" s="3">
        <v>38492</v>
      </c>
      <c r="K534" s="2"/>
      <c r="L534" s="2"/>
      <c r="M534" s="2">
        <v>43</v>
      </c>
      <c r="N534" s="2">
        <v>18</v>
      </c>
      <c r="O534" s="2" t="s">
        <v>53</v>
      </c>
      <c r="P534" s="2" t="s">
        <v>43</v>
      </c>
      <c r="Q534" s="2"/>
      <c r="R534" s="2" t="s">
        <v>44</v>
      </c>
      <c r="S534" s="2">
        <v>8250215703</v>
      </c>
      <c r="T534" s="2" t="s">
        <v>2452</v>
      </c>
      <c r="U534" s="2" t="s">
        <v>2453</v>
      </c>
      <c r="V534" s="2">
        <v>8824501492</v>
      </c>
      <c r="W534" s="2" t="s">
        <v>476</v>
      </c>
      <c r="X534" s="2">
        <v>66000</v>
      </c>
      <c r="Y534" s="2" t="s">
        <v>46</v>
      </c>
      <c r="Z534" s="2" t="s">
        <v>46</v>
      </c>
      <c r="AA534" s="2" t="s">
        <v>47</v>
      </c>
      <c r="AB534" s="2">
        <v>16</v>
      </c>
      <c r="AC534" s="2" t="s">
        <v>48</v>
      </c>
      <c r="AD534" s="2">
        <v>2</v>
      </c>
    </row>
    <row r="535" spans="1:30" ht="30" x14ac:dyDescent="0.25">
      <c r="A535" s="2">
        <v>11</v>
      </c>
      <c r="B535" s="2" t="s">
        <v>2265</v>
      </c>
      <c r="C535" s="2">
        <v>13195</v>
      </c>
      <c r="D535" s="3">
        <v>43649</v>
      </c>
      <c r="E535" s="2" t="s">
        <v>2454</v>
      </c>
      <c r="F535" s="2"/>
      <c r="G535" s="2" t="s">
        <v>2455</v>
      </c>
      <c r="H535" s="2" t="s">
        <v>2456</v>
      </c>
      <c r="I535" s="2" t="s">
        <v>41</v>
      </c>
      <c r="J535" s="3">
        <v>38751</v>
      </c>
      <c r="K535" s="2"/>
      <c r="L535" s="2"/>
      <c r="M535" s="2">
        <v>43</v>
      </c>
      <c r="N535" s="2">
        <v>19</v>
      </c>
      <c r="O535" s="2" t="s">
        <v>53</v>
      </c>
      <c r="P535" s="2" t="s">
        <v>43</v>
      </c>
      <c r="Q535" s="2"/>
      <c r="R535" s="2" t="s">
        <v>44</v>
      </c>
      <c r="S535" s="2">
        <v>8250215703</v>
      </c>
      <c r="T535" s="2" t="s">
        <v>2457</v>
      </c>
      <c r="U535" s="2" t="s">
        <v>2458</v>
      </c>
      <c r="V535" s="2">
        <v>9001652753</v>
      </c>
      <c r="W535" s="2" t="s">
        <v>2459</v>
      </c>
      <c r="X535" s="2">
        <v>40000</v>
      </c>
      <c r="Y535" s="2" t="s">
        <v>46</v>
      </c>
      <c r="Z535" s="2" t="s">
        <v>46</v>
      </c>
      <c r="AA535" s="2" t="s">
        <v>47</v>
      </c>
      <c r="AB535" s="2">
        <v>15</v>
      </c>
      <c r="AC535" s="2" t="s">
        <v>48</v>
      </c>
      <c r="AD535" s="2">
        <v>8</v>
      </c>
    </row>
    <row r="536" spans="1:30" ht="30" x14ac:dyDescent="0.25">
      <c r="A536" s="2">
        <v>11</v>
      </c>
      <c r="B536" s="2" t="s">
        <v>2265</v>
      </c>
      <c r="C536" s="2">
        <v>13557</v>
      </c>
      <c r="D536" s="3">
        <v>44085</v>
      </c>
      <c r="E536" s="2" t="s">
        <v>2460</v>
      </c>
      <c r="F536" s="2"/>
      <c r="G536" s="2" t="s">
        <v>2461</v>
      </c>
      <c r="H536" s="2" t="s">
        <v>2462</v>
      </c>
      <c r="I536" s="2" t="s">
        <v>41</v>
      </c>
      <c r="J536" s="3">
        <v>38529</v>
      </c>
      <c r="K536" s="2"/>
      <c r="L536" s="2"/>
      <c r="M536" s="2">
        <v>43</v>
      </c>
      <c r="N536" s="2">
        <v>18</v>
      </c>
      <c r="O536" s="2" t="s">
        <v>78</v>
      </c>
      <c r="P536" s="2" t="s">
        <v>43</v>
      </c>
      <c r="Q536" s="2"/>
      <c r="R536" s="2" t="s">
        <v>44</v>
      </c>
      <c r="S536" s="2">
        <v>8250215703</v>
      </c>
      <c r="T536" s="2" t="s">
        <v>2463</v>
      </c>
      <c r="U536" s="2"/>
      <c r="V536" s="2">
        <v>9824695864</v>
      </c>
      <c r="W536" s="2" t="s">
        <v>2464</v>
      </c>
      <c r="X536" s="2">
        <v>40000</v>
      </c>
      <c r="Y536" s="2" t="s">
        <v>46</v>
      </c>
      <c r="Z536" s="2" t="s">
        <v>46</v>
      </c>
      <c r="AA536" s="2" t="s">
        <v>47</v>
      </c>
      <c r="AB536" s="2">
        <v>16</v>
      </c>
      <c r="AC536" s="2" t="s">
        <v>48</v>
      </c>
      <c r="AD536" s="2">
        <v>2</v>
      </c>
    </row>
    <row r="537" spans="1:30" ht="30" x14ac:dyDescent="0.25">
      <c r="A537" s="2">
        <v>11</v>
      </c>
      <c r="B537" s="2" t="s">
        <v>2265</v>
      </c>
      <c r="C537" s="2">
        <v>13256</v>
      </c>
      <c r="D537" s="3">
        <v>43654</v>
      </c>
      <c r="E537" s="2" t="s">
        <v>2465</v>
      </c>
      <c r="F537" s="2"/>
      <c r="G537" s="2" t="s">
        <v>2466</v>
      </c>
      <c r="H537" s="2" t="s">
        <v>286</v>
      </c>
      <c r="I537" s="2" t="s">
        <v>41</v>
      </c>
      <c r="J537" s="3">
        <v>38518</v>
      </c>
      <c r="K537" s="2"/>
      <c r="L537" s="2"/>
      <c r="M537" s="2">
        <v>43</v>
      </c>
      <c r="N537" s="2">
        <v>17</v>
      </c>
      <c r="O537" s="2" t="s">
        <v>825</v>
      </c>
      <c r="P537" s="2" t="s">
        <v>43</v>
      </c>
      <c r="Q537" s="2"/>
      <c r="R537" s="2" t="s">
        <v>44</v>
      </c>
      <c r="S537" s="2">
        <v>8250215703</v>
      </c>
      <c r="T537" s="2" t="s">
        <v>2467</v>
      </c>
      <c r="U537" s="2" t="s">
        <v>2468</v>
      </c>
      <c r="V537" s="2">
        <v>9772621312</v>
      </c>
      <c r="W537" s="2" t="s">
        <v>2469</v>
      </c>
      <c r="X537" s="2">
        <v>27000</v>
      </c>
      <c r="Y537" s="2" t="s">
        <v>46</v>
      </c>
      <c r="Z537" s="2" t="s">
        <v>46</v>
      </c>
      <c r="AA537" s="2" t="s">
        <v>47</v>
      </c>
      <c r="AB537" s="2">
        <v>16</v>
      </c>
      <c r="AC537" s="2" t="s">
        <v>48</v>
      </c>
      <c r="AD537" s="2">
        <v>4</v>
      </c>
    </row>
    <row r="538" spans="1:30" ht="30" x14ac:dyDescent="0.25">
      <c r="A538" s="2">
        <v>11</v>
      </c>
      <c r="B538" s="2" t="s">
        <v>2265</v>
      </c>
      <c r="C538" s="2">
        <v>13647</v>
      </c>
      <c r="D538" s="3">
        <v>44124</v>
      </c>
      <c r="E538" s="2" t="s">
        <v>2470</v>
      </c>
      <c r="F538" s="2"/>
      <c r="G538" s="2" t="s">
        <v>2471</v>
      </c>
      <c r="H538" s="2" t="s">
        <v>941</v>
      </c>
      <c r="I538" s="2" t="s">
        <v>41</v>
      </c>
      <c r="J538" s="3">
        <v>38139</v>
      </c>
      <c r="K538" s="2"/>
      <c r="L538" s="2"/>
      <c r="M538" s="2">
        <v>43</v>
      </c>
      <c r="N538" s="2">
        <v>18</v>
      </c>
      <c r="O538" s="2" t="s">
        <v>773</v>
      </c>
      <c r="P538" s="2" t="s">
        <v>43</v>
      </c>
      <c r="Q538" s="2"/>
      <c r="R538" s="2" t="s">
        <v>44</v>
      </c>
      <c r="S538" s="2">
        <v>8250215703</v>
      </c>
      <c r="T538" s="2" t="s">
        <v>2472</v>
      </c>
      <c r="U538" s="2"/>
      <c r="V538" s="2">
        <v>9602469194</v>
      </c>
      <c r="W538" s="2" t="s">
        <v>2473</v>
      </c>
      <c r="X538" s="2">
        <v>0</v>
      </c>
      <c r="Y538" s="2" t="s">
        <v>46</v>
      </c>
      <c r="Z538" s="2" t="s">
        <v>46</v>
      </c>
      <c r="AA538" s="2" t="s">
        <v>47</v>
      </c>
      <c r="AB538" s="2">
        <v>17</v>
      </c>
      <c r="AC538" s="2" t="s">
        <v>48</v>
      </c>
      <c r="AD538" s="2">
        <v>2</v>
      </c>
    </row>
    <row r="539" spans="1:30" ht="30" x14ac:dyDescent="0.25">
      <c r="A539" s="2">
        <v>11</v>
      </c>
      <c r="B539" s="2" t="s">
        <v>2265</v>
      </c>
      <c r="C539" s="2">
        <v>12546</v>
      </c>
      <c r="D539" s="3">
        <v>42562</v>
      </c>
      <c r="E539" s="2" t="s">
        <v>2474</v>
      </c>
      <c r="F539" s="2"/>
      <c r="G539" s="2" t="s">
        <v>2475</v>
      </c>
      <c r="H539" s="2" t="s">
        <v>695</v>
      </c>
      <c r="I539" s="2" t="s">
        <v>41</v>
      </c>
      <c r="J539" s="3">
        <v>38633</v>
      </c>
      <c r="K539" s="2"/>
      <c r="L539" s="2"/>
      <c r="M539" s="2">
        <v>43</v>
      </c>
      <c r="N539" s="2">
        <v>19</v>
      </c>
      <c r="O539" s="2" t="s">
        <v>53</v>
      </c>
      <c r="P539" s="2" t="s">
        <v>43</v>
      </c>
      <c r="Q539" s="2"/>
      <c r="R539" s="2" t="s">
        <v>44</v>
      </c>
      <c r="S539" s="2">
        <v>8250215703</v>
      </c>
      <c r="T539" s="2" t="s">
        <v>2476</v>
      </c>
      <c r="U539" s="2" t="s">
        <v>2477</v>
      </c>
      <c r="V539" s="2">
        <v>9799091024</v>
      </c>
      <c r="W539" s="2" t="s">
        <v>2478</v>
      </c>
      <c r="X539" s="2">
        <v>36000</v>
      </c>
      <c r="Y539" s="2" t="s">
        <v>46</v>
      </c>
      <c r="Z539" s="2" t="s">
        <v>46</v>
      </c>
      <c r="AA539" s="2" t="s">
        <v>47</v>
      </c>
      <c r="AB539" s="2">
        <v>16</v>
      </c>
      <c r="AC539" s="2" t="s">
        <v>48</v>
      </c>
      <c r="AD539" s="2">
        <v>1</v>
      </c>
    </row>
    <row r="540" spans="1:30" ht="30" x14ac:dyDescent="0.25">
      <c r="A540" s="2">
        <v>11</v>
      </c>
      <c r="B540" s="2" t="s">
        <v>2265</v>
      </c>
      <c r="C540" s="2">
        <v>13314</v>
      </c>
      <c r="D540" s="3">
        <v>43655</v>
      </c>
      <c r="E540" s="2" t="s">
        <v>2479</v>
      </c>
      <c r="F540" s="2"/>
      <c r="G540" s="2" t="s">
        <v>2480</v>
      </c>
      <c r="H540" s="2" t="s">
        <v>1552</v>
      </c>
      <c r="I540" s="2" t="s">
        <v>41</v>
      </c>
      <c r="J540" s="3">
        <v>37835</v>
      </c>
      <c r="K540" s="2"/>
      <c r="L540" s="2"/>
      <c r="M540" s="2">
        <v>43</v>
      </c>
      <c r="N540" s="2">
        <v>18</v>
      </c>
      <c r="O540" s="2" t="s">
        <v>78</v>
      </c>
      <c r="P540" s="2" t="s">
        <v>43</v>
      </c>
      <c r="Q540" s="2"/>
      <c r="R540" s="2" t="s">
        <v>44</v>
      </c>
      <c r="S540" s="2">
        <v>8250215703</v>
      </c>
      <c r="T540" s="2" t="s">
        <v>2481</v>
      </c>
      <c r="U540" s="2" t="s">
        <v>2482</v>
      </c>
      <c r="V540" s="2">
        <v>9636147249</v>
      </c>
      <c r="W540" s="2" t="s">
        <v>2483</v>
      </c>
      <c r="X540" s="2">
        <v>36000</v>
      </c>
      <c r="Y540" s="2" t="s">
        <v>46</v>
      </c>
      <c r="Z540" s="2" t="s">
        <v>46</v>
      </c>
      <c r="AA540" s="2" t="s">
        <v>47</v>
      </c>
      <c r="AB540" s="2">
        <v>18</v>
      </c>
      <c r="AC540" s="2" t="s">
        <v>48</v>
      </c>
      <c r="AD540" s="2">
        <v>70</v>
      </c>
    </row>
    <row r="541" spans="1:30" ht="30" x14ac:dyDescent="0.25">
      <c r="A541" s="2">
        <v>11</v>
      </c>
      <c r="B541" s="2" t="s">
        <v>2265</v>
      </c>
      <c r="C541" s="2">
        <v>13813</v>
      </c>
      <c r="D541" s="3">
        <v>44403</v>
      </c>
      <c r="E541" s="2" t="s">
        <v>2484</v>
      </c>
      <c r="F541" s="2"/>
      <c r="G541" s="2" t="s">
        <v>2485</v>
      </c>
      <c r="H541" s="2" t="s">
        <v>2486</v>
      </c>
      <c r="I541" s="2" t="s">
        <v>41</v>
      </c>
      <c r="J541" s="3">
        <v>38171</v>
      </c>
      <c r="K541" s="2"/>
      <c r="L541" s="2"/>
      <c r="M541" s="2">
        <v>43</v>
      </c>
      <c r="N541" s="2">
        <v>19</v>
      </c>
      <c r="O541" s="2" t="s">
        <v>53</v>
      </c>
      <c r="P541" s="2" t="s">
        <v>43</v>
      </c>
      <c r="Q541" s="2"/>
      <c r="R541" s="2" t="s">
        <v>44</v>
      </c>
      <c r="S541" s="2">
        <v>8250215703</v>
      </c>
      <c r="T541" s="2" t="s">
        <v>2487</v>
      </c>
      <c r="U541" s="2"/>
      <c r="V541" s="2">
        <v>7877304566</v>
      </c>
      <c r="W541" s="2" t="s">
        <v>2488</v>
      </c>
      <c r="X541" s="2">
        <v>50000</v>
      </c>
      <c r="Y541" s="2" t="s">
        <v>46</v>
      </c>
      <c r="Z541" s="2" t="s">
        <v>46</v>
      </c>
      <c r="AA541" s="2" t="s">
        <v>47</v>
      </c>
      <c r="AB541" s="2">
        <v>17</v>
      </c>
      <c r="AC541" s="2" t="s">
        <v>48</v>
      </c>
      <c r="AD541" s="2">
        <v>6</v>
      </c>
    </row>
    <row r="542" spans="1:30" ht="30" x14ac:dyDescent="0.25">
      <c r="A542" s="2">
        <v>11</v>
      </c>
      <c r="B542" s="2" t="s">
        <v>2265</v>
      </c>
      <c r="C542" s="2">
        <v>13320</v>
      </c>
      <c r="D542" s="3">
        <v>43655</v>
      </c>
      <c r="E542" s="2" t="s">
        <v>2489</v>
      </c>
      <c r="F542" s="2"/>
      <c r="G542" s="2" t="s">
        <v>1136</v>
      </c>
      <c r="H542" s="2" t="s">
        <v>920</v>
      </c>
      <c r="I542" s="2" t="s">
        <v>41</v>
      </c>
      <c r="J542" s="3">
        <v>38543</v>
      </c>
      <c r="K542" s="2"/>
      <c r="L542" s="2"/>
      <c r="M542" s="2">
        <v>43</v>
      </c>
      <c r="N542" s="2">
        <v>20</v>
      </c>
      <c r="O542" s="2" t="s">
        <v>53</v>
      </c>
      <c r="P542" s="2" t="s">
        <v>43</v>
      </c>
      <c r="Q542" s="2"/>
      <c r="R542" s="2" t="s">
        <v>44</v>
      </c>
      <c r="S542" s="2">
        <v>8250215703</v>
      </c>
      <c r="T542" s="2" t="s">
        <v>2490</v>
      </c>
      <c r="U542" s="2" t="s">
        <v>1138</v>
      </c>
      <c r="V542" s="2">
        <v>9680448987</v>
      </c>
      <c r="W542" s="2" t="s">
        <v>2491</v>
      </c>
      <c r="X542" s="2">
        <v>42000</v>
      </c>
      <c r="Y542" s="2" t="s">
        <v>46</v>
      </c>
      <c r="Z542" s="2" t="s">
        <v>240</v>
      </c>
      <c r="AA542" s="2" t="s">
        <v>47</v>
      </c>
      <c r="AB542" s="2">
        <v>16</v>
      </c>
      <c r="AC542" s="2" t="s">
        <v>48</v>
      </c>
      <c r="AD542" s="2">
        <v>10</v>
      </c>
    </row>
    <row r="543" spans="1:30" ht="30" x14ac:dyDescent="0.25">
      <c r="A543" s="2">
        <v>11</v>
      </c>
      <c r="B543" s="2" t="s">
        <v>2265</v>
      </c>
      <c r="C543" s="2">
        <v>13757</v>
      </c>
      <c r="D543" s="3">
        <v>44394</v>
      </c>
      <c r="E543" s="2" t="s">
        <v>2492</v>
      </c>
      <c r="F543" s="2"/>
      <c r="G543" s="2" t="s">
        <v>2493</v>
      </c>
      <c r="H543" s="2" t="s">
        <v>2494</v>
      </c>
      <c r="I543" s="2" t="s">
        <v>41</v>
      </c>
      <c r="J543" s="3">
        <v>38830</v>
      </c>
      <c r="K543" s="2"/>
      <c r="L543" s="2"/>
      <c r="M543" s="2">
        <v>43</v>
      </c>
      <c r="N543" s="2">
        <v>21</v>
      </c>
      <c r="O543" s="2" t="s">
        <v>42</v>
      </c>
      <c r="P543" s="2" t="s">
        <v>43</v>
      </c>
      <c r="Q543" s="2"/>
      <c r="R543" s="2" t="s">
        <v>44</v>
      </c>
      <c r="S543" s="2">
        <v>8250215703</v>
      </c>
      <c r="T543" s="2" t="s">
        <v>2495</v>
      </c>
      <c r="U543" s="2"/>
      <c r="V543" s="2">
        <v>9649198211</v>
      </c>
      <c r="W543" s="2" t="s">
        <v>2496</v>
      </c>
      <c r="X543" s="2">
        <v>86000</v>
      </c>
      <c r="Y543" s="2" t="s">
        <v>46</v>
      </c>
      <c r="Z543" s="2" t="s">
        <v>46</v>
      </c>
      <c r="AA543" s="2" t="s">
        <v>47</v>
      </c>
      <c r="AB543" s="2">
        <v>15</v>
      </c>
      <c r="AC543" s="2" t="s">
        <v>48</v>
      </c>
      <c r="AD543" s="2">
        <v>3</v>
      </c>
    </row>
    <row r="544" spans="1:30" ht="30" x14ac:dyDescent="0.25">
      <c r="A544" s="2">
        <v>11</v>
      </c>
      <c r="B544" s="2" t="s">
        <v>2265</v>
      </c>
      <c r="C544" s="2">
        <v>13950</v>
      </c>
      <c r="D544" s="3">
        <v>44436</v>
      </c>
      <c r="E544" s="2" t="s">
        <v>2497</v>
      </c>
      <c r="F544" s="2"/>
      <c r="G544" s="2" t="s">
        <v>2498</v>
      </c>
      <c r="H544" s="2" t="s">
        <v>2499</v>
      </c>
      <c r="I544" s="2" t="s">
        <v>41</v>
      </c>
      <c r="J544" s="3">
        <v>38471</v>
      </c>
      <c r="K544" s="2"/>
      <c r="L544" s="2"/>
      <c r="M544" s="2">
        <v>43</v>
      </c>
      <c r="N544" s="2">
        <v>21</v>
      </c>
      <c r="O544" s="2" t="s">
        <v>53</v>
      </c>
      <c r="P544" s="2" t="s">
        <v>43</v>
      </c>
      <c r="Q544" s="2"/>
      <c r="R544" s="2" t="s">
        <v>44</v>
      </c>
      <c r="S544" s="2">
        <v>8250215703</v>
      </c>
      <c r="T544" s="2" t="s">
        <v>2500</v>
      </c>
      <c r="U544" s="2"/>
      <c r="V544" s="2">
        <v>9413935440</v>
      </c>
      <c r="W544" s="2" t="s">
        <v>2501</v>
      </c>
      <c r="X544" s="2">
        <v>96000</v>
      </c>
      <c r="Y544" s="2" t="s">
        <v>46</v>
      </c>
      <c r="Z544" s="2" t="s">
        <v>46</v>
      </c>
      <c r="AA544" s="2" t="s">
        <v>47</v>
      </c>
      <c r="AB544" s="2">
        <v>16</v>
      </c>
      <c r="AC544" s="2" t="s">
        <v>48</v>
      </c>
      <c r="AD544" s="2">
        <v>2</v>
      </c>
    </row>
    <row r="545" spans="1:30" ht="30" x14ac:dyDescent="0.25">
      <c r="A545" s="2">
        <v>11</v>
      </c>
      <c r="B545" s="2" t="s">
        <v>2265</v>
      </c>
      <c r="C545" s="2">
        <v>13200</v>
      </c>
      <c r="D545" s="3">
        <v>43649</v>
      </c>
      <c r="E545" s="2" t="s">
        <v>2502</v>
      </c>
      <c r="F545" s="2"/>
      <c r="G545" s="2" t="s">
        <v>2503</v>
      </c>
      <c r="H545" s="2" t="s">
        <v>467</v>
      </c>
      <c r="I545" s="2" t="s">
        <v>41</v>
      </c>
      <c r="J545" s="3">
        <v>38475</v>
      </c>
      <c r="K545" s="2"/>
      <c r="L545" s="2"/>
      <c r="M545" s="2">
        <v>43</v>
      </c>
      <c r="N545" s="2">
        <v>19</v>
      </c>
      <c r="O545" s="2" t="s">
        <v>53</v>
      </c>
      <c r="P545" s="2" t="s">
        <v>43</v>
      </c>
      <c r="Q545" s="2"/>
      <c r="R545" s="2" t="s">
        <v>44</v>
      </c>
      <c r="S545" s="2">
        <v>8250215703</v>
      </c>
      <c r="T545" s="2" t="s">
        <v>2504</v>
      </c>
      <c r="U545" s="2" t="s">
        <v>2505</v>
      </c>
      <c r="V545" s="2">
        <v>8003135287</v>
      </c>
      <c r="W545" s="2" t="s">
        <v>2506</v>
      </c>
      <c r="X545" s="2">
        <v>50000</v>
      </c>
      <c r="Y545" s="2" t="s">
        <v>46</v>
      </c>
      <c r="Z545" s="2" t="s">
        <v>46</v>
      </c>
      <c r="AA545" s="2" t="s">
        <v>47</v>
      </c>
      <c r="AB545" s="2">
        <v>16</v>
      </c>
      <c r="AC545" s="2" t="s">
        <v>48</v>
      </c>
      <c r="AD545" s="2">
        <v>2</v>
      </c>
    </row>
    <row r="546" spans="1:30" ht="45" x14ac:dyDescent="0.25">
      <c r="A546" s="2">
        <v>11</v>
      </c>
      <c r="B546" s="2" t="s">
        <v>2265</v>
      </c>
      <c r="C546" s="2">
        <v>13876</v>
      </c>
      <c r="D546" s="3">
        <v>44407</v>
      </c>
      <c r="E546" s="2" t="s">
        <v>2507</v>
      </c>
      <c r="F546" s="2"/>
      <c r="G546" s="2" t="s">
        <v>2508</v>
      </c>
      <c r="H546" s="2" t="s">
        <v>2509</v>
      </c>
      <c r="I546" s="2" t="s">
        <v>41</v>
      </c>
      <c r="J546" s="3">
        <v>38732</v>
      </c>
      <c r="K546" s="2"/>
      <c r="L546" s="2"/>
      <c r="M546" s="2">
        <v>43</v>
      </c>
      <c r="N546" s="2">
        <v>21</v>
      </c>
      <c r="O546" s="2" t="s">
        <v>53</v>
      </c>
      <c r="P546" s="2" t="s">
        <v>43</v>
      </c>
      <c r="Q546" s="2"/>
      <c r="R546" s="2" t="s">
        <v>44</v>
      </c>
      <c r="S546" s="2">
        <v>8250215703</v>
      </c>
      <c r="T546" s="2" t="s">
        <v>2510</v>
      </c>
      <c r="U546" s="2"/>
      <c r="V546" s="2">
        <v>9351284586</v>
      </c>
      <c r="W546" s="2" t="s">
        <v>2511</v>
      </c>
      <c r="X546" s="2">
        <v>40000</v>
      </c>
      <c r="Y546" s="2" t="s">
        <v>46</v>
      </c>
      <c r="Z546" s="2" t="s">
        <v>46</v>
      </c>
      <c r="AA546" s="2" t="s">
        <v>47</v>
      </c>
      <c r="AB546" s="2">
        <v>15</v>
      </c>
      <c r="AC546" s="2" t="s">
        <v>48</v>
      </c>
      <c r="AD546" s="2">
        <v>1</v>
      </c>
    </row>
    <row r="547" spans="1:30" ht="30" x14ac:dyDescent="0.25">
      <c r="A547" s="2">
        <v>11</v>
      </c>
      <c r="B547" s="2" t="s">
        <v>2265</v>
      </c>
      <c r="C547" s="2">
        <v>13877</v>
      </c>
      <c r="D547" s="3">
        <v>44407</v>
      </c>
      <c r="E547" s="2" t="s">
        <v>2512</v>
      </c>
      <c r="F547" s="2"/>
      <c r="G547" s="2" t="s">
        <v>2513</v>
      </c>
      <c r="H547" s="2" t="s">
        <v>2514</v>
      </c>
      <c r="I547" s="2" t="s">
        <v>41</v>
      </c>
      <c r="J547" s="3">
        <v>38895</v>
      </c>
      <c r="K547" s="2"/>
      <c r="L547" s="2"/>
      <c r="M547" s="2">
        <v>43</v>
      </c>
      <c r="N547" s="2">
        <v>22</v>
      </c>
      <c r="O547" s="2" t="s">
        <v>53</v>
      </c>
      <c r="P547" s="2" t="s">
        <v>43</v>
      </c>
      <c r="Q547" s="2"/>
      <c r="R547" s="2" t="s">
        <v>44</v>
      </c>
      <c r="S547" s="2">
        <v>8250215703</v>
      </c>
      <c r="T547" s="2" t="s">
        <v>2515</v>
      </c>
      <c r="U547" s="2"/>
      <c r="V547" s="2">
        <v>9784840214</v>
      </c>
      <c r="W547" s="2" t="s">
        <v>2516</v>
      </c>
      <c r="X547" s="2">
        <v>50000</v>
      </c>
      <c r="Y547" s="2" t="s">
        <v>46</v>
      </c>
      <c r="Z547" s="2" t="s">
        <v>46</v>
      </c>
      <c r="AA547" s="2" t="s">
        <v>47</v>
      </c>
      <c r="AB547" s="2">
        <v>15</v>
      </c>
      <c r="AC547" s="2" t="s">
        <v>48</v>
      </c>
      <c r="AD547" s="2">
        <v>5</v>
      </c>
    </row>
    <row r="548" spans="1:30" ht="30" x14ac:dyDescent="0.25">
      <c r="A548" s="2">
        <v>11</v>
      </c>
      <c r="B548" s="2" t="s">
        <v>2265</v>
      </c>
      <c r="C548" s="2">
        <v>13714</v>
      </c>
      <c r="D548" s="3">
        <v>44384</v>
      </c>
      <c r="E548" s="2" t="s">
        <v>2517</v>
      </c>
      <c r="F548" s="2"/>
      <c r="G548" s="2" t="s">
        <v>2518</v>
      </c>
      <c r="H548" s="2" t="s">
        <v>2519</v>
      </c>
      <c r="I548" s="2" t="s">
        <v>41</v>
      </c>
      <c r="J548" s="3">
        <v>37947</v>
      </c>
      <c r="K548" s="2"/>
      <c r="L548" s="2"/>
      <c r="M548" s="2">
        <v>43</v>
      </c>
      <c r="N548" s="2">
        <v>21</v>
      </c>
      <c r="O548" s="2" t="s">
        <v>78</v>
      </c>
      <c r="P548" s="2" t="s">
        <v>43</v>
      </c>
      <c r="Q548" s="2"/>
      <c r="R548" s="2" t="s">
        <v>44</v>
      </c>
      <c r="S548" s="2">
        <v>8250215703</v>
      </c>
      <c r="T548" s="2" t="s">
        <v>2520</v>
      </c>
      <c r="U548" s="2"/>
      <c r="V548" s="2">
        <v>9549368223</v>
      </c>
      <c r="W548" s="2" t="s">
        <v>2521</v>
      </c>
      <c r="X548" s="2">
        <v>36000</v>
      </c>
      <c r="Y548" s="2" t="s">
        <v>46</v>
      </c>
      <c r="Z548" s="2" t="s">
        <v>46</v>
      </c>
      <c r="AA548" s="2" t="s">
        <v>47</v>
      </c>
      <c r="AB548" s="2">
        <v>18</v>
      </c>
      <c r="AC548" s="2" t="s">
        <v>48</v>
      </c>
      <c r="AD548" s="2">
        <v>5</v>
      </c>
    </row>
    <row r="549" spans="1:30" ht="30" x14ac:dyDescent="0.25">
      <c r="A549" s="2">
        <v>11</v>
      </c>
      <c r="B549" s="2" t="s">
        <v>2265</v>
      </c>
      <c r="C549" s="2">
        <v>13193</v>
      </c>
      <c r="D549" s="3">
        <v>43649</v>
      </c>
      <c r="E549" s="2" t="s">
        <v>2522</v>
      </c>
      <c r="F549" s="2"/>
      <c r="G549" s="2" t="s">
        <v>2523</v>
      </c>
      <c r="H549" s="2" t="s">
        <v>2524</v>
      </c>
      <c r="I549" s="2" t="s">
        <v>41</v>
      </c>
      <c r="J549" s="3">
        <v>38793</v>
      </c>
      <c r="K549" s="2"/>
      <c r="L549" s="2"/>
      <c r="M549" s="2">
        <v>43</v>
      </c>
      <c r="N549" s="2">
        <v>18</v>
      </c>
      <c r="O549" s="2" t="s">
        <v>53</v>
      </c>
      <c r="P549" s="2" t="s">
        <v>43</v>
      </c>
      <c r="Q549" s="2"/>
      <c r="R549" s="2" t="s">
        <v>44</v>
      </c>
      <c r="S549" s="2">
        <v>8250215703</v>
      </c>
      <c r="T549" s="2" t="s">
        <v>2525</v>
      </c>
      <c r="U549" s="2" t="s">
        <v>2526</v>
      </c>
      <c r="V549" s="2">
        <v>9660141713</v>
      </c>
      <c r="W549" s="2" t="s">
        <v>1270</v>
      </c>
      <c r="X549" s="2">
        <v>36000</v>
      </c>
      <c r="Y549" s="2" t="s">
        <v>46</v>
      </c>
      <c r="Z549" s="2" t="s">
        <v>46</v>
      </c>
      <c r="AA549" s="2" t="s">
        <v>47</v>
      </c>
      <c r="AB549" s="2">
        <v>15</v>
      </c>
      <c r="AC549" s="2" t="s">
        <v>48</v>
      </c>
      <c r="AD549" s="2">
        <v>3</v>
      </c>
    </row>
    <row r="550" spans="1:30" ht="30" x14ac:dyDescent="0.25">
      <c r="A550" s="2">
        <v>11</v>
      </c>
      <c r="B550" s="2" t="s">
        <v>2265</v>
      </c>
      <c r="C550" s="2">
        <v>13814</v>
      </c>
      <c r="D550" s="3">
        <v>44403</v>
      </c>
      <c r="E550" s="2" t="s">
        <v>2527</v>
      </c>
      <c r="F550" s="2"/>
      <c r="G550" s="2" t="s">
        <v>2528</v>
      </c>
      <c r="H550" s="2" t="s">
        <v>2529</v>
      </c>
      <c r="I550" s="2" t="s">
        <v>41</v>
      </c>
      <c r="J550" s="3">
        <v>38474</v>
      </c>
      <c r="K550" s="2"/>
      <c r="L550" s="2"/>
      <c r="M550" s="2">
        <v>43</v>
      </c>
      <c r="N550" s="2">
        <v>1</v>
      </c>
      <c r="O550" s="2" t="s">
        <v>78</v>
      </c>
      <c r="P550" s="2" t="s">
        <v>43</v>
      </c>
      <c r="Q550" s="2"/>
      <c r="R550" s="2" t="s">
        <v>44</v>
      </c>
      <c r="S550" s="2">
        <v>8250215703</v>
      </c>
      <c r="T550" s="2" t="s">
        <v>2530</v>
      </c>
      <c r="U550" s="2" t="s">
        <v>2531</v>
      </c>
      <c r="V550" s="2">
        <v>9672141986</v>
      </c>
      <c r="W550" s="2" t="s">
        <v>2496</v>
      </c>
      <c r="X550" s="2">
        <v>20000</v>
      </c>
      <c r="Y550" s="2" t="s">
        <v>46</v>
      </c>
      <c r="Z550" s="2" t="s">
        <v>46</v>
      </c>
      <c r="AA550" s="2" t="s">
        <v>47</v>
      </c>
      <c r="AB550" s="2">
        <v>16</v>
      </c>
      <c r="AC550" s="2" t="s">
        <v>48</v>
      </c>
      <c r="AD550" s="2">
        <v>4</v>
      </c>
    </row>
    <row r="551" spans="1:30" ht="30" x14ac:dyDescent="0.25">
      <c r="A551" s="2">
        <v>11</v>
      </c>
      <c r="B551" s="2" t="s">
        <v>2265</v>
      </c>
      <c r="C551" s="2">
        <v>12928</v>
      </c>
      <c r="D551" s="3">
        <v>42565</v>
      </c>
      <c r="E551" s="2" t="s">
        <v>2532</v>
      </c>
      <c r="F551" s="2"/>
      <c r="G551" s="2" t="s">
        <v>2533</v>
      </c>
      <c r="H551" s="2" t="s">
        <v>1086</v>
      </c>
      <c r="I551" s="2" t="s">
        <v>41</v>
      </c>
      <c r="J551" s="3">
        <v>38495</v>
      </c>
      <c r="K551" s="2"/>
      <c r="L551" s="2"/>
      <c r="M551" s="2">
        <v>43</v>
      </c>
      <c r="N551" s="2">
        <v>19</v>
      </c>
      <c r="O551" s="2" t="s">
        <v>78</v>
      </c>
      <c r="P551" s="2" t="s">
        <v>43</v>
      </c>
      <c r="Q551" s="2"/>
      <c r="R551" s="2" t="s">
        <v>44</v>
      </c>
      <c r="S551" s="2">
        <v>8250215703</v>
      </c>
      <c r="T551" s="2" t="s">
        <v>2534</v>
      </c>
      <c r="U551" s="2"/>
      <c r="V551" s="2">
        <v>9928199967</v>
      </c>
      <c r="W551" s="2" t="s">
        <v>2444</v>
      </c>
      <c r="X551" s="2">
        <v>50000</v>
      </c>
      <c r="Y551" s="2" t="s">
        <v>46</v>
      </c>
      <c r="Z551" s="2" t="s">
        <v>46</v>
      </c>
      <c r="AA551" s="2" t="s">
        <v>47</v>
      </c>
      <c r="AB551" s="2">
        <v>16</v>
      </c>
      <c r="AC551" s="2" t="s">
        <v>48</v>
      </c>
      <c r="AD551" s="2">
        <v>5</v>
      </c>
    </row>
    <row r="552" spans="1:30" ht="30" x14ac:dyDescent="0.25">
      <c r="A552" s="2">
        <v>11</v>
      </c>
      <c r="B552" s="2" t="s">
        <v>2265</v>
      </c>
      <c r="C552" s="2">
        <v>13192</v>
      </c>
      <c r="D552" s="3">
        <v>43649</v>
      </c>
      <c r="E552" s="2" t="s">
        <v>2535</v>
      </c>
      <c r="F552" s="2"/>
      <c r="G552" s="2" t="s">
        <v>2536</v>
      </c>
      <c r="H552" s="2" t="s">
        <v>210</v>
      </c>
      <c r="I552" s="2" t="s">
        <v>41</v>
      </c>
      <c r="J552" s="3">
        <v>38274</v>
      </c>
      <c r="K552" s="2"/>
      <c r="L552" s="2"/>
      <c r="M552" s="2">
        <v>43</v>
      </c>
      <c r="N552" s="2">
        <v>18</v>
      </c>
      <c r="O552" s="2" t="s">
        <v>42</v>
      </c>
      <c r="P552" s="2" t="s">
        <v>43</v>
      </c>
      <c r="Q552" s="2"/>
      <c r="R552" s="2" t="s">
        <v>44</v>
      </c>
      <c r="S552" s="2">
        <v>8250215703</v>
      </c>
      <c r="T552" s="2" t="s">
        <v>2537</v>
      </c>
      <c r="U552" s="2" t="s">
        <v>2538</v>
      </c>
      <c r="V552" s="2">
        <v>9166443509</v>
      </c>
      <c r="W552" s="2" t="s">
        <v>2539</v>
      </c>
      <c r="X552" s="2">
        <v>36000</v>
      </c>
      <c r="Y552" s="2" t="s">
        <v>46</v>
      </c>
      <c r="Z552" s="2" t="s">
        <v>46</v>
      </c>
      <c r="AA552" s="2" t="s">
        <v>47</v>
      </c>
      <c r="AB552" s="2">
        <v>17</v>
      </c>
      <c r="AC552" s="2" t="s">
        <v>48</v>
      </c>
      <c r="AD552" s="2">
        <v>3</v>
      </c>
    </row>
    <row r="553" spans="1:30" ht="30" x14ac:dyDescent="0.25">
      <c r="A553" s="2">
        <v>11</v>
      </c>
      <c r="B553" s="2" t="s">
        <v>2265</v>
      </c>
      <c r="C553" s="2">
        <v>13949</v>
      </c>
      <c r="D553" s="3">
        <v>44436</v>
      </c>
      <c r="E553" s="2" t="s">
        <v>2540</v>
      </c>
      <c r="F553" s="2"/>
      <c r="G553" s="2" t="s">
        <v>2541</v>
      </c>
      <c r="H553" s="2" t="s">
        <v>2542</v>
      </c>
      <c r="I553" s="2" t="s">
        <v>41</v>
      </c>
      <c r="J553" s="3">
        <v>39196</v>
      </c>
      <c r="K553" s="2"/>
      <c r="L553" s="2"/>
      <c r="M553" s="2">
        <v>43</v>
      </c>
      <c r="N553" s="2">
        <v>18</v>
      </c>
      <c r="O553" s="2" t="s">
        <v>53</v>
      </c>
      <c r="P553" s="2" t="s">
        <v>43</v>
      </c>
      <c r="Q553" s="2"/>
      <c r="R553" s="2" t="s">
        <v>44</v>
      </c>
      <c r="S553" s="2">
        <v>8250215703</v>
      </c>
      <c r="T553" s="2" t="s">
        <v>2201</v>
      </c>
      <c r="U553" s="2" t="s">
        <v>2543</v>
      </c>
      <c r="V553" s="2">
        <v>8058963027</v>
      </c>
      <c r="W553" s="2" t="s">
        <v>2544</v>
      </c>
      <c r="X553" s="2">
        <v>80000</v>
      </c>
      <c r="Y553" s="2" t="s">
        <v>46</v>
      </c>
      <c r="Z553" s="2" t="s">
        <v>46</v>
      </c>
      <c r="AA553" s="2" t="s">
        <v>47</v>
      </c>
      <c r="AB553" s="2">
        <v>14</v>
      </c>
      <c r="AC553" s="2" t="s">
        <v>48</v>
      </c>
      <c r="AD553" s="2">
        <v>0</v>
      </c>
    </row>
    <row r="554" spans="1:30" ht="45" x14ac:dyDescent="0.25">
      <c r="A554" s="2">
        <v>11</v>
      </c>
      <c r="B554" s="2" t="s">
        <v>2265</v>
      </c>
      <c r="C554" s="2">
        <v>13882</v>
      </c>
      <c r="D554" s="3">
        <v>44413</v>
      </c>
      <c r="E554" s="2" t="s">
        <v>2545</v>
      </c>
      <c r="F554" s="2"/>
      <c r="G554" s="2" t="s">
        <v>1800</v>
      </c>
      <c r="H554" s="2" t="s">
        <v>253</v>
      </c>
      <c r="I554" s="2" t="s">
        <v>41</v>
      </c>
      <c r="J554" s="3">
        <v>38520</v>
      </c>
      <c r="K554" s="2"/>
      <c r="L554" s="2"/>
      <c r="M554" s="2">
        <v>43</v>
      </c>
      <c r="N554" s="2">
        <v>19</v>
      </c>
      <c r="O554" s="2" t="s">
        <v>53</v>
      </c>
      <c r="P554" s="2" t="s">
        <v>43</v>
      </c>
      <c r="Q554" s="2"/>
      <c r="R554" s="2" t="s">
        <v>44</v>
      </c>
      <c r="S554" s="2">
        <v>8250215703</v>
      </c>
      <c r="T554" s="2" t="s">
        <v>2546</v>
      </c>
      <c r="U554" s="2"/>
      <c r="V554" s="2">
        <v>9799216244</v>
      </c>
      <c r="W554" s="2" t="s">
        <v>2547</v>
      </c>
      <c r="X554" s="2">
        <v>546000</v>
      </c>
      <c r="Y554" s="2" t="s">
        <v>46</v>
      </c>
      <c r="Z554" s="2" t="s">
        <v>46</v>
      </c>
      <c r="AA554" s="2" t="s">
        <v>47</v>
      </c>
      <c r="AB554" s="2">
        <v>16</v>
      </c>
      <c r="AC554" s="2" t="s">
        <v>48</v>
      </c>
      <c r="AD554" s="2">
        <v>5</v>
      </c>
    </row>
    <row r="555" spans="1:30" ht="30" x14ac:dyDescent="0.25">
      <c r="A555" s="2">
        <v>11</v>
      </c>
      <c r="B555" s="2" t="s">
        <v>2265</v>
      </c>
      <c r="C555" s="2">
        <v>13199</v>
      </c>
      <c r="D555" s="3">
        <v>43649</v>
      </c>
      <c r="E555" s="2" t="s">
        <v>2548</v>
      </c>
      <c r="F555" s="2"/>
      <c r="G555" s="2" t="s">
        <v>2549</v>
      </c>
      <c r="H555" s="2" t="s">
        <v>2550</v>
      </c>
      <c r="I555" s="2" t="s">
        <v>41</v>
      </c>
      <c r="J555" s="3">
        <v>38472</v>
      </c>
      <c r="K555" s="2"/>
      <c r="L555" s="2"/>
      <c r="M555" s="2">
        <v>43</v>
      </c>
      <c r="N555" s="2">
        <v>18</v>
      </c>
      <c r="O555" s="2" t="s">
        <v>53</v>
      </c>
      <c r="P555" s="2" t="s">
        <v>43</v>
      </c>
      <c r="Q555" s="2"/>
      <c r="R555" s="2" t="s">
        <v>44</v>
      </c>
      <c r="S555" s="2">
        <v>8250215703</v>
      </c>
      <c r="T555" s="2" t="s">
        <v>2551</v>
      </c>
      <c r="U555" s="2" t="s">
        <v>2552</v>
      </c>
      <c r="V555" s="2">
        <v>9799048286</v>
      </c>
      <c r="W555" s="2" t="s">
        <v>2553</v>
      </c>
      <c r="X555" s="2">
        <v>45000</v>
      </c>
      <c r="Y555" s="2" t="s">
        <v>46</v>
      </c>
      <c r="Z555" s="2" t="s">
        <v>46</v>
      </c>
      <c r="AA555" s="2" t="s">
        <v>47</v>
      </c>
      <c r="AB555" s="2">
        <v>16</v>
      </c>
      <c r="AC555" s="2" t="s">
        <v>48</v>
      </c>
      <c r="AD555" s="2">
        <v>2</v>
      </c>
    </row>
    <row r="556" spans="1:30" ht="30" x14ac:dyDescent="0.25">
      <c r="A556" s="2">
        <v>11</v>
      </c>
      <c r="B556" s="2" t="s">
        <v>2265</v>
      </c>
      <c r="C556" s="2">
        <v>13361</v>
      </c>
      <c r="D556" s="3">
        <v>43661</v>
      </c>
      <c r="E556" s="2" t="s">
        <v>2554</v>
      </c>
      <c r="F556" s="2"/>
      <c r="G556" s="2" t="s">
        <v>1414</v>
      </c>
      <c r="H556" s="2" t="s">
        <v>1081</v>
      </c>
      <c r="I556" s="2" t="s">
        <v>41</v>
      </c>
      <c r="J556" s="3">
        <v>38731</v>
      </c>
      <c r="K556" s="2"/>
      <c r="L556" s="2"/>
      <c r="M556" s="2">
        <v>43</v>
      </c>
      <c r="N556" s="2">
        <v>19</v>
      </c>
      <c r="O556" s="2" t="s">
        <v>53</v>
      </c>
      <c r="P556" s="2" t="s">
        <v>43</v>
      </c>
      <c r="Q556" s="2"/>
      <c r="R556" s="2" t="s">
        <v>44</v>
      </c>
      <c r="S556" s="2">
        <v>8250215703</v>
      </c>
      <c r="T556" s="2" t="s">
        <v>2555</v>
      </c>
      <c r="U556" s="2" t="s">
        <v>2556</v>
      </c>
      <c r="V556" s="2">
        <v>9351942262</v>
      </c>
      <c r="W556" s="2" t="s">
        <v>2557</v>
      </c>
      <c r="X556" s="2">
        <v>40000</v>
      </c>
      <c r="Y556" s="2" t="s">
        <v>46</v>
      </c>
      <c r="Z556" s="2" t="s">
        <v>46</v>
      </c>
      <c r="AA556" s="2" t="s">
        <v>47</v>
      </c>
      <c r="AB556" s="2">
        <v>15</v>
      </c>
      <c r="AC556" s="2" t="s">
        <v>48</v>
      </c>
      <c r="AD556" s="2">
        <v>2</v>
      </c>
    </row>
    <row r="557" spans="1:30" ht="30" x14ac:dyDescent="0.25">
      <c r="A557" s="2">
        <v>11</v>
      </c>
      <c r="B557" s="2" t="s">
        <v>2265</v>
      </c>
      <c r="C557" s="2">
        <v>13728</v>
      </c>
      <c r="D557" s="3">
        <v>44390</v>
      </c>
      <c r="E557" s="2" t="s">
        <v>2558</v>
      </c>
      <c r="F557" s="2"/>
      <c r="G557" s="2" t="s">
        <v>2559</v>
      </c>
      <c r="H557" s="2" t="s">
        <v>2560</v>
      </c>
      <c r="I557" s="2" t="s">
        <v>41</v>
      </c>
      <c r="J557" s="3">
        <v>38472</v>
      </c>
      <c r="K557" s="2"/>
      <c r="L557" s="2"/>
      <c r="M557" s="2">
        <v>43</v>
      </c>
      <c r="N557" s="2">
        <v>17</v>
      </c>
      <c r="O557" s="2" t="s">
        <v>53</v>
      </c>
      <c r="P557" s="2" t="s">
        <v>54</v>
      </c>
      <c r="Q557" s="2"/>
      <c r="R557" s="2" t="s">
        <v>44</v>
      </c>
      <c r="S557" s="2">
        <v>8250215703</v>
      </c>
      <c r="T557" s="2" t="s">
        <v>2561</v>
      </c>
      <c r="U557" s="2"/>
      <c r="V557" s="2">
        <v>9602637379</v>
      </c>
      <c r="W557" s="2" t="s">
        <v>631</v>
      </c>
      <c r="X557" s="2">
        <v>60000</v>
      </c>
      <c r="Y557" s="2" t="s">
        <v>46</v>
      </c>
      <c r="Z557" s="2" t="s">
        <v>46</v>
      </c>
      <c r="AA557" s="2" t="s">
        <v>57</v>
      </c>
      <c r="AB557" s="2">
        <v>16</v>
      </c>
      <c r="AC557" s="2" t="s">
        <v>48</v>
      </c>
      <c r="AD557" s="2">
        <v>1</v>
      </c>
    </row>
    <row r="558" spans="1:30" ht="45" x14ac:dyDescent="0.25">
      <c r="A558" s="2">
        <v>11</v>
      </c>
      <c r="B558" s="2" t="s">
        <v>2265</v>
      </c>
      <c r="C558" s="2">
        <v>13249</v>
      </c>
      <c r="D558" s="3">
        <v>43654</v>
      </c>
      <c r="E558" s="2" t="s">
        <v>2562</v>
      </c>
      <c r="F558" s="2"/>
      <c r="G558" s="2" t="s">
        <v>2563</v>
      </c>
      <c r="H558" s="2" t="s">
        <v>2564</v>
      </c>
      <c r="I558" s="2" t="s">
        <v>41</v>
      </c>
      <c r="J558" s="3">
        <v>38716</v>
      </c>
      <c r="K558" s="2"/>
      <c r="L558" s="2"/>
      <c r="M558" s="2">
        <v>43</v>
      </c>
      <c r="N558" s="2">
        <v>19</v>
      </c>
      <c r="O558" s="2" t="s">
        <v>53</v>
      </c>
      <c r="P558" s="2" t="s">
        <v>43</v>
      </c>
      <c r="Q558" s="2"/>
      <c r="R558" s="2" t="s">
        <v>44</v>
      </c>
      <c r="S558" s="2">
        <v>8250215703</v>
      </c>
      <c r="T558" s="2" t="s">
        <v>2565</v>
      </c>
      <c r="U558" s="2" t="s">
        <v>2566</v>
      </c>
      <c r="V558" s="2">
        <v>9468888082</v>
      </c>
      <c r="W558" s="2" t="s">
        <v>2248</v>
      </c>
      <c r="X558" s="2">
        <v>40000</v>
      </c>
      <c r="Y558" s="2" t="s">
        <v>46</v>
      </c>
      <c r="Z558" s="2" t="s">
        <v>46</v>
      </c>
      <c r="AA558" s="2" t="s">
        <v>47</v>
      </c>
      <c r="AB558" s="2">
        <v>16</v>
      </c>
      <c r="AC558" s="2" t="s">
        <v>48</v>
      </c>
      <c r="AD558" s="2">
        <v>4</v>
      </c>
    </row>
    <row r="559" spans="1:30" ht="30" x14ac:dyDescent="0.25">
      <c r="A559" s="2">
        <v>11</v>
      </c>
      <c r="B559" s="2" t="s">
        <v>2265</v>
      </c>
      <c r="C559" s="2">
        <v>13966</v>
      </c>
      <c r="D559" s="3">
        <v>44446</v>
      </c>
      <c r="E559" s="2" t="s">
        <v>2567</v>
      </c>
      <c r="F559" s="2"/>
      <c r="G559" s="2" t="s">
        <v>2568</v>
      </c>
      <c r="H559" s="2" t="s">
        <v>2569</v>
      </c>
      <c r="I559" s="2" t="s">
        <v>41</v>
      </c>
      <c r="J559" s="3">
        <v>38646</v>
      </c>
      <c r="K559" s="2"/>
      <c r="L559" s="2"/>
      <c r="M559" s="2">
        <v>43</v>
      </c>
      <c r="N559" s="2">
        <v>18</v>
      </c>
      <c r="O559" s="2" t="s">
        <v>42</v>
      </c>
      <c r="P559" s="2" t="s">
        <v>43</v>
      </c>
      <c r="Q559" s="2"/>
      <c r="R559" s="2" t="s">
        <v>44</v>
      </c>
      <c r="S559" s="2">
        <v>8250215703</v>
      </c>
      <c r="T559" s="2" t="s">
        <v>2570</v>
      </c>
      <c r="U559" s="2"/>
      <c r="V559" s="2">
        <v>7014240099</v>
      </c>
      <c r="W559" s="2" t="s">
        <v>2571</v>
      </c>
      <c r="X559" s="2">
        <v>72000</v>
      </c>
      <c r="Y559" s="2" t="s">
        <v>46</v>
      </c>
      <c r="Z559" s="2" t="s">
        <v>46</v>
      </c>
      <c r="AA559" s="2" t="s">
        <v>47</v>
      </c>
      <c r="AB559" s="2">
        <v>16</v>
      </c>
      <c r="AC559" s="2" t="s">
        <v>48</v>
      </c>
      <c r="AD559" s="2">
        <v>2</v>
      </c>
    </row>
    <row r="560" spans="1:30" ht="30" x14ac:dyDescent="0.25">
      <c r="A560" s="2">
        <v>11</v>
      </c>
      <c r="B560" s="2" t="s">
        <v>2265</v>
      </c>
      <c r="C560" s="2">
        <v>13540</v>
      </c>
      <c r="D560" s="3">
        <v>44083</v>
      </c>
      <c r="E560" s="2" t="s">
        <v>2572</v>
      </c>
      <c r="F560" s="2"/>
      <c r="G560" s="2" t="s">
        <v>2573</v>
      </c>
      <c r="H560" s="2" t="s">
        <v>1676</v>
      </c>
      <c r="I560" s="2" t="s">
        <v>41</v>
      </c>
      <c r="J560" s="3">
        <v>38654</v>
      </c>
      <c r="K560" s="2"/>
      <c r="L560" s="2"/>
      <c r="M560" s="2">
        <v>43</v>
      </c>
      <c r="N560" s="2">
        <v>19</v>
      </c>
      <c r="O560" s="2" t="s">
        <v>53</v>
      </c>
      <c r="P560" s="2" t="s">
        <v>54</v>
      </c>
      <c r="Q560" s="2"/>
      <c r="R560" s="2" t="s">
        <v>44</v>
      </c>
      <c r="S560" s="2">
        <v>8250215703</v>
      </c>
      <c r="T560" s="2" t="s">
        <v>2574</v>
      </c>
      <c r="U560" s="2" t="s">
        <v>2575</v>
      </c>
      <c r="V560" s="2">
        <v>9785834024</v>
      </c>
      <c r="W560" s="2" t="s">
        <v>2576</v>
      </c>
      <c r="X560" s="2">
        <v>60000</v>
      </c>
      <c r="Y560" s="2" t="s">
        <v>46</v>
      </c>
      <c r="Z560" s="2" t="s">
        <v>46</v>
      </c>
      <c r="AA560" s="2" t="s">
        <v>57</v>
      </c>
      <c r="AB560" s="2">
        <v>16</v>
      </c>
      <c r="AC560" s="2" t="s">
        <v>48</v>
      </c>
      <c r="AD560" s="2">
        <v>2</v>
      </c>
    </row>
    <row r="561" spans="1:30" ht="30" x14ac:dyDescent="0.25">
      <c r="A561" s="2">
        <v>11</v>
      </c>
      <c r="B561" s="2" t="s">
        <v>2265</v>
      </c>
      <c r="C561" s="2">
        <v>13116</v>
      </c>
      <c r="D561" s="3">
        <v>42565</v>
      </c>
      <c r="E561" s="2" t="s">
        <v>2577</v>
      </c>
      <c r="F561" s="2"/>
      <c r="G561" s="2" t="s">
        <v>1773</v>
      </c>
      <c r="H561" s="2" t="s">
        <v>686</v>
      </c>
      <c r="I561" s="2" t="s">
        <v>41</v>
      </c>
      <c r="J561" s="3">
        <v>38426</v>
      </c>
      <c r="K561" s="2"/>
      <c r="L561" s="2"/>
      <c r="M561" s="2">
        <v>43</v>
      </c>
      <c r="N561" s="2">
        <v>21</v>
      </c>
      <c r="O561" s="2" t="s">
        <v>78</v>
      </c>
      <c r="P561" s="2" t="s">
        <v>43</v>
      </c>
      <c r="Q561" s="2"/>
      <c r="R561" s="2" t="s">
        <v>44</v>
      </c>
      <c r="S561" s="2">
        <v>8250215703</v>
      </c>
      <c r="T561" s="2" t="s">
        <v>2578</v>
      </c>
      <c r="U561" s="2" t="s">
        <v>2579</v>
      </c>
      <c r="V561" s="2">
        <v>7742307095</v>
      </c>
      <c r="W561" s="2" t="s">
        <v>2580</v>
      </c>
      <c r="X561" s="2">
        <v>36000</v>
      </c>
      <c r="Y561" s="2" t="s">
        <v>46</v>
      </c>
      <c r="Z561" s="2" t="s">
        <v>46</v>
      </c>
      <c r="AA561" s="2" t="s">
        <v>47</v>
      </c>
      <c r="AB561" s="2">
        <v>16</v>
      </c>
      <c r="AC561" s="2" t="s">
        <v>48</v>
      </c>
      <c r="AD561" s="2">
        <v>5</v>
      </c>
    </row>
    <row r="562" spans="1:30" ht="60" x14ac:dyDescent="0.25">
      <c r="A562" s="2">
        <v>11</v>
      </c>
      <c r="B562" s="2" t="s">
        <v>2265</v>
      </c>
      <c r="C562" s="2">
        <v>13197</v>
      </c>
      <c r="D562" s="3">
        <v>43649</v>
      </c>
      <c r="E562" s="2" t="s">
        <v>2581</v>
      </c>
      <c r="F562" s="2"/>
      <c r="G562" s="2" t="s">
        <v>2582</v>
      </c>
      <c r="H562" s="2" t="s">
        <v>599</v>
      </c>
      <c r="I562" s="2" t="s">
        <v>41</v>
      </c>
      <c r="J562" s="3">
        <v>37862</v>
      </c>
      <c r="K562" s="2"/>
      <c r="L562" s="2"/>
      <c r="M562" s="2">
        <v>43</v>
      </c>
      <c r="N562" s="2">
        <v>20</v>
      </c>
      <c r="O562" s="2" t="s">
        <v>53</v>
      </c>
      <c r="P562" s="2" t="s">
        <v>43</v>
      </c>
      <c r="Q562" s="2"/>
      <c r="R562" s="2" t="s">
        <v>44</v>
      </c>
      <c r="S562" s="2">
        <v>8250215703</v>
      </c>
      <c r="T562" s="2" t="s">
        <v>2583</v>
      </c>
      <c r="U562" s="2" t="s">
        <v>2584</v>
      </c>
      <c r="V562" s="2">
        <v>8890902088</v>
      </c>
      <c r="W562" s="2" t="s">
        <v>2585</v>
      </c>
      <c r="X562" s="2">
        <v>36000</v>
      </c>
      <c r="Y562" s="2" t="s">
        <v>46</v>
      </c>
      <c r="Z562" s="2" t="s">
        <v>46</v>
      </c>
      <c r="AA562" s="2" t="s">
        <v>47</v>
      </c>
      <c r="AB562" s="2">
        <v>18</v>
      </c>
      <c r="AC562" s="2" t="s">
        <v>48</v>
      </c>
      <c r="AD562" s="2">
        <v>1</v>
      </c>
    </row>
    <row r="563" spans="1:30" ht="30" x14ac:dyDescent="0.25">
      <c r="A563" s="2">
        <v>11</v>
      </c>
      <c r="B563" s="2" t="s">
        <v>2265</v>
      </c>
      <c r="C563" s="2">
        <v>13251</v>
      </c>
      <c r="D563" s="3">
        <v>43654</v>
      </c>
      <c r="E563" s="2" t="s">
        <v>2586</v>
      </c>
      <c r="F563" s="2" t="s">
        <v>229</v>
      </c>
      <c r="G563" s="2" t="s">
        <v>771</v>
      </c>
      <c r="H563" s="2" t="s">
        <v>2587</v>
      </c>
      <c r="I563" s="2" t="s">
        <v>41</v>
      </c>
      <c r="J563" s="3">
        <v>38917</v>
      </c>
      <c r="K563" s="2"/>
      <c r="L563" s="2"/>
      <c r="M563" s="2">
        <v>43</v>
      </c>
      <c r="N563" s="2">
        <v>20</v>
      </c>
      <c r="O563" s="2" t="s">
        <v>773</v>
      </c>
      <c r="P563" s="2" t="s">
        <v>43</v>
      </c>
      <c r="Q563" s="2"/>
      <c r="R563" s="2" t="s">
        <v>44</v>
      </c>
      <c r="S563" s="2">
        <v>8250215703</v>
      </c>
      <c r="T563" s="2" t="s">
        <v>2588</v>
      </c>
      <c r="U563" s="2" t="s">
        <v>2589</v>
      </c>
      <c r="V563" s="2">
        <v>9929547801</v>
      </c>
      <c r="W563" s="2" t="s">
        <v>679</v>
      </c>
      <c r="X563" s="2">
        <v>20000</v>
      </c>
      <c r="Y563" s="2" t="s">
        <v>46</v>
      </c>
      <c r="Z563" s="2" t="s">
        <v>46</v>
      </c>
      <c r="AA563" s="2" t="s">
        <v>47</v>
      </c>
      <c r="AB563" s="2">
        <v>15</v>
      </c>
      <c r="AC563" s="2" t="s">
        <v>48</v>
      </c>
      <c r="AD563" s="2">
        <v>2</v>
      </c>
    </row>
    <row r="564" spans="1:30" ht="30" x14ac:dyDescent="0.25">
      <c r="A564" s="2">
        <v>11</v>
      </c>
      <c r="B564" s="2" t="s">
        <v>2265</v>
      </c>
      <c r="C564" s="2">
        <v>13081</v>
      </c>
      <c r="D564" s="3">
        <v>43286</v>
      </c>
      <c r="E564" s="2" t="s">
        <v>2590</v>
      </c>
      <c r="F564" s="2"/>
      <c r="G564" s="2" t="s">
        <v>2591</v>
      </c>
      <c r="H564" s="2" t="s">
        <v>1603</v>
      </c>
      <c r="I564" s="2" t="s">
        <v>41</v>
      </c>
      <c r="J564" s="3">
        <v>38486</v>
      </c>
      <c r="K564" s="2"/>
      <c r="L564" s="2"/>
      <c r="M564" s="2">
        <v>43</v>
      </c>
      <c r="N564" s="2">
        <v>16</v>
      </c>
      <c r="O564" s="2" t="s">
        <v>53</v>
      </c>
      <c r="P564" s="2" t="s">
        <v>43</v>
      </c>
      <c r="Q564" s="2"/>
      <c r="R564" s="2" t="s">
        <v>44</v>
      </c>
      <c r="S564" s="2">
        <v>8250215703</v>
      </c>
      <c r="T564" s="2" t="s">
        <v>2592</v>
      </c>
      <c r="U564" s="2" t="s">
        <v>2593</v>
      </c>
      <c r="V564" s="2">
        <v>9928690341</v>
      </c>
      <c r="W564" s="2" t="s">
        <v>975</v>
      </c>
      <c r="X564" s="2">
        <v>36000</v>
      </c>
      <c r="Y564" s="2" t="s">
        <v>46</v>
      </c>
      <c r="Z564" s="2" t="s">
        <v>46</v>
      </c>
      <c r="AA564" s="2" t="s">
        <v>47</v>
      </c>
      <c r="AB564" s="2">
        <v>16</v>
      </c>
      <c r="AC564" s="2" t="s">
        <v>48</v>
      </c>
      <c r="AD564" s="2">
        <v>4</v>
      </c>
    </row>
    <row r="565" spans="1:30" ht="30" x14ac:dyDescent="0.25">
      <c r="A565" s="2">
        <v>11</v>
      </c>
      <c r="B565" s="2" t="s">
        <v>2265</v>
      </c>
      <c r="C565" s="2">
        <v>13539</v>
      </c>
      <c r="D565" s="3">
        <v>44083</v>
      </c>
      <c r="E565" s="2" t="s">
        <v>2594</v>
      </c>
      <c r="F565" s="2"/>
      <c r="G565" s="2" t="s">
        <v>2595</v>
      </c>
      <c r="H565" s="2" t="s">
        <v>1229</v>
      </c>
      <c r="I565" s="2" t="s">
        <v>41</v>
      </c>
      <c r="J565" s="3">
        <v>38154</v>
      </c>
      <c r="K565" s="2"/>
      <c r="L565" s="2"/>
      <c r="M565" s="2">
        <v>43</v>
      </c>
      <c r="N565" s="2">
        <v>18</v>
      </c>
      <c r="O565" s="2" t="s">
        <v>78</v>
      </c>
      <c r="P565" s="2" t="s">
        <v>43</v>
      </c>
      <c r="Q565" s="2"/>
      <c r="R565" s="2" t="s">
        <v>44</v>
      </c>
      <c r="S565" s="2">
        <v>8250215703</v>
      </c>
      <c r="T565" s="2" t="s">
        <v>2596</v>
      </c>
      <c r="U565" s="2" t="s">
        <v>2597</v>
      </c>
      <c r="V565" s="2">
        <v>7849882915</v>
      </c>
      <c r="W565" s="2" t="s">
        <v>2598</v>
      </c>
      <c r="X565" s="2">
        <v>36000</v>
      </c>
      <c r="Y565" s="2" t="s">
        <v>46</v>
      </c>
      <c r="Z565" s="2" t="s">
        <v>46</v>
      </c>
      <c r="AA565" s="2" t="s">
        <v>47</v>
      </c>
      <c r="AB565" s="2">
        <v>17</v>
      </c>
      <c r="AC565" s="2" t="s">
        <v>48</v>
      </c>
      <c r="AD565" s="2">
        <v>0</v>
      </c>
    </row>
    <row r="566" spans="1:30" ht="45" x14ac:dyDescent="0.25">
      <c r="A566" s="2">
        <v>11</v>
      </c>
      <c r="B566" s="2" t="s">
        <v>2265</v>
      </c>
      <c r="C566" s="2">
        <v>13836</v>
      </c>
      <c r="D566" s="3">
        <v>44405</v>
      </c>
      <c r="E566" s="2" t="s">
        <v>2599</v>
      </c>
      <c r="F566" s="2"/>
      <c r="G566" s="2" t="s">
        <v>2600</v>
      </c>
      <c r="H566" s="2" t="s">
        <v>2601</v>
      </c>
      <c r="I566" s="2" t="s">
        <v>41</v>
      </c>
      <c r="J566" s="3">
        <v>38045</v>
      </c>
      <c r="K566" s="2"/>
      <c r="L566" s="2"/>
      <c r="M566" s="2">
        <v>43</v>
      </c>
      <c r="N566" s="2">
        <v>15</v>
      </c>
      <c r="O566" s="2" t="s">
        <v>78</v>
      </c>
      <c r="P566" s="2" t="s">
        <v>43</v>
      </c>
      <c r="Q566" s="2"/>
      <c r="R566" s="2" t="s">
        <v>44</v>
      </c>
      <c r="S566" s="2">
        <v>8250215703</v>
      </c>
      <c r="T566" s="2" t="s">
        <v>2602</v>
      </c>
      <c r="U566" s="2" t="s">
        <v>2603</v>
      </c>
      <c r="V566" s="2">
        <v>8769341344</v>
      </c>
      <c r="W566" s="2" t="s">
        <v>2604</v>
      </c>
      <c r="X566" s="2">
        <v>36000</v>
      </c>
      <c r="Y566" s="2" t="s">
        <v>46</v>
      </c>
      <c r="Z566" s="2" t="s">
        <v>46</v>
      </c>
      <c r="AA566" s="2" t="s">
        <v>47</v>
      </c>
      <c r="AB566" s="2">
        <v>17</v>
      </c>
      <c r="AC566" s="2" t="s">
        <v>48</v>
      </c>
      <c r="AD566" s="2">
        <v>1</v>
      </c>
    </row>
    <row r="567" spans="1:30" ht="30" x14ac:dyDescent="0.25">
      <c r="A567" s="2">
        <v>11</v>
      </c>
      <c r="B567" s="2" t="s">
        <v>2265</v>
      </c>
      <c r="C567" s="2">
        <v>13194</v>
      </c>
      <c r="D567" s="3">
        <v>43649</v>
      </c>
      <c r="E567" s="2" t="s">
        <v>1892</v>
      </c>
      <c r="F567" s="2"/>
      <c r="G567" s="2" t="s">
        <v>597</v>
      </c>
      <c r="H567" s="2" t="s">
        <v>1151</v>
      </c>
      <c r="I567" s="2" t="s">
        <v>41</v>
      </c>
      <c r="J567" s="3">
        <v>38328</v>
      </c>
      <c r="K567" s="2"/>
      <c r="L567" s="2"/>
      <c r="M567" s="2">
        <v>43</v>
      </c>
      <c r="N567" s="2">
        <v>19</v>
      </c>
      <c r="O567" s="2" t="s">
        <v>53</v>
      </c>
      <c r="P567" s="2" t="s">
        <v>43</v>
      </c>
      <c r="Q567" s="2"/>
      <c r="R567" s="2" t="s">
        <v>44</v>
      </c>
      <c r="S567" s="2">
        <v>8250215703</v>
      </c>
      <c r="T567" s="2" t="s">
        <v>2605</v>
      </c>
      <c r="U567" s="2" t="s">
        <v>2606</v>
      </c>
      <c r="V567" s="2">
        <v>7742640881</v>
      </c>
      <c r="W567" s="2" t="s">
        <v>1840</v>
      </c>
      <c r="X567" s="2">
        <v>40000</v>
      </c>
      <c r="Y567" s="2" t="s">
        <v>46</v>
      </c>
      <c r="Z567" s="2" t="s">
        <v>46</v>
      </c>
      <c r="AA567" s="2" t="s">
        <v>47</v>
      </c>
      <c r="AB567" s="2">
        <v>17</v>
      </c>
      <c r="AC567" s="2" t="s">
        <v>48</v>
      </c>
      <c r="AD567" s="2">
        <v>6</v>
      </c>
    </row>
    <row r="568" spans="1:30" ht="30" x14ac:dyDescent="0.25">
      <c r="A568" s="2">
        <v>11</v>
      </c>
      <c r="B568" s="2" t="s">
        <v>2265</v>
      </c>
      <c r="C568" s="2">
        <v>13250</v>
      </c>
      <c r="D568" s="3">
        <v>43654</v>
      </c>
      <c r="E568" s="2" t="s">
        <v>2607</v>
      </c>
      <c r="F568" s="2"/>
      <c r="G568" s="2" t="s">
        <v>2608</v>
      </c>
      <c r="H568" s="2" t="s">
        <v>2609</v>
      </c>
      <c r="I568" s="2" t="s">
        <v>41</v>
      </c>
      <c r="J568" s="3">
        <v>38576</v>
      </c>
      <c r="K568" s="2"/>
      <c r="L568" s="2"/>
      <c r="M568" s="2">
        <v>43</v>
      </c>
      <c r="N568" s="2">
        <v>16</v>
      </c>
      <c r="O568" s="2" t="s">
        <v>78</v>
      </c>
      <c r="P568" s="2" t="s">
        <v>43</v>
      </c>
      <c r="Q568" s="2"/>
      <c r="R568" s="2" t="s">
        <v>44</v>
      </c>
      <c r="S568" s="2">
        <v>8250215703</v>
      </c>
      <c r="T568" s="2" t="s">
        <v>2610</v>
      </c>
      <c r="U568" s="2" t="s">
        <v>2611</v>
      </c>
      <c r="V568" s="2">
        <v>8386088762</v>
      </c>
      <c r="W568" s="2" t="s">
        <v>2253</v>
      </c>
      <c r="X568" s="2">
        <v>36000</v>
      </c>
      <c r="Y568" s="2" t="s">
        <v>46</v>
      </c>
      <c r="Z568" s="2" t="s">
        <v>46</v>
      </c>
      <c r="AA568" s="2" t="s">
        <v>47</v>
      </c>
      <c r="AB568" s="2">
        <v>16</v>
      </c>
      <c r="AC568" s="2" t="s">
        <v>48</v>
      </c>
      <c r="AD568" s="2">
        <v>2</v>
      </c>
    </row>
    <row r="569" spans="1:30" ht="30" x14ac:dyDescent="0.25">
      <c r="A569" s="2">
        <v>11</v>
      </c>
      <c r="B569" s="2" t="s">
        <v>2265</v>
      </c>
      <c r="C569" s="2">
        <v>13108</v>
      </c>
      <c r="D569" s="3">
        <v>43288</v>
      </c>
      <c r="E569" s="2" t="s">
        <v>2612</v>
      </c>
      <c r="F569" s="2"/>
      <c r="G569" s="2" t="s">
        <v>2613</v>
      </c>
      <c r="H569" s="2" t="s">
        <v>941</v>
      </c>
      <c r="I569" s="2" t="s">
        <v>41</v>
      </c>
      <c r="J569" s="3">
        <v>38114</v>
      </c>
      <c r="K569" s="2"/>
      <c r="L569" s="2"/>
      <c r="M569" s="2">
        <v>43</v>
      </c>
      <c r="N569" s="2">
        <v>17</v>
      </c>
      <c r="O569" s="2" t="s">
        <v>78</v>
      </c>
      <c r="P569" s="2" t="s">
        <v>43</v>
      </c>
      <c r="Q569" s="2"/>
      <c r="R569" s="2" t="s">
        <v>44</v>
      </c>
      <c r="S569" s="2">
        <v>8250215703</v>
      </c>
      <c r="T569" s="2" t="s">
        <v>2614</v>
      </c>
      <c r="U569" s="2" t="s">
        <v>2615</v>
      </c>
      <c r="V569" s="2">
        <v>9829546941</v>
      </c>
      <c r="W569" s="2" t="s">
        <v>334</v>
      </c>
      <c r="X569" s="2">
        <v>60000</v>
      </c>
      <c r="Y569" s="2" t="s">
        <v>46</v>
      </c>
      <c r="Z569" s="2" t="s">
        <v>46</v>
      </c>
      <c r="AA569" s="2" t="s">
        <v>47</v>
      </c>
      <c r="AB569" s="2">
        <v>17</v>
      </c>
      <c r="AC569" s="2" t="s">
        <v>48</v>
      </c>
      <c r="AD569" s="2">
        <v>2</v>
      </c>
    </row>
    <row r="570" spans="1:30" ht="30" x14ac:dyDescent="0.25">
      <c r="A570" s="2">
        <v>11</v>
      </c>
      <c r="B570" s="2" t="s">
        <v>2616</v>
      </c>
      <c r="C570" s="2">
        <v>13279</v>
      </c>
      <c r="D570" s="3">
        <v>43655</v>
      </c>
      <c r="E570" s="2" t="s">
        <v>2617</v>
      </c>
      <c r="F570" s="2"/>
      <c r="G570" s="2" t="s">
        <v>2618</v>
      </c>
      <c r="H570" s="2" t="s">
        <v>2619</v>
      </c>
      <c r="I570" s="2" t="s">
        <v>41</v>
      </c>
      <c r="J570" s="3">
        <v>38601</v>
      </c>
      <c r="K570" s="2"/>
      <c r="L570" s="2"/>
      <c r="M570" s="2">
        <v>43</v>
      </c>
      <c r="N570" s="2">
        <v>18</v>
      </c>
      <c r="O570" s="2" t="s">
        <v>53</v>
      </c>
      <c r="P570" s="2" t="s">
        <v>43</v>
      </c>
      <c r="Q570" s="2"/>
      <c r="R570" s="2" t="s">
        <v>44</v>
      </c>
      <c r="S570" s="2">
        <v>8250215703</v>
      </c>
      <c r="T570" s="2" t="s">
        <v>2620</v>
      </c>
      <c r="U570" s="2" t="s">
        <v>2621</v>
      </c>
      <c r="V570" s="2">
        <v>9929297037</v>
      </c>
      <c r="W570" s="2" t="s">
        <v>2622</v>
      </c>
      <c r="X570" s="2">
        <v>72000</v>
      </c>
      <c r="Y570" s="2" t="s">
        <v>46</v>
      </c>
      <c r="Z570" s="2" t="s">
        <v>46</v>
      </c>
      <c r="AA570" s="2" t="s">
        <v>47</v>
      </c>
      <c r="AB570" s="2">
        <v>16</v>
      </c>
      <c r="AC570" s="2" t="s">
        <v>48</v>
      </c>
      <c r="AD570" s="2">
        <v>3</v>
      </c>
    </row>
    <row r="571" spans="1:30" ht="30" x14ac:dyDescent="0.25">
      <c r="A571" s="2">
        <v>11</v>
      </c>
      <c r="B571" s="2" t="s">
        <v>2616</v>
      </c>
      <c r="C571" s="2">
        <v>13994</v>
      </c>
      <c r="D571" s="3">
        <v>44469</v>
      </c>
      <c r="E571" s="2" t="s">
        <v>2623</v>
      </c>
      <c r="F571" s="2"/>
      <c r="G571" s="2" t="s">
        <v>2624</v>
      </c>
      <c r="H571" s="2" t="s">
        <v>1732</v>
      </c>
      <c r="I571" s="2" t="s">
        <v>41</v>
      </c>
      <c r="J571" s="3">
        <v>38573</v>
      </c>
      <c r="K571" s="2"/>
      <c r="L571" s="2"/>
      <c r="M571" s="2">
        <v>43</v>
      </c>
      <c r="N571" s="2">
        <v>2</v>
      </c>
      <c r="O571" s="2" t="s">
        <v>78</v>
      </c>
      <c r="P571" s="2" t="s">
        <v>43</v>
      </c>
      <c r="Q571" s="2"/>
      <c r="R571" s="2" t="s">
        <v>44</v>
      </c>
      <c r="S571" s="2">
        <v>8250215703</v>
      </c>
      <c r="T571" s="2" t="s">
        <v>2625</v>
      </c>
      <c r="U571" s="2" t="s">
        <v>2626</v>
      </c>
      <c r="V571" s="2">
        <v>9929184045</v>
      </c>
      <c r="W571" s="2" t="s">
        <v>2627</v>
      </c>
      <c r="X571" s="2">
        <v>50000</v>
      </c>
      <c r="Y571" s="2" t="s">
        <v>46</v>
      </c>
      <c r="Z571" s="2" t="s">
        <v>46</v>
      </c>
      <c r="AA571" s="2" t="s">
        <v>47</v>
      </c>
      <c r="AB571" s="2">
        <v>16</v>
      </c>
      <c r="AC571" s="2" t="s">
        <v>48</v>
      </c>
      <c r="AD571" s="2">
        <v>0</v>
      </c>
    </row>
    <row r="572" spans="1:30" ht="45" x14ac:dyDescent="0.25">
      <c r="A572" s="2">
        <v>11</v>
      </c>
      <c r="B572" s="2" t="s">
        <v>2616</v>
      </c>
      <c r="C572" s="2">
        <v>13277</v>
      </c>
      <c r="D572" s="3">
        <v>43655</v>
      </c>
      <c r="E572" s="2" t="s">
        <v>2628</v>
      </c>
      <c r="F572" s="2"/>
      <c r="G572" s="2" t="s">
        <v>781</v>
      </c>
      <c r="H572" s="2" t="s">
        <v>700</v>
      </c>
      <c r="I572" s="2" t="s">
        <v>41</v>
      </c>
      <c r="J572" s="3">
        <v>38193</v>
      </c>
      <c r="K572" s="2"/>
      <c r="L572" s="2"/>
      <c r="M572" s="2">
        <v>43</v>
      </c>
      <c r="N572" s="2">
        <v>13</v>
      </c>
      <c r="O572" s="2" t="s">
        <v>53</v>
      </c>
      <c r="P572" s="2" t="s">
        <v>43</v>
      </c>
      <c r="Q572" s="2"/>
      <c r="R572" s="2" t="s">
        <v>44</v>
      </c>
      <c r="S572" s="2">
        <v>8250215703</v>
      </c>
      <c r="T572" s="2" t="s">
        <v>2629</v>
      </c>
      <c r="U572" s="2" t="s">
        <v>2630</v>
      </c>
      <c r="V572" s="2">
        <v>9602849170</v>
      </c>
      <c r="W572" s="2" t="s">
        <v>2631</v>
      </c>
      <c r="X572" s="2">
        <v>36000</v>
      </c>
      <c r="Y572" s="2" t="s">
        <v>46</v>
      </c>
      <c r="Z572" s="2" t="s">
        <v>46</v>
      </c>
      <c r="AA572" s="2" t="s">
        <v>47</v>
      </c>
      <c r="AB572" s="2">
        <v>17</v>
      </c>
      <c r="AC572" s="2" t="s">
        <v>48</v>
      </c>
      <c r="AD572" s="2">
        <v>10</v>
      </c>
    </row>
    <row r="573" spans="1:30" ht="30" x14ac:dyDescent="0.25">
      <c r="A573" s="2">
        <v>11</v>
      </c>
      <c r="B573" s="2" t="s">
        <v>2616</v>
      </c>
      <c r="C573" s="2">
        <v>13214</v>
      </c>
      <c r="D573" s="3">
        <v>43649</v>
      </c>
      <c r="E573" s="2" t="s">
        <v>2632</v>
      </c>
      <c r="F573" s="2"/>
      <c r="G573" s="2" t="s">
        <v>2633</v>
      </c>
      <c r="H573" s="2" t="s">
        <v>2634</v>
      </c>
      <c r="I573" s="2" t="s">
        <v>41</v>
      </c>
      <c r="J573" s="3">
        <v>38416</v>
      </c>
      <c r="K573" s="2"/>
      <c r="L573" s="2"/>
      <c r="M573" s="2">
        <v>43</v>
      </c>
      <c r="N573" s="2">
        <v>19</v>
      </c>
      <c r="O573" s="2" t="s">
        <v>53</v>
      </c>
      <c r="P573" s="2" t="s">
        <v>43</v>
      </c>
      <c r="Q573" s="2"/>
      <c r="R573" s="2" t="s">
        <v>44</v>
      </c>
      <c r="S573" s="2">
        <v>8250215703</v>
      </c>
      <c r="T573" s="2" t="s">
        <v>2635</v>
      </c>
      <c r="U573" s="2" t="s">
        <v>2636</v>
      </c>
      <c r="V573" s="2">
        <v>9929058152</v>
      </c>
      <c r="W573" s="2" t="s">
        <v>334</v>
      </c>
      <c r="X573" s="2">
        <v>250000</v>
      </c>
      <c r="Y573" s="2" t="s">
        <v>46</v>
      </c>
      <c r="Z573" s="2" t="s">
        <v>46</v>
      </c>
      <c r="AA573" s="2" t="s">
        <v>47</v>
      </c>
      <c r="AB573" s="2">
        <v>16</v>
      </c>
      <c r="AC573" s="2" t="s">
        <v>48</v>
      </c>
      <c r="AD573" s="2">
        <v>1</v>
      </c>
    </row>
    <row r="574" spans="1:30" ht="30" x14ac:dyDescent="0.25">
      <c r="A574" s="2">
        <v>11</v>
      </c>
      <c r="B574" s="2" t="s">
        <v>2616</v>
      </c>
      <c r="C574" s="2">
        <v>13409</v>
      </c>
      <c r="D574" s="3">
        <v>43664</v>
      </c>
      <c r="E574" s="2" t="s">
        <v>2637</v>
      </c>
      <c r="F574" s="2"/>
      <c r="G574" s="2" t="s">
        <v>2638</v>
      </c>
      <c r="H574" s="2" t="s">
        <v>88</v>
      </c>
      <c r="I574" s="2" t="s">
        <v>41</v>
      </c>
      <c r="J574" s="3">
        <v>38089</v>
      </c>
      <c r="K574" s="2"/>
      <c r="L574" s="2"/>
      <c r="M574" s="2">
        <v>43</v>
      </c>
      <c r="N574" s="2">
        <v>18</v>
      </c>
      <c r="O574" s="2" t="s">
        <v>53</v>
      </c>
      <c r="P574" s="2" t="s">
        <v>43</v>
      </c>
      <c r="Q574" s="2"/>
      <c r="R574" s="2" t="s">
        <v>44</v>
      </c>
      <c r="S574" s="2">
        <v>8250215703</v>
      </c>
      <c r="T574" s="2" t="s">
        <v>2639</v>
      </c>
      <c r="U574" s="2" t="s">
        <v>2640</v>
      </c>
      <c r="V574" s="2">
        <v>8094778399</v>
      </c>
      <c r="W574" s="2" t="s">
        <v>2641</v>
      </c>
      <c r="X574" s="2">
        <v>36000</v>
      </c>
      <c r="Y574" s="2" t="s">
        <v>46</v>
      </c>
      <c r="Z574" s="2" t="s">
        <v>46</v>
      </c>
      <c r="AA574" s="2" t="s">
        <v>47</v>
      </c>
      <c r="AB574" s="2">
        <v>17</v>
      </c>
      <c r="AC574" s="2" t="s">
        <v>48</v>
      </c>
      <c r="AD574" s="2">
        <v>1</v>
      </c>
    </row>
    <row r="575" spans="1:30" ht="30" x14ac:dyDescent="0.25">
      <c r="A575" s="2">
        <v>11</v>
      </c>
      <c r="B575" s="2" t="s">
        <v>2616</v>
      </c>
      <c r="C575" s="2">
        <v>13408</v>
      </c>
      <c r="D575" s="3">
        <v>43664</v>
      </c>
      <c r="E575" s="2" t="s">
        <v>2642</v>
      </c>
      <c r="F575" s="2"/>
      <c r="G575" s="2" t="s">
        <v>2643</v>
      </c>
      <c r="H575" s="2" t="s">
        <v>1578</v>
      </c>
      <c r="I575" s="2" t="s">
        <v>41</v>
      </c>
      <c r="J575" s="3">
        <v>38725</v>
      </c>
      <c r="K575" s="2"/>
      <c r="L575" s="2"/>
      <c r="M575" s="2">
        <v>43</v>
      </c>
      <c r="N575" s="2">
        <v>16</v>
      </c>
      <c r="O575" s="2" t="s">
        <v>53</v>
      </c>
      <c r="P575" s="2" t="s">
        <v>43</v>
      </c>
      <c r="Q575" s="2"/>
      <c r="R575" s="2" t="s">
        <v>44</v>
      </c>
      <c r="S575" s="2">
        <v>8250215703</v>
      </c>
      <c r="T575" s="2" t="s">
        <v>2644</v>
      </c>
      <c r="U575" s="2" t="s">
        <v>2645</v>
      </c>
      <c r="V575" s="2">
        <v>8003976622</v>
      </c>
      <c r="W575" s="2" t="s">
        <v>2646</v>
      </c>
      <c r="X575" s="2">
        <v>48000</v>
      </c>
      <c r="Y575" s="2" t="s">
        <v>46</v>
      </c>
      <c r="Z575" s="2" t="s">
        <v>46</v>
      </c>
      <c r="AA575" s="2" t="s">
        <v>47</v>
      </c>
      <c r="AB575" s="2">
        <v>15</v>
      </c>
      <c r="AC575" s="2" t="s">
        <v>48</v>
      </c>
      <c r="AD575" s="2">
        <v>3</v>
      </c>
    </row>
    <row r="576" spans="1:30" ht="30" x14ac:dyDescent="0.25">
      <c r="A576" s="2">
        <v>11</v>
      </c>
      <c r="B576" s="2" t="s">
        <v>2616</v>
      </c>
      <c r="C576" s="2">
        <v>13207</v>
      </c>
      <c r="D576" s="3">
        <v>43649</v>
      </c>
      <c r="E576" s="2" t="s">
        <v>2647</v>
      </c>
      <c r="F576" s="2"/>
      <c r="G576" s="2" t="s">
        <v>2648</v>
      </c>
      <c r="H576" s="2" t="s">
        <v>253</v>
      </c>
      <c r="I576" s="2" t="s">
        <v>41</v>
      </c>
      <c r="J576" s="3">
        <v>38670</v>
      </c>
      <c r="K576" s="2"/>
      <c r="L576" s="2"/>
      <c r="M576" s="2">
        <v>43</v>
      </c>
      <c r="N576" s="2">
        <v>12</v>
      </c>
      <c r="O576" s="2" t="s">
        <v>78</v>
      </c>
      <c r="P576" s="2" t="s">
        <v>43</v>
      </c>
      <c r="Q576" s="2"/>
      <c r="R576" s="2" t="s">
        <v>44</v>
      </c>
      <c r="S576" s="2">
        <v>8250215703</v>
      </c>
      <c r="T576" s="2" t="s">
        <v>2649</v>
      </c>
      <c r="U576" s="2" t="s">
        <v>2650</v>
      </c>
      <c r="V576" s="2">
        <v>9929689282</v>
      </c>
      <c r="W576" s="2" t="s">
        <v>2651</v>
      </c>
      <c r="X576" s="2">
        <v>36000</v>
      </c>
      <c r="Y576" s="2" t="s">
        <v>46</v>
      </c>
      <c r="Z576" s="2" t="s">
        <v>46</v>
      </c>
      <c r="AA576" s="2" t="s">
        <v>47</v>
      </c>
      <c r="AB576" s="2">
        <v>16</v>
      </c>
      <c r="AC576" s="2" t="s">
        <v>48</v>
      </c>
      <c r="AD576" s="2">
        <v>13</v>
      </c>
    </row>
    <row r="577" spans="1:30" ht="30" x14ac:dyDescent="0.25">
      <c r="A577" s="2">
        <v>11</v>
      </c>
      <c r="B577" s="2" t="s">
        <v>2616</v>
      </c>
      <c r="C577" s="2">
        <v>13978</v>
      </c>
      <c r="D577" s="3">
        <v>44450</v>
      </c>
      <c r="E577" s="2" t="s">
        <v>2652</v>
      </c>
      <c r="F577" s="2"/>
      <c r="G577" s="2" t="s">
        <v>2653</v>
      </c>
      <c r="H577" s="2" t="s">
        <v>2654</v>
      </c>
      <c r="I577" s="2" t="s">
        <v>41</v>
      </c>
      <c r="J577" s="3">
        <v>38206</v>
      </c>
      <c r="K577" s="2"/>
      <c r="L577" s="2"/>
      <c r="M577" s="2">
        <v>43</v>
      </c>
      <c r="N577" s="2">
        <v>15</v>
      </c>
      <c r="O577" s="2" t="s">
        <v>42</v>
      </c>
      <c r="P577" s="2" t="s">
        <v>54</v>
      </c>
      <c r="Q577" s="2"/>
      <c r="R577" s="2" t="s">
        <v>44</v>
      </c>
      <c r="S577" s="2">
        <v>8250215703</v>
      </c>
      <c r="T577" s="2" t="s">
        <v>2655</v>
      </c>
      <c r="U577" s="2"/>
      <c r="V577" s="2">
        <v>9950880706</v>
      </c>
      <c r="W577" s="2" t="s">
        <v>776</v>
      </c>
      <c r="X577" s="2">
        <v>38000</v>
      </c>
      <c r="Y577" s="2" t="s">
        <v>46</v>
      </c>
      <c r="Z577" s="2" t="s">
        <v>46</v>
      </c>
      <c r="AA577" s="2" t="s">
        <v>57</v>
      </c>
      <c r="AB577" s="2">
        <v>17</v>
      </c>
      <c r="AC577" s="2" t="s">
        <v>48</v>
      </c>
      <c r="AD577" s="2">
        <v>3</v>
      </c>
    </row>
    <row r="578" spans="1:30" ht="30" x14ac:dyDescent="0.25">
      <c r="A578" s="2">
        <v>11</v>
      </c>
      <c r="B578" s="2" t="s">
        <v>2616</v>
      </c>
      <c r="C578" s="2">
        <v>13920</v>
      </c>
      <c r="D578" s="3">
        <v>44421</v>
      </c>
      <c r="E578" s="2" t="s">
        <v>2656</v>
      </c>
      <c r="F578" s="2"/>
      <c r="G578" s="2" t="s">
        <v>2187</v>
      </c>
      <c r="H578" s="2" t="s">
        <v>1012</v>
      </c>
      <c r="I578" s="2" t="s">
        <v>41</v>
      </c>
      <c r="J578" s="3">
        <v>38881</v>
      </c>
      <c r="K578" s="2"/>
      <c r="L578" s="2"/>
      <c r="M578" s="2">
        <v>43</v>
      </c>
      <c r="N578" s="2">
        <v>13</v>
      </c>
      <c r="O578" s="2" t="s">
        <v>53</v>
      </c>
      <c r="P578" s="2" t="s">
        <v>43</v>
      </c>
      <c r="Q578" s="2"/>
      <c r="R578" s="2" t="s">
        <v>44</v>
      </c>
      <c r="S578" s="2">
        <v>8250215703</v>
      </c>
      <c r="T578" s="2" t="s">
        <v>2657</v>
      </c>
      <c r="U578" s="2"/>
      <c r="V578" s="2">
        <v>9588284212</v>
      </c>
      <c r="W578" s="2" t="s">
        <v>2658</v>
      </c>
      <c r="X578" s="2">
        <v>50000</v>
      </c>
      <c r="Y578" s="2" t="s">
        <v>46</v>
      </c>
      <c r="Z578" s="2" t="s">
        <v>46</v>
      </c>
      <c r="AA578" s="2" t="s">
        <v>47</v>
      </c>
      <c r="AB578" s="2">
        <v>15</v>
      </c>
      <c r="AC578" s="2" t="s">
        <v>48</v>
      </c>
      <c r="AD578" s="2">
        <v>3</v>
      </c>
    </row>
    <row r="579" spans="1:30" ht="30" x14ac:dyDescent="0.25">
      <c r="A579" s="2">
        <v>11</v>
      </c>
      <c r="B579" s="2" t="s">
        <v>2616</v>
      </c>
      <c r="C579" s="2">
        <v>13215</v>
      </c>
      <c r="D579" s="3">
        <v>43649</v>
      </c>
      <c r="E579" s="2" t="s">
        <v>2659</v>
      </c>
      <c r="F579" s="2"/>
      <c r="G579" s="2" t="s">
        <v>461</v>
      </c>
      <c r="H579" s="2" t="s">
        <v>2660</v>
      </c>
      <c r="I579" s="2" t="s">
        <v>41</v>
      </c>
      <c r="J579" s="3">
        <v>38424</v>
      </c>
      <c r="K579" s="2"/>
      <c r="L579" s="2"/>
      <c r="M579" s="2">
        <v>43</v>
      </c>
      <c r="N579" s="2">
        <v>21</v>
      </c>
      <c r="O579" s="2" t="s">
        <v>78</v>
      </c>
      <c r="P579" s="2" t="s">
        <v>43</v>
      </c>
      <c r="Q579" s="2"/>
      <c r="R579" s="2" t="s">
        <v>44</v>
      </c>
      <c r="S579" s="2">
        <v>8250215703</v>
      </c>
      <c r="T579" s="2" t="s">
        <v>2661</v>
      </c>
      <c r="U579" s="2" t="s">
        <v>2662</v>
      </c>
      <c r="V579" s="2">
        <v>9636284717</v>
      </c>
      <c r="W579" s="2" t="s">
        <v>833</v>
      </c>
      <c r="X579" s="2">
        <v>35000</v>
      </c>
      <c r="Y579" s="2" t="s">
        <v>46</v>
      </c>
      <c r="Z579" s="2" t="s">
        <v>46</v>
      </c>
      <c r="AA579" s="2" t="s">
        <v>47</v>
      </c>
      <c r="AB579" s="2">
        <v>16</v>
      </c>
      <c r="AC579" s="2" t="s">
        <v>48</v>
      </c>
      <c r="AD579" s="2">
        <v>8</v>
      </c>
    </row>
    <row r="580" spans="1:30" ht="30" x14ac:dyDescent="0.25">
      <c r="A580" s="2">
        <v>11</v>
      </c>
      <c r="B580" s="2" t="s">
        <v>2616</v>
      </c>
      <c r="C580" s="2">
        <v>13206</v>
      </c>
      <c r="D580" s="3">
        <v>43649</v>
      </c>
      <c r="E580" s="2" t="s">
        <v>2663</v>
      </c>
      <c r="F580" s="2"/>
      <c r="G580" s="2" t="s">
        <v>1428</v>
      </c>
      <c r="H580" s="2" t="s">
        <v>1429</v>
      </c>
      <c r="I580" s="2" t="s">
        <v>41</v>
      </c>
      <c r="J580" s="3">
        <v>38415</v>
      </c>
      <c r="K580" s="2"/>
      <c r="L580" s="2"/>
      <c r="M580" s="2">
        <v>43</v>
      </c>
      <c r="N580" s="2">
        <v>18</v>
      </c>
      <c r="O580" s="2" t="s">
        <v>42</v>
      </c>
      <c r="P580" s="2" t="s">
        <v>43</v>
      </c>
      <c r="Q580" s="2"/>
      <c r="R580" s="2" t="s">
        <v>44</v>
      </c>
      <c r="S580" s="2">
        <v>8250215703</v>
      </c>
      <c r="T580" s="2" t="s">
        <v>2664</v>
      </c>
      <c r="U580" s="2" t="s">
        <v>2665</v>
      </c>
      <c r="V580" s="2">
        <v>8107292750</v>
      </c>
      <c r="W580" s="2" t="s">
        <v>2666</v>
      </c>
      <c r="X580" s="2">
        <v>60000</v>
      </c>
      <c r="Y580" s="2" t="s">
        <v>46</v>
      </c>
      <c r="Z580" s="2" t="s">
        <v>46</v>
      </c>
      <c r="AA580" s="2" t="s">
        <v>47</v>
      </c>
      <c r="AB580" s="2">
        <v>16</v>
      </c>
      <c r="AC580" s="2" t="s">
        <v>48</v>
      </c>
      <c r="AD580" s="2">
        <v>12</v>
      </c>
    </row>
    <row r="581" spans="1:30" ht="30" x14ac:dyDescent="0.25">
      <c r="A581" s="2">
        <v>11</v>
      </c>
      <c r="B581" s="2" t="s">
        <v>2616</v>
      </c>
      <c r="C581" s="2">
        <v>13815</v>
      </c>
      <c r="D581" s="3">
        <v>44403</v>
      </c>
      <c r="E581" s="2" t="s">
        <v>2667</v>
      </c>
      <c r="F581" s="2"/>
      <c r="G581" s="2" t="s">
        <v>2668</v>
      </c>
      <c r="H581" s="2" t="s">
        <v>2669</v>
      </c>
      <c r="I581" s="2" t="s">
        <v>41</v>
      </c>
      <c r="J581" s="3">
        <v>38671</v>
      </c>
      <c r="K581" s="2"/>
      <c r="L581" s="2"/>
      <c r="M581" s="2">
        <v>43</v>
      </c>
      <c r="N581" s="2">
        <v>16</v>
      </c>
      <c r="O581" s="2" t="s">
        <v>53</v>
      </c>
      <c r="P581" s="2" t="s">
        <v>43</v>
      </c>
      <c r="Q581" s="2"/>
      <c r="R581" s="2" t="s">
        <v>44</v>
      </c>
      <c r="S581" s="2">
        <v>8250215703</v>
      </c>
      <c r="T581" s="2" t="s">
        <v>2670</v>
      </c>
      <c r="U581" s="2" t="s">
        <v>2671</v>
      </c>
      <c r="V581" s="2">
        <v>9929319411</v>
      </c>
      <c r="W581" s="2" t="s">
        <v>2672</v>
      </c>
      <c r="X581" s="2">
        <v>64000</v>
      </c>
      <c r="Y581" s="2" t="s">
        <v>46</v>
      </c>
      <c r="Z581" s="2" t="s">
        <v>46</v>
      </c>
      <c r="AA581" s="2" t="s">
        <v>47</v>
      </c>
      <c r="AB581" s="2">
        <v>16</v>
      </c>
      <c r="AC581" s="2" t="s">
        <v>48</v>
      </c>
      <c r="AD581" s="2">
        <v>0</v>
      </c>
    </row>
    <row r="582" spans="1:30" ht="30" x14ac:dyDescent="0.25">
      <c r="A582" s="2">
        <v>11</v>
      </c>
      <c r="B582" s="2" t="s">
        <v>2616</v>
      </c>
      <c r="C582" s="2">
        <v>13952</v>
      </c>
      <c r="D582" s="3">
        <v>44436</v>
      </c>
      <c r="E582" s="2" t="s">
        <v>2673</v>
      </c>
      <c r="F582" s="2"/>
      <c r="G582" s="2" t="s">
        <v>2674</v>
      </c>
      <c r="H582" s="2" t="s">
        <v>2675</v>
      </c>
      <c r="I582" s="2" t="s">
        <v>52</v>
      </c>
      <c r="J582" s="3">
        <v>38789</v>
      </c>
      <c r="K582" s="2"/>
      <c r="L582" s="2"/>
      <c r="M582" s="2">
        <v>43</v>
      </c>
      <c r="N582" s="2">
        <v>22</v>
      </c>
      <c r="O582" s="2" t="s">
        <v>53</v>
      </c>
      <c r="P582" s="2" t="s">
        <v>43</v>
      </c>
      <c r="Q582" s="2"/>
      <c r="R582" s="2" t="s">
        <v>44</v>
      </c>
      <c r="S582" s="2">
        <v>8250215703</v>
      </c>
      <c r="T582" s="2" t="s">
        <v>2676</v>
      </c>
      <c r="U582" s="2"/>
      <c r="V582" s="2">
        <v>9983852970</v>
      </c>
      <c r="W582" s="2" t="s">
        <v>2677</v>
      </c>
      <c r="X582" s="2">
        <v>36000</v>
      </c>
      <c r="Y582" s="2" t="s">
        <v>46</v>
      </c>
      <c r="Z582" s="2" t="s">
        <v>46</v>
      </c>
      <c r="AA582" s="2" t="s">
        <v>47</v>
      </c>
      <c r="AB582" s="2">
        <v>15</v>
      </c>
      <c r="AC582" s="2" t="s">
        <v>48</v>
      </c>
      <c r="AD582" s="2">
        <v>2</v>
      </c>
    </row>
    <row r="583" spans="1:30" ht="30" x14ac:dyDescent="0.25">
      <c r="A583" s="2">
        <v>11</v>
      </c>
      <c r="B583" s="2" t="s">
        <v>2616</v>
      </c>
      <c r="C583" s="2">
        <v>13276</v>
      </c>
      <c r="D583" s="3">
        <v>43655</v>
      </c>
      <c r="E583" s="2" t="s">
        <v>2678</v>
      </c>
      <c r="F583" s="2"/>
      <c r="G583" s="2" t="s">
        <v>2679</v>
      </c>
      <c r="H583" s="2" t="s">
        <v>2680</v>
      </c>
      <c r="I583" s="2" t="s">
        <v>41</v>
      </c>
      <c r="J583" s="3">
        <v>38827</v>
      </c>
      <c r="K583" s="2"/>
      <c r="L583" s="2"/>
      <c r="M583" s="2">
        <v>43</v>
      </c>
      <c r="N583" s="2">
        <v>18</v>
      </c>
      <c r="O583" s="2" t="s">
        <v>42</v>
      </c>
      <c r="P583" s="2" t="s">
        <v>43</v>
      </c>
      <c r="Q583" s="2"/>
      <c r="R583" s="2" t="s">
        <v>44</v>
      </c>
      <c r="S583" s="2">
        <v>8250215703</v>
      </c>
      <c r="T583" s="2" t="s">
        <v>2681</v>
      </c>
      <c r="U583" s="2" t="s">
        <v>2682</v>
      </c>
      <c r="V583" s="2">
        <v>9929319412</v>
      </c>
      <c r="W583" s="2" t="s">
        <v>2683</v>
      </c>
      <c r="X583" s="2">
        <v>64000</v>
      </c>
      <c r="Y583" s="2" t="s">
        <v>46</v>
      </c>
      <c r="Z583" s="2" t="s">
        <v>46</v>
      </c>
      <c r="AA583" s="2" t="s">
        <v>47</v>
      </c>
      <c r="AB583" s="2">
        <v>15</v>
      </c>
      <c r="AC583" s="2" t="s">
        <v>48</v>
      </c>
      <c r="AD583" s="2">
        <v>25</v>
      </c>
    </row>
    <row r="584" spans="1:30" ht="30" x14ac:dyDescent="0.25">
      <c r="A584" s="2">
        <v>11</v>
      </c>
      <c r="B584" s="2" t="s">
        <v>2616</v>
      </c>
      <c r="C584" s="2">
        <v>13218</v>
      </c>
      <c r="D584" s="3">
        <v>43649</v>
      </c>
      <c r="E584" s="2" t="s">
        <v>2684</v>
      </c>
      <c r="F584" s="2"/>
      <c r="G584" s="2" t="s">
        <v>2685</v>
      </c>
      <c r="H584" s="2" t="s">
        <v>2686</v>
      </c>
      <c r="I584" s="2" t="s">
        <v>41</v>
      </c>
      <c r="J584" s="3">
        <v>38456</v>
      </c>
      <c r="K584" s="2"/>
      <c r="L584" s="2"/>
      <c r="M584" s="2">
        <v>43</v>
      </c>
      <c r="N584" s="2">
        <v>18</v>
      </c>
      <c r="O584" s="2" t="s">
        <v>53</v>
      </c>
      <c r="P584" s="2" t="s">
        <v>43</v>
      </c>
      <c r="Q584" s="2"/>
      <c r="R584" s="2" t="s">
        <v>44</v>
      </c>
      <c r="S584" s="2">
        <v>8250215703</v>
      </c>
      <c r="T584" s="2" t="s">
        <v>2687</v>
      </c>
      <c r="U584" s="2" t="s">
        <v>2688</v>
      </c>
      <c r="V584" s="2">
        <v>9414786282</v>
      </c>
      <c r="W584" s="2" t="s">
        <v>2689</v>
      </c>
      <c r="X584" s="2">
        <v>60000</v>
      </c>
      <c r="Y584" s="2" t="s">
        <v>46</v>
      </c>
      <c r="Z584" s="2" t="s">
        <v>46</v>
      </c>
      <c r="AA584" s="2" t="s">
        <v>47</v>
      </c>
      <c r="AB584" s="2">
        <v>16</v>
      </c>
      <c r="AC584" s="2" t="s">
        <v>48</v>
      </c>
      <c r="AD584" s="2">
        <v>2</v>
      </c>
    </row>
    <row r="585" spans="1:30" ht="30" x14ac:dyDescent="0.25">
      <c r="A585" s="2">
        <v>11</v>
      </c>
      <c r="B585" s="2" t="s">
        <v>2616</v>
      </c>
      <c r="C585" s="2">
        <v>13847</v>
      </c>
      <c r="D585" s="3">
        <v>44406</v>
      </c>
      <c r="E585" s="2" t="s">
        <v>2690</v>
      </c>
      <c r="F585" s="2"/>
      <c r="G585" s="2" t="s">
        <v>2691</v>
      </c>
      <c r="H585" s="2" t="s">
        <v>274</v>
      </c>
      <c r="I585" s="2" t="s">
        <v>41</v>
      </c>
      <c r="J585" s="3">
        <v>38196</v>
      </c>
      <c r="K585" s="2"/>
      <c r="L585" s="2"/>
      <c r="M585" s="2">
        <v>43</v>
      </c>
      <c r="N585" s="2">
        <v>14</v>
      </c>
      <c r="O585" s="2" t="s">
        <v>78</v>
      </c>
      <c r="P585" s="2" t="s">
        <v>43</v>
      </c>
      <c r="Q585" s="2"/>
      <c r="R585" s="2" t="s">
        <v>44</v>
      </c>
      <c r="S585" s="2">
        <v>8250215703</v>
      </c>
      <c r="T585" s="2" t="s">
        <v>716</v>
      </c>
      <c r="U585" s="2"/>
      <c r="V585" s="2">
        <v>8306132403</v>
      </c>
      <c r="W585" s="2" t="s">
        <v>2692</v>
      </c>
      <c r="X585" s="2">
        <v>552872</v>
      </c>
      <c r="Y585" s="2" t="s">
        <v>46</v>
      </c>
      <c r="Z585" s="2" t="s">
        <v>46</v>
      </c>
      <c r="AA585" s="2" t="s">
        <v>47</v>
      </c>
      <c r="AB585" s="2">
        <v>17</v>
      </c>
      <c r="AC585" s="2" t="s">
        <v>48</v>
      </c>
      <c r="AD585" s="2">
        <v>1</v>
      </c>
    </row>
    <row r="586" spans="1:30" ht="30" x14ac:dyDescent="0.25">
      <c r="A586" s="2">
        <v>11</v>
      </c>
      <c r="B586" s="2" t="s">
        <v>2616</v>
      </c>
      <c r="C586" s="2">
        <v>12431</v>
      </c>
      <c r="D586" s="3">
        <v>42551</v>
      </c>
      <c r="E586" s="2" t="s">
        <v>2693</v>
      </c>
      <c r="F586" s="2"/>
      <c r="G586" s="2" t="s">
        <v>2694</v>
      </c>
      <c r="H586" s="2" t="s">
        <v>2695</v>
      </c>
      <c r="I586" s="2" t="s">
        <v>41</v>
      </c>
      <c r="J586" s="3">
        <v>38895</v>
      </c>
      <c r="K586" s="2"/>
      <c r="L586" s="2"/>
      <c r="M586" s="2">
        <v>43</v>
      </c>
      <c r="N586" s="2">
        <v>20</v>
      </c>
      <c r="O586" s="2" t="s">
        <v>53</v>
      </c>
      <c r="P586" s="2" t="s">
        <v>43</v>
      </c>
      <c r="Q586" s="2"/>
      <c r="R586" s="2" t="s">
        <v>44</v>
      </c>
      <c r="S586" s="2">
        <v>8250215703</v>
      </c>
      <c r="T586" s="2" t="s">
        <v>2696</v>
      </c>
      <c r="U586" s="2"/>
      <c r="V586" s="2">
        <v>9928801357</v>
      </c>
      <c r="W586" s="2" t="s">
        <v>2697</v>
      </c>
      <c r="X586" s="2">
        <v>0</v>
      </c>
      <c r="Y586" s="2" t="s">
        <v>46</v>
      </c>
      <c r="Z586" s="2" t="s">
        <v>46</v>
      </c>
      <c r="AA586" s="2" t="s">
        <v>47</v>
      </c>
      <c r="AB586" s="2">
        <v>15</v>
      </c>
      <c r="AC586" s="2" t="s">
        <v>48</v>
      </c>
      <c r="AD586" s="2">
        <v>1</v>
      </c>
    </row>
    <row r="587" spans="1:30" ht="30" x14ac:dyDescent="0.25">
      <c r="A587" s="2">
        <v>11</v>
      </c>
      <c r="B587" s="2" t="s">
        <v>2616</v>
      </c>
      <c r="C587" s="2">
        <v>13964</v>
      </c>
      <c r="D587" s="3">
        <v>44446</v>
      </c>
      <c r="E587" s="2" t="s">
        <v>2698</v>
      </c>
      <c r="F587" s="2"/>
      <c r="G587" s="2" t="s">
        <v>2699</v>
      </c>
      <c r="H587" s="2" t="s">
        <v>905</v>
      </c>
      <c r="I587" s="2" t="s">
        <v>41</v>
      </c>
      <c r="J587" s="3">
        <v>38880</v>
      </c>
      <c r="K587" s="2"/>
      <c r="L587" s="2"/>
      <c r="M587" s="2">
        <v>43</v>
      </c>
      <c r="N587" s="2">
        <v>14</v>
      </c>
      <c r="O587" s="2" t="s">
        <v>53</v>
      </c>
      <c r="P587" s="2" t="s">
        <v>43</v>
      </c>
      <c r="Q587" s="2"/>
      <c r="R587" s="2" t="s">
        <v>44</v>
      </c>
      <c r="S587" s="2">
        <v>8250215703</v>
      </c>
      <c r="T587" s="2" t="s">
        <v>2700</v>
      </c>
      <c r="U587" s="2" t="s">
        <v>2701</v>
      </c>
      <c r="V587" s="2">
        <v>9783524321</v>
      </c>
      <c r="W587" s="2" t="s">
        <v>2702</v>
      </c>
      <c r="X587" s="2">
        <v>82000</v>
      </c>
      <c r="Y587" s="2" t="s">
        <v>46</v>
      </c>
      <c r="Z587" s="2" t="s">
        <v>46</v>
      </c>
      <c r="AA587" s="2" t="s">
        <v>47</v>
      </c>
      <c r="AB587" s="2">
        <v>15</v>
      </c>
      <c r="AC587" s="2" t="s">
        <v>48</v>
      </c>
      <c r="AD587" s="2">
        <v>2</v>
      </c>
    </row>
    <row r="588" spans="1:30" ht="30" x14ac:dyDescent="0.25">
      <c r="A588" s="2">
        <v>11</v>
      </c>
      <c r="B588" s="2" t="s">
        <v>2616</v>
      </c>
      <c r="C588" s="2">
        <v>13205</v>
      </c>
      <c r="D588" s="3">
        <v>43649</v>
      </c>
      <c r="E588" s="2" t="s">
        <v>2703</v>
      </c>
      <c r="F588" s="2"/>
      <c r="G588" s="2" t="s">
        <v>2704</v>
      </c>
      <c r="H588" s="2" t="s">
        <v>1120</v>
      </c>
      <c r="I588" s="2" t="s">
        <v>41</v>
      </c>
      <c r="J588" s="3">
        <v>38144</v>
      </c>
      <c r="K588" s="2"/>
      <c r="L588" s="2"/>
      <c r="M588" s="2">
        <v>43</v>
      </c>
      <c r="N588" s="2">
        <v>12</v>
      </c>
      <c r="O588" s="2" t="s">
        <v>53</v>
      </c>
      <c r="P588" s="2" t="s">
        <v>54</v>
      </c>
      <c r="Q588" s="2"/>
      <c r="R588" s="2" t="s">
        <v>44</v>
      </c>
      <c r="S588" s="2">
        <v>8250215703</v>
      </c>
      <c r="T588" s="2" t="s">
        <v>2705</v>
      </c>
      <c r="U588" s="2" t="s">
        <v>2706</v>
      </c>
      <c r="V588" s="2">
        <v>9929086885</v>
      </c>
      <c r="W588" s="2" t="s">
        <v>2707</v>
      </c>
      <c r="X588" s="2">
        <v>50000</v>
      </c>
      <c r="Y588" s="2" t="s">
        <v>46</v>
      </c>
      <c r="Z588" s="2" t="s">
        <v>46</v>
      </c>
      <c r="AA588" s="2" t="s">
        <v>57</v>
      </c>
      <c r="AB588" s="2">
        <v>17</v>
      </c>
      <c r="AC588" s="2" t="s">
        <v>48</v>
      </c>
      <c r="AD588" s="2">
        <v>2</v>
      </c>
    </row>
    <row r="589" spans="1:30" ht="30" x14ac:dyDescent="0.25">
      <c r="A589" s="2">
        <v>11</v>
      </c>
      <c r="B589" s="2" t="s">
        <v>2616</v>
      </c>
      <c r="C589" s="2">
        <v>12940</v>
      </c>
      <c r="D589" s="3">
        <v>43281</v>
      </c>
      <c r="E589" s="2" t="s">
        <v>2708</v>
      </c>
      <c r="F589" s="2"/>
      <c r="G589" s="2" t="s">
        <v>904</v>
      </c>
      <c r="H589" s="2" t="s">
        <v>2709</v>
      </c>
      <c r="I589" s="2" t="s">
        <v>41</v>
      </c>
      <c r="J589" s="3">
        <v>38102</v>
      </c>
      <c r="K589" s="2"/>
      <c r="L589" s="2"/>
      <c r="M589" s="2">
        <v>43</v>
      </c>
      <c r="N589" s="2">
        <v>13</v>
      </c>
      <c r="O589" s="2" t="s">
        <v>53</v>
      </c>
      <c r="P589" s="2" t="s">
        <v>43</v>
      </c>
      <c r="Q589" s="2"/>
      <c r="R589" s="2" t="s">
        <v>44</v>
      </c>
      <c r="S589" s="2">
        <v>8250215703</v>
      </c>
      <c r="T589" s="2" t="s">
        <v>1568</v>
      </c>
      <c r="U589" s="2" t="s">
        <v>2710</v>
      </c>
      <c r="V589" s="2">
        <v>9660924289</v>
      </c>
      <c r="W589" s="2" t="s">
        <v>2711</v>
      </c>
      <c r="X589" s="2">
        <v>36000</v>
      </c>
      <c r="Y589" s="2" t="s">
        <v>46</v>
      </c>
      <c r="Z589" s="2" t="s">
        <v>46</v>
      </c>
      <c r="AA589" s="2" t="s">
        <v>47</v>
      </c>
      <c r="AB589" s="2">
        <v>17</v>
      </c>
      <c r="AC589" s="2" t="s">
        <v>48</v>
      </c>
      <c r="AD589" s="2">
        <v>10</v>
      </c>
    </row>
    <row r="590" spans="1:30" ht="45" x14ac:dyDescent="0.25">
      <c r="A590" s="2">
        <v>11</v>
      </c>
      <c r="B590" s="2" t="s">
        <v>2616</v>
      </c>
      <c r="C590" s="2">
        <v>13272</v>
      </c>
      <c r="D590" s="3">
        <v>43655</v>
      </c>
      <c r="E590" s="2" t="s">
        <v>2712</v>
      </c>
      <c r="F590" s="2"/>
      <c r="G590" s="2" t="s">
        <v>2713</v>
      </c>
      <c r="H590" s="2" t="s">
        <v>2714</v>
      </c>
      <c r="I590" s="2" t="s">
        <v>41</v>
      </c>
      <c r="J590" s="3">
        <v>38821</v>
      </c>
      <c r="K590" s="2"/>
      <c r="L590" s="2"/>
      <c r="M590" s="2">
        <v>43</v>
      </c>
      <c r="N590" s="2">
        <v>12</v>
      </c>
      <c r="O590" s="2" t="s">
        <v>53</v>
      </c>
      <c r="P590" s="2" t="s">
        <v>43</v>
      </c>
      <c r="Q590" s="2"/>
      <c r="R590" s="2" t="s">
        <v>44</v>
      </c>
      <c r="S590" s="2">
        <v>8250215703</v>
      </c>
      <c r="T590" s="2" t="s">
        <v>2715</v>
      </c>
      <c r="U590" s="2" t="s">
        <v>2716</v>
      </c>
      <c r="V590" s="2">
        <v>6377589664</v>
      </c>
      <c r="W590" s="2" t="s">
        <v>2717</v>
      </c>
      <c r="X590" s="2">
        <v>50000</v>
      </c>
      <c r="Y590" s="2" t="s">
        <v>46</v>
      </c>
      <c r="Z590" s="2" t="s">
        <v>46</v>
      </c>
      <c r="AA590" s="2" t="s">
        <v>47</v>
      </c>
      <c r="AB590" s="2">
        <v>15</v>
      </c>
      <c r="AC590" s="2" t="s">
        <v>48</v>
      </c>
      <c r="AD590" s="2">
        <v>4</v>
      </c>
    </row>
    <row r="591" spans="1:30" ht="30" x14ac:dyDescent="0.25">
      <c r="A591" s="2">
        <v>11</v>
      </c>
      <c r="B591" s="2" t="s">
        <v>2616</v>
      </c>
      <c r="C591" s="2">
        <v>13868</v>
      </c>
      <c r="D591" s="3">
        <v>44406</v>
      </c>
      <c r="E591" s="2" t="s">
        <v>2718</v>
      </c>
      <c r="F591" s="2"/>
      <c r="G591" s="2" t="s">
        <v>2719</v>
      </c>
      <c r="H591" s="2" t="s">
        <v>2720</v>
      </c>
      <c r="I591" s="2" t="s">
        <v>52</v>
      </c>
      <c r="J591" s="3">
        <v>38203</v>
      </c>
      <c r="K591" s="2"/>
      <c r="L591" s="2"/>
      <c r="M591" s="2">
        <v>43</v>
      </c>
      <c r="N591" s="2">
        <v>13</v>
      </c>
      <c r="O591" s="2" t="s">
        <v>773</v>
      </c>
      <c r="P591" s="2" t="s">
        <v>43</v>
      </c>
      <c r="Q591" s="2"/>
      <c r="R591" s="2" t="s">
        <v>44</v>
      </c>
      <c r="S591" s="2">
        <v>8250215703</v>
      </c>
      <c r="T591" s="2" t="s">
        <v>2721</v>
      </c>
      <c r="U591" s="2" t="s">
        <v>2722</v>
      </c>
      <c r="V591" s="2">
        <v>9799465456</v>
      </c>
      <c r="W591" s="2" t="s">
        <v>2723</v>
      </c>
      <c r="X591" s="2">
        <v>160000</v>
      </c>
      <c r="Y591" s="2" t="s">
        <v>46</v>
      </c>
      <c r="Z591" s="2" t="s">
        <v>46</v>
      </c>
      <c r="AA591" s="2" t="s">
        <v>47</v>
      </c>
      <c r="AB591" s="2">
        <v>17</v>
      </c>
      <c r="AC591" s="2" t="s">
        <v>48</v>
      </c>
      <c r="AD591" s="2">
        <v>2</v>
      </c>
    </row>
    <row r="592" spans="1:30" ht="30" x14ac:dyDescent="0.25">
      <c r="A592" s="2">
        <v>11</v>
      </c>
      <c r="B592" s="2" t="s">
        <v>2616</v>
      </c>
      <c r="C592" s="2">
        <v>13965</v>
      </c>
      <c r="D592" s="3">
        <v>44446</v>
      </c>
      <c r="E592" s="2" t="s">
        <v>957</v>
      </c>
      <c r="F592" s="2"/>
      <c r="G592" s="2" t="s">
        <v>2724</v>
      </c>
      <c r="H592" s="2" t="s">
        <v>735</v>
      </c>
      <c r="I592" s="2" t="s">
        <v>41</v>
      </c>
      <c r="J592" s="3">
        <v>38788</v>
      </c>
      <c r="K592" s="2"/>
      <c r="L592" s="2"/>
      <c r="M592" s="2">
        <v>43</v>
      </c>
      <c r="N592" s="2">
        <v>12</v>
      </c>
      <c r="O592" s="2" t="s">
        <v>53</v>
      </c>
      <c r="P592" s="2" t="s">
        <v>43</v>
      </c>
      <c r="Q592" s="2"/>
      <c r="R592" s="2" t="s">
        <v>44</v>
      </c>
      <c r="S592" s="2">
        <v>8250215703</v>
      </c>
      <c r="T592" s="2" t="s">
        <v>2725</v>
      </c>
      <c r="U592" s="2" t="s">
        <v>2726</v>
      </c>
      <c r="V592" s="2">
        <v>8003402185</v>
      </c>
      <c r="W592" s="2" t="s">
        <v>2335</v>
      </c>
      <c r="X592" s="2">
        <v>40000</v>
      </c>
      <c r="Y592" s="2" t="s">
        <v>46</v>
      </c>
      <c r="Z592" s="2" t="s">
        <v>46</v>
      </c>
      <c r="AA592" s="2" t="s">
        <v>47</v>
      </c>
      <c r="AB592" s="2">
        <v>15</v>
      </c>
      <c r="AC592" s="2" t="s">
        <v>48</v>
      </c>
      <c r="AD592" s="2">
        <v>22</v>
      </c>
    </row>
    <row r="593" spans="1:30" ht="30" x14ac:dyDescent="0.25">
      <c r="A593" s="2">
        <v>11</v>
      </c>
      <c r="B593" s="2" t="s">
        <v>2616</v>
      </c>
      <c r="C593" s="2">
        <v>13788</v>
      </c>
      <c r="D593" s="3">
        <v>44399</v>
      </c>
      <c r="E593" s="2" t="s">
        <v>2727</v>
      </c>
      <c r="F593" s="2" t="s">
        <v>229</v>
      </c>
      <c r="G593" s="2" t="s">
        <v>2728</v>
      </c>
      <c r="H593" s="2" t="s">
        <v>2729</v>
      </c>
      <c r="I593" s="2" t="s">
        <v>52</v>
      </c>
      <c r="J593" s="3">
        <v>38592</v>
      </c>
      <c r="K593" s="2"/>
      <c r="L593" s="2"/>
      <c r="M593" s="2">
        <v>43</v>
      </c>
      <c r="N593" s="2">
        <v>19</v>
      </c>
      <c r="O593" s="2" t="s">
        <v>773</v>
      </c>
      <c r="P593" s="2" t="s">
        <v>43</v>
      </c>
      <c r="Q593" s="2"/>
      <c r="R593" s="2" t="s">
        <v>44</v>
      </c>
      <c r="S593" s="2">
        <v>8250215703</v>
      </c>
      <c r="T593" s="2" t="s">
        <v>2730</v>
      </c>
      <c r="U593" s="2"/>
      <c r="V593" s="2">
        <v>9636336162</v>
      </c>
      <c r="W593" s="2" t="s">
        <v>2731</v>
      </c>
      <c r="X593" s="2">
        <v>0</v>
      </c>
      <c r="Y593" s="2" t="s">
        <v>46</v>
      </c>
      <c r="Z593" s="2" t="s">
        <v>46</v>
      </c>
      <c r="AA593" s="2" t="s">
        <v>47</v>
      </c>
      <c r="AB593" s="2">
        <v>16</v>
      </c>
      <c r="AC593" s="2" t="s">
        <v>48</v>
      </c>
      <c r="AD593" s="2">
        <v>2</v>
      </c>
    </row>
    <row r="594" spans="1:30" ht="30" x14ac:dyDescent="0.25">
      <c r="A594" s="2">
        <v>11</v>
      </c>
      <c r="B594" s="2" t="s">
        <v>2616</v>
      </c>
      <c r="C594" s="2">
        <v>13715</v>
      </c>
      <c r="D594" s="3">
        <v>44384</v>
      </c>
      <c r="E594" s="2" t="s">
        <v>2732</v>
      </c>
      <c r="F594" s="2"/>
      <c r="G594" s="2" t="s">
        <v>2733</v>
      </c>
      <c r="H594" s="2" t="s">
        <v>2734</v>
      </c>
      <c r="I594" s="2" t="s">
        <v>52</v>
      </c>
      <c r="J594" s="3">
        <v>38765</v>
      </c>
      <c r="K594" s="2"/>
      <c r="L594" s="2"/>
      <c r="M594" s="2">
        <v>43</v>
      </c>
      <c r="N594" s="2">
        <v>11</v>
      </c>
      <c r="O594" s="2" t="s">
        <v>42</v>
      </c>
      <c r="P594" s="2" t="s">
        <v>43</v>
      </c>
      <c r="Q594" s="2"/>
      <c r="R594" s="2" t="s">
        <v>44</v>
      </c>
      <c r="S594" s="2">
        <v>8250215703</v>
      </c>
      <c r="T594" s="2" t="s">
        <v>2735</v>
      </c>
      <c r="U594" s="2" t="s">
        <v>2736</v>
      </c>
      <c r="V594" s="2">
        <v>9057653102</v>
      </c>
      <c r="W594" s="2" t="s">
        <v>2737</v>
      </c>
      <c r="X594" s="2">
        <v>50000</v>
      </c>
      <c r="Y594" s="2" t="s">
        <v>46</v>
      </c>
      <c r="Z594" s="2" t="s">
        <v>46</v>
      </c>
      <c r="AA594" s="2" t="s">
        <v>47</v>
      </c>
      <c r="AB594" s="2">
        <v>15</v>
      </c>
      <c r="AC594" s="2" t="s">
        <v>48</v>
      </c>
      <c r="AD594" s="2">
        <v>2</v>
      </c>
    </row>
    <row r="595" spans="1:30" ht="45" x14ac:dyDescent="0.25">
      <c r="A595" s="2">
        <v>11</v>
      </c>
      <c r="B595" s="2" t="s">
        <v>2616</v>
      </c>
      <c r="C595" s="2">
        <v>13712</v>
      </c>
      <c r="D595" s="3">
        <v>44384</v>
      </c>
      <c r="E595" s="2" t="s">
        <v>2738</v>
      </c>
      <c r="F595" s="2"/>
      <c r="G595" s="2" t="s">
        <v>2739</v>
      </c>
      <c r="H595" s="2" t="s">
        <v>595</v>
      </c>
      <c r="I595" s="2" t="s">
        <v>52</v>
      </c>
      <c r="J595" s="3">
        <v>38104</v>
      </c>
      <c r="K595" s="2"/>
      <c r="L595" s="2"/>
      <c r="M595" s="2">
        <v>43</v>
      </c>
      <c r="N595" s="2">
        <v>19</v>
      </c>
      <c r="O595" s="2" t="s">
        <v>53</v>
      </c>
      <c r="P595" s="2" t="s">
        <v>43</v>
      </c>
      <c r="Q595" s="2"/>
      <c r="R595" s="2" t="s">
        <v>44</v>
      </c>
      <c r="S595" s="2">
        <v>8250215703</v>
      </c>
      <c r="T595" s="2" t="s">
        <v>2740</v>
      </c>
      <c r="U595" s="2" t="s">
        <v>2741</v>
      </c>
      <c r="V595" s="2">
        <v>9660718652</v>
      </c>
      <c r="W595" s="2" t="s">
        <v>1374</v>
      </c>
      <c r="X595" s="2">
        <v>40000</v>
      </c>
      <c r="Y595" s="2" t="s">
        <v>46</v>
      </c>
      <c r="Z595" s="2" t="s">
        <v>46</v>
      </c>
      <c r="AA595" s="2" t="s">
        <v>47</v>
      </c>
      <c r="AB595" s="2">
        <v>17</v>
      </c>
      <c r="AC595" s="2" t="s">
        <v>48</v>
      </c>
      <c r="AD595" s="2">
        <v>1</v>
      </c>
    </row>
    <row r="596" spans="1:30" ht="30" x14ac:dyDescent="0.25">
      <c r="A596" s="2">
        <v>11</v>
      </c>
      <c r="B596" s="2" t="s">
        <v>2616</v>
      </c>
      <c r="C596" s="2">
        <v>13893</v>
      </c>
      <c r="D596" s="3">
        <v>44413</v>
      </c>
      <c r="E596" s="2" t="s">
        <v>2742</v>
      </c>
      <c r="F596" s="2" t="s">
        <v>229</v>
      </c>
      <c r="G596" s="2" t="s">
        <v>2743</v>
      </c>
      <c r="H596" s="2" t="s">
        <v>1346</v>
      </c>
      <c r="I596" s="2" t="s">
        <v>52</v>
      </c>
      <c r="J596" s="3">
        <v>38260</v>
      </c>
      <c r="K596" s="2"/>
      <c r="L596" s="2"/>
      <c r="M596" s="2">
        <v>43</v>
      </c>
      <c r="N596" s="2">
        <v>17</v>
      </c>
      <c r="O596" s="2" t="s">
        <v>53</v>
      </c>
      <c r="P596" s="2" t="s">
        <v>43</v>
      </c>
      <c r="Q596" s="2"/>
      <c r="R596" s="2" t="s">
        <v>44</v>
      </c>
      <c r="S596" s="2">
        <v>8250215703</v>
      </c>
      <c r="T596" s="2" t="s">
        <v>2744</v>
      </c>
      <c r="U596" s="2"/>
      <c r="V596" s="2">
        <v>9460700506</v>
      </c>
      <c r="W596" s="2" t="s">
        <v>2745</v>
      </c>
      <c r="X596" s="2">
        <v>0</v>
      </c>
      <c r="Y596" s="2" t="s">
        <v>46</v>
      </c>
      <c r="Z596" s="2" t="s">
        <v>46</v>
      </c>
      <c r="AA596" s="2" t="s">
        <v>47</v>
      </c>
      <c r="AB596" s="2">
        <v>17</v>
      </c>
      <c r="AC596" s="2" t="s">
        <v>48</v>
      </c>
      <c r="AD596" s="2">
        <v>1</v>
      </c>
    </row>
    <row r="597" spans="1:30" ht="30" x14ac:dyDescent="0.25">
      <c r="A597" s="2">
        <v>11</v>
      </c>
      <c r="B597" s="2" t="s">
        <v>2616</v>
      </c>
      <c r="C597" s="2">
        <v>13951</v>
      </c>
      <c r="D597" s="3">
        <v>44436</v>
      </c>
      <c r="E597" s="2" t="s">
        <v>2746</v>
      </c>
      <c r="F597" s="2"/>
      <c r="G597" s="2" t="s">
        <v>2747</v>
      </c>
      <c r="H597" s="2" t="s">
        <v>2329</v>
      </c>
      <c r="I597" s="2" t="s">
        <v>41</v>
      </c>
      <c r="J597" s="3">
        <v>38508</v>
      </c>
      <c r="K597" s="2"/>
      <c r="L597" s="2"/>
      <c r="M597" s="2">
        <v>43</v>
      </c>
      <c r="N597" s="2">
        <v>14</v>
      </c>
      <c r="O597" s="2" t="s">
        <v>78</v>
      </c>
      <c r="P597" s="2" t="s">
        <v>43</v>
      </c>
      <c r="Q597" s="2"/>
      <c r="R597" s="2" t="s">
        <v>44</v>
      </c>
      <c r="S597" s="2">
        <v>8250215703</v>
      </c>
      <c r="T597" s="2" t="s">
        <v>2748</v>
      </c>
      <c r="U597" s="2" t="s">
        <v>2749</v>
      </c>
      <c r="V597" s="2">
        <v>9950413585</v>
      </c>
      <c r="W597" s="2" t="s">
        <v>2750</v>
      </c>
      <c r="X597" s="2">
        <v>80000</v>
      </c>
      <c r="Y597" s="2" t="s">
        <v>46</v>
      </c>
      <c r="Z597" s="2" t="s">
        <v>240</v>
      </c>
      <c r="AA597" s="2" t="s">
        <v>47</v>
      </c>
      <c r="AB597" s="2">
        <v>16</v>
      </c>
      <c r="AC597" s="2" t="s">
        <v>48</v>
      </c>
      <c r="AD597" s="2">
        <v>0</v>
      </c>
    </row>
    <row r="598" spans="1:30" ht="30" x14ac:dyDescent="0.25">
      <c r="A598" s="2">
        <v>11</v>
      </c>
      <c r="B598" s="2" t="s">
        <v>2616</v>
      </c>
      <c r="C598" s="2">
        <v>13758</v>
      </c>
      <c r="D598" s="3">
        <v>44394</v>
      </c>
      <c r="E598" s="2" t="s">
        <v>2751</v>
      </c>
      <c r="F598" s="2"/>
      <c r="G598" s="2" t="s">
        <v>1186</v>
      </c>
      <c r="H598" s="2" t="s">
        <v>2752</v>
      </c>
      <c r="I598" s="2" t="s">
        <v>41</v>
      </c>
      <c r="J598" s="3">
        <v>38407</v>
      </c>
      <c r="K598" s="2"/>
      <c r="L598" s="2"/>
      <c r="M598" s="2">
        <v>43</v>
      </c>
      <c r="N598" s="2">
        <v>18</v>
      </c>
      <c r="O598" s="2" t="s">
        <v>78</v>
      </c>
      <c r="P598" s="2" t="s">
        <v>43</v>
      </c>
      <c r="Q598" s="2"/>
      <c r="R598" s="2" t="s">
        <v>44</v>
      </c>
      <c r="S598" s="2">
        <v>8250215703</v>
      </c>
      <c r="T598" s="2" t="s">
        <v>2753</v>
      </c>
      <c r="U598" s="2" t="s">
        <v>2754</v>
      </c>
      <c r="V598" s="2">
        <v>9413780307</v>
      </c>
      <c r="W598" s="2" t="s">
        <v>2755</v>
      </c>
      <c r="X598" s="2">
        <v>48000</v>
      </c>
      <c r="Y598" s="2" t="s">
        <v>46</v>
      </c>
      <c r="Z598" s="2" t="s">
        <v>46</v>
      </c>
      <c r="AA598" s="2" t="s">
        <v>47</v>
      </c>
      <c r="AB598" s="2">
        <v>16</v>
      </c>
      <c r="AC598" s="2" t="s">
        <v>48</v>
      </c>
      <c r="AD598" s="2">
        <v>1</v>
      </c>
    </row>
    <row r="599" spans="1:30" ht="30" x14ac:dyDescent="0.25">
      <c r="A599" s="2">
        <v>11</v>
      </c>
      <c r="B599" s="2" t="s">
        <v>2616</v>
      </c>
      <c r="C599" s="2">
        <v>13837</v>
      </c>
      <c r="D599" s="3">
        <v>44405</v>
      </c>
      <c r="E599" s="2" t="s">
        <v>2756</v>
      </c>
      <c r="F599" s="2"/>
      <c r="G599" s="2" t="s">
        <v>2757</v>
      </c>
      <c r="H599" s="2" t="s">
        <v>2758</v>
      </c>
      <c r="I599" s="2" t="s">
        <v>52</v>
      </c>
      <c r="J599" s="3">
        <v>38264</v>
      </c>
      <c r="K599" s="2"/>
      <c r="L599" s="2"/>
      <c r="M599" s="2">
        <v>43</v>
      </c>
      <c r="N599" s="2">
        <v>15</v>
      </c>
      <c r="O599" s="2" t="s">
        <v>78</v>
      </c>
      <c r="P599" s="2" t="s">
        <v>43</v>
      </c>
      <c r="Q599" s="2"/>
      <c r="R599" s="2" t="s">
        <v>44</v>
      </c>
      <c r="S599" s="2">
        <v>8250215703</v>
      </c>
      <c r="T599" s="2" t="s">
        <v>2759</v>
      </c>
      <c r="U599" s="2" t="s">
        <v>2760</v>
      </c>
      <c r="V599" s="2">
        <v>8696540858</v>
      </c>
      <c r="W599" s="2" t="s">
        <v>2761</v>
      </c>
      <c r="X599" s="2">
        <v>36000</v>
      </c>
      <c r="Y599" s="2" t="s">
        <v>46</v>
      </c>
      <c r="Z599" s="2" t="s">
        <v>46</v>
      </c>
      <c r="AA599" s="2" t="s">
        <v>47</v>
      </c>
      <c r="AB599" s="2">
        <v>17</v>
      </c>
      <c r="AC599" s="2" t="s">
        <v>48</v>
      </c>
      <c r="AD599" s="2">
        <v>27</v>
      </c>
    </row>
    <row r="600" spans="1:30" ht="30" x14ac:dyDescent="0.25">
      <c r="A600" s="2">
        <v>11</v>
      </c>
      <c r="B600" s="2" t="s">
        <v>2616</v>
      </c>
      <c r="C600" s="2">
        <v>13867</v>
      </c>
      <c r="D600" s="3">
        <v>44406</v>
      </c>
      <c r="E600" s="2" t="s">
        <v>2762</v>
      </c>
      <c r="F600" s="2"/>
      <c r="G600" s="2" t="s">
        <v>2763</v>
      </c>
      <c r="H600" s="2" t="s">
        <v>2764</v>
      </c>
      <c r="I600" s="2" t="s">
        <v>41</v>
      </c>
      <c r="J600" s="3">
        <v>38202</v>
      </c>
      <c r="K600" s="2"/>
      <c r="L600" s="2"/>
      <c r="M600" s="2">
        <v>43</v>
      </c>
      <c r="N600" s="2">
        <v>9</v>
      </c>
      <c r="O600" s="2" t="s">
        <v>42</v>
      </c>
      <c r="P600" s="2" t="s">
        <v>54</v>
      </c>
      <c r="Q600" s="2"/>
      <c r="R600" s="2" t="s">
        <v>44</v>
      </c>
      <c r="S600" s="2">
        <v>8250215703</v>
      </c>
      <c r="T600" s="2" t="s">
        <v>2765</v>
      </c>
      <c r="U600" s="2" t="s">
        <v>2766</v>
      </c>
      <c r="V600" s="2">
        <v>9414786179</v>
      </c>
      <c r="W600" s="2" t="s">
        <v>1134</v>
      </c>
      <c r="X600" s="2">
        <v>960000</v>
      </c>
      <c r="Y600" s="2" t="s">
        <v>46</v>
      </c>
      <c r="Z600" s="2" t="s">
        <v>46</v>
      </c>
      <c r="AA600" s="2" t="s">
        <v>57</v>
      </c>
      <c r="AB600" s="2">
        <v>17</v>
      </c>
      <c r="AC600" s="2" t="s">
        <v>48</v>
      </c>
      <c r="AD600" s="2">
        <v>1</v>
      </c>
    </row>
    <row r="601" spans="1:30" ht="30" x14ac:dyDescent="0.25">
      <c r="A601" s="2">
        <v>11</v>
      </c>
      <c r="B601" s="2" t="s">
        <v>2616</v>
      </c>
      <c r="C601" s="2">
        <v>13212</v>
      </c>
      <c r="D601" s="3">
        <v>43649</v>
      </c>
      <c r="E601" s="2" t="s">
        <v>2767</v>
      </c>
      <c r="F601" s="2" t="s">
        <v>229</v>
      </c>
      <c r="G601" s="2" t="s">
        <v>2768</v>
      </c>
      <c r="H601" s="2" t="s">
        <v>2769</v>
      </c>
      <c r="I601" s="2" t="s">
        <v>41</v>
      </c>
      <c r="J601" s="3">
        <v>38673</v>
      </c>
      <c r="K601" s="2"/>
      <c r="L601" s="2"/>
      <c r="M601" s="2">
        <v>43</v>
      </c>
      <c r="N601" s="2">
        <v>16</v>
      </c>
      <c r="O601" s="2" t="s">
        <v>42</v>
      </c>
      <c r="P601" s="2" t="s">
        <v>54</v>
      </c>
      <c r="Q601" s="2"/>
      <c r="R601" s="2" t="s">
        <v>44</v>
      </c>
      <c r="S601" s="2">
        <v>8250215703</v>
      </c>
      <c r="T601" s="2" t="s">
        <v>2770</v>
      </c>
      <c r="U601" s="2" t="s">
        <v>2771</v>
      </c>
      <c r="V601" s="2">
        <v>9549156758</v>
      </c>
      <c r="W601" s="2" t="s">
        <v>1134</v>
      </c>
      <c r="X601" s="2">
        <v>0</v>
      </c>
      <c r="Y601" s="2" t="s">
        <v>46</v>
      </c>
      <c r="Z601" s="2" t="s">
        <v>46</v>
      </c>
      <c r="AA601" s="2" t="s">
        <v>57</v>
      </c>
      <c r="AB601" s="2">
        <v>16</v>
      </c>
      <c r="AC601" s="2" t="s">
        <v>48</v>
      </c>
      <c r="AD601" s="2">
        <v>2</v>
      </c>
    </row>
    <row r="602" spans="1:30" ht="30" x14ac:dyDescent="0.25">
      <c r="A602" s="2">
        <v>11</v>
      </c>
      <c r="B602" s="2" t="s">
        <v>2616</v>
      </c>
      <c r="C602" s="2">
        <v>13427</v>
      </c>
      <c r="D602" s="3">
        <v>43698</v>
      </c>
      <c r="E602" s="2" t="s">
        <v>2772</v>
      </c>
      <c r="F602" s="2"/>
      <c r="G602" s="2" t="s">
        <v>2773</v>
      </c>
      <c r="H602" s="2" t="s">
        <v>2774</v>
      </c>
      <c r="I602" s="2" t="s">
        <v>41</v>
      </c>
      <c r="J602" s="3">
        <v>38225</v>
      </c>
      <c r="K602" s="2"/>
      <c r="L602" s="2"/>
      <c r="M602" s="2">
        <v>43</v>
      </c>
      <c r="N602" s="2">
        <v>17</v>
      </c>
      <c r="O602" s="2" t="s">
        <v>42</v>
      </c>
      <c r="P602" s="2" t="s">
        <v>54</v>
      </c>
      <c r="Q602" s="2"/>
      <c r="R602" s="2" t="s">
        <v>44</v>
      </c>
      <c r="S602" s="2">
        <v>8250215703</v>
      </c>
      <c r="T602" s="2" t="s">
        <v>2775</v>
      </c>
      <c r="U602" s="2"/>
      <c r="V602" s="2">
        <v>9460209073</v>
      </c>
      <c r="W602" s="2" t="s">
        <v>1506</v>
      </c>
      <c r="X602" s="2">
        <v>50000</v>
      </c>
      <c r="Y602" s="2" t="s">
        <v>46</v>
      </c>
      <c r="Z602" s="2" t="s">
        <v>46</v>
      </c>
      <c r="AA602" s="2" t="s">
        <v>57</v>
      </c>
      <c r="AB602" s="2">
        <v>17</v>
      </c>
      <c r="AC602" s="2" t="s">
        <v>48</v>
      </c>
      <c r="AD602" s="2">
        <v>1</v>
      </c>
    </row>
    <row r="603" spans="1:30" ht="30" x14ac:dyDescent="0.25">
      <c r="A603" s="2">
        <v>11</v>
      </c>
      <c r="B603" s="2" t="s">
        <v>2616</v>
      </c>
      <c r="C603" s="2">
        <v>13827</v>
      </c>
      <c r="D603" s="3">
        <v>44405</v>
      </c>
      <c r="E603" s="2" t="s">
        <v>2776</v>
      </c>
      <c r="F603" s="2"/>
      <c r="G603" s="2" t="s">
        <v>2777</v>
      </c>
      <c r="H603" s="2" t="s">
        <v>2778</v>
      </c>
      <c r="I603" s="2" t="s">
        <v>41</v>
      </c>
      <c r="J603" s="3">
        <v>38591</v>
      </c>
      <c r="K603" s="2"/>
      <c r="L603" s="2"/>
      <c r="M603" s="2">
        <v>43</v>
      </c>
      <c r="N603" s="2">
        <v>14</v>
      </c>
      <c r="O603" s="2" t="s">
        <v>78</v>
      </c>
      <c r="P603" s="2" t="s">
        <v>43</v>
      </c>
      <c r="Q603" s="2"/>
      <c r="R603" s="2" t="s">
        <v>44</v>
      </c>
      <c r="S603" s="2">
        <v>8250215703</v>
      </c>
      <c r="T603" s="2" t="s">
        <v>2779</v>
      </c>
      <c r="U603" s="2" t="s">
        <v>2780</v>
      </c>
      <c r="V603" s="2">
        <v>9414196972</v>
      </c>
      <c r="W603" s="2" t="s">
        <v>2781</v>
      </c>
      <c r="X603" s="2">
        <v>36000</v>
      </c>
      <c r="Y603" s="2" t="s">
        <v>46</v>
      </c>
      <c r="Z603" s="2" t="s">
        <v>46</v>
      </c>
      <c r="AA603" s="2" t="s">
        <v>47</v>
      </c>
      <c r="AB603" s="2">
        <v>16</v>
      </c>
      <c r="AC603" s="2" t="s">
        <v>48</v>
      </c>
      <c r="AD603" s="2">
        <v>2</v>
      </c>
    </row>
    <row r="604" spans="1:30" ht="30" x14ac:dyDescent="0.25">
      <c r="A604" s="2">
        <v>11</v>
      </c>
      <c r="B604" s="2" t="s">
        <v>2616</v>
      </c>
      <c r="C604" s="2">
        <v>13953</v>
      </c>
      <c r="D604" s="3">
        <v>44483</v>
      </c>
      <c r="E604" s="2" t="s">
        <v>2782</v>
      </c>
      <c r="F604" s="2"/>
      <c r="G604" s="2" t="s">
        <v>2783</v>
      </c>
      <c r="H604" s="2" t="s">
        <v>2784</v>
      </c>
      <c r="I604" s="2" t="s">
        <v>41</v>
      </c>
      <c r="J604" s="3">
        <v>38460</v>
      </c>
      <c r="K604" s="2"/>
      <c r="L604" s="2"/>
      <c r="M604" s="2">
        <v>43</v>
      </c>
      <c r="N604" s="2">
        <v>18</v>
      </c>
      <c r="O604" s="2" t="s">
        <v>53</v>
      </c>
      <c r="P604" s="2" t="s">
        <v>43</v>
      </c>
      <c r="Q604" s="2"/>
      <c r="R604" s="2" t="s">
        <v>44</v>
      </c>
      <c r="S604" s="2">
        <v>8250215703</v>
      </c>
      <c r="T604" s="2" t="s">
        <v>2785</v>
      </c>
      <c r="U604" s="2"/>
      <c r="V604" s="2">
        <v>9413812121</v>
      </c>
      <c r="W604" s="2" t="s">
        <v>2786</v>
      </c>
      <c r="X604" s="2">
        <v>60000</v>
      </c>
      <c r="Y604" s="2" t="s">
        <v>46</v>
      </c>
      <c r="Z604" s="2" t="s">
        <v>46</v>
      </c>
      <c r="AA604" s="2" t="s">
        <v>47</v>
      </c>
      <c r="AB604" s="2">
        <v>16</v>
      </c>
      <c r="AC604" s="2" t="s">
        <v>48</v>
      </c>
      <c r="AD604" s="2">
        <v>2</v>
      </c>
    </row>
    <row r="605" spans="1:30" ht="30" x14ac:dyDescent="0.25">
      <c r="A605" s="2">
        <v>11</v>
      </c>
      <c r="B605" s="2" t="s">
        <v>2616</v>
      </c>
      <c r="C605" s="2">
        <v>13259</v>
      </c>
      <c r="D605" s="3">
        <v>43654</v>
      </c>
      <c r="E605" s="2" t="s">
        <v>1194</v>
      </c>
      <c r="F605" s="2"/>
      <c r="G605" s="2" t="s">
        <v>2787</v>
      </c>
      <c r="H605" s="2" t="s">
        <v>231</v>
      </c>
      <c r="I605" s="2" t="s">
        <v>41</v>
      </c>
      <c r="J605" s="3">
        <v>38908</v>
      </c>
      <c r="K605" s="2"/>
      <c r="L605" s="2"/>
      <c r="M605" s="2">
        <v>43</v>
      </c>
      <c r="N605" s="2">
        <v>13</v>
      </c>
      <c r="O605" s="2" t="s">
        <v>53</v>
      </c>
      <c r="P605" s="2" t="s">
        <v>43</v>
      </c>
      <c r="Q605" s="2"/>
      <c r="R605" s="2" t="s">
        <v>44</v>
      </c>
      <c r="S605" s="2">
        <v>8250215703</v>
      </c>
      <c r="T605" s="2" t="s">
        <v>2788</v>
      </c>
      <c r="U605" s="2" t="s">
        <v>2789</v>
      </c>
      <c r="V605" s="2">
        <v>8003813754</v>
      </c>
      <c r="W605" s="2" t="s">
        <v>1217</v>
      </c>
      <c r="X605" s="2">
        <v>36000</v>
      </c>
      <c r="Y605" s="2" t="s">
        <v>46</v>
      </c>
      <c r="Z605" s="2" t="s">
        <v>46</v>
      </c>
      <c r="AA605" s="2" t="s">
        <v>47</v>
      </c>
      <c r="AB605" s="2">
        <v>15</v>
      </c>
      <c r="AC605" s="2" t="s">
        <v>48</v>
      </c>
      <c r="AD605" s="2">
        <v>4</v>
      </c>
    </row>
    <row r="606" spans="1:30" ht="30" x14ac:dyDescent="0.25">
      <c r="A606" s="2">
        <v>11</v>
      </c>
      <c r="B606" s="2" t="s">
        <v>2616</v>
      </c>
      <c r="C606" s="2">
        <v>13869</v>
      </c>
      <c r="D606" s="3">
        <v>44406</v>
      </c>
      <c r="E606" s="2" t="s">
        <v>2790</v>
      </c>
      <c r="F606" s="2"/>
      <c r="G606" s="2" t="s">
        <v>2791</v>
      </c>
      <c r="H606" s="2" t="s">
        <v>1382</v>
      </c>
      <c r="I606" s="2" t="s">
        <v>41</v>
      </c>
      <c r="J606" s="3">
        <v>38699</v>
      </c>
      <c r="K606" s="2"/>
      <c r="L606" s="2"/>
      <c r="M606" s="2">
        <v>43</v>
      </c>
      <c r="N606" s="2">
        <v>14</v>
      </c>
      <c r="O606" s="2" t="s">
        <v>42</v>
      </c>
      <c r="P606" s="2" t="s">
        <v>54</v>
      </c>
      <c r="Q606" s="2"/>
      <c r="R606" s="2" t="s">
        <v>44</v>
      </c>
      <c r="S606" s="2">
        <v>8250215703</v>
      </c>
      <c r="T606" s="2" t="s">
        <v>2792</v>
      </c>
      <c r="U606" s="2"/>
      <c r="V606" s="2">
        <v>8209171800</v>
      </c>
      <c r="W606" s="2" t="s">
        <v>2793</v>
      </c>
      <c r="X606" s="2">
        <v>100000</v>
      </c>
      <c r="Y606" s="2" t="s">
        <v>46</v>
      </c>
      <c r="Z606" s="2" t="s">
        <v>46</v>
      </c>
      <c r="AA606" s="2" t="s">
        <v>57</v>
      </c>
      <c r="AB606" s="2">
        <v>16</v>
      </c>
      <c r="AC606" s="2" t="s">
        <v>48</v>
      </c>
      <c r="AD606" s="2">
        <v>1</v>
      </c>
    </row>
    <row r="607" spans="1:30" ht="30" x14ac:dyDescent="0.25">
      <c r="A607" s="2">
        <v>11</v>
      </c>
      <c r="B607" s="2" t="s">
        <v>2616</v>
      </c>
      <c r="C607" s="2">
        <v>13248</v>
      </c>
      <c r="D607" s="3">
        <v>43654</v>
      </c>
      <c r="E607" s="2" t="s">
        <v>2794</v>
      </c>
      <c r="F607" s="2"/>
      <c r="G607" s="2" t="s">
        <v>2795</v>
      </c>
      <c r="H607" s="2" t="s">
        <v>2796</v>
      </c>
      <c r="I607" s="2" t="s">
        <v>41</v>
      </c>
      <c r="J607" s="3">
        <v>38616</v>
      </c>
      <c r="K607" s="2"/>
      <c r="L607" s="2"/>
      <c r="M607" s="2">
        <v>43</v>
      </c>
      <c r="N607" s="2">
        <v>13</v>
      </c>
      <c r="O607" s="2" t="s">
        <v>53</v>
      </c>
      <c r="P607" s="2" t="s">
        <v>54</v>
      </c>
      <c r="Q607" s="2"/>
      <c r="R607" s="2" t="s">
        <v>44</v>
      </c>
      <c r="S607" s="2">
        <v>8250215703</v>
      </c>
      <c r="T607" s="2" t="s">
        <v>2797</v>
      </c>
      <c r="U607" s="2" t="s">
        <v>2798</v>
      </c>
      <c r="V607" s="2">
        <v>9660141751</v>
      </c>
      <c r="W607" s="2" t="s">
        <v>334</v>
      </c>
      <c r="X607" s="2">
        <v>40000</v>
      </c>
      <c r="Y607" s="2" t="s">
        <v>46</v>
      </c>
      <c r="Z607" s="2" t="s">
        <v>46</v>
      </c>
      <c r="AA607" s="2" t="s">
        <v>57</v>
      </c>
      <c r="AB607" s="2">
        <v>16</v>
      </c>
      <c r="AC607" s="2" t="s">
        <v>48</v>
      </c>
      <c r="AD607" s="2">
        <v>0.5</v>
      </c>
    </row>
    <row r="608" spans="1:30" ht="30" x14ac:dyDescent="0.25">
      <c r="A608" s="2">
        <v>11</v>
      </c>
      <c r="B608" s="2" t="s">
        <v>2616</v>
      </c>
      <c r="C608" s="2">
        <v>13932</v>
      </c>
      <c r="D608" s="3">
        <v>44426</v>
      </c>
      <c r="E608" s="2" t="s">
        <v>2799</v>
      </c>
      <c r="F608" s="2"/>
      <c r="G608" s="2" t="s">
        <v>2800</v>
      </c>
      <c r="H608" s="2" t="s">
        <v>2801</v>
      </c>
      <c r="I608" s="2" t="s">
        <v>41</v>
      </c>
      <c r="J608" s="3">
        <v>37885</v>
      </c>
      <c r="K608" s="2"/>
      <c r="L608" s="2"/>
      <c r="M608" s="2">
        <v>43</v>
      </c>
      <c r="N608" s="2">
        <v>21</v>
      </c>
      <c r="O608" s="2" t="s">
        <v>78</v>
      </c>
      <c r="P608" s="2" t="s">
        <v>43</v>
      </c>
      <c r="Q608" s="2"/>
      <c r="R608" s="2" t="s">
        <v>44</v>
      </c>
      <c r="S608" s="2">
        <v>8250215703</v>
      </c>
      <c r="T608" s="2" t="s">
        <v>2802</v>
      </c>
      <c r="U608" s="2"/>
      <c r="V608" s="2">
        <v>9571999246</v>
      </c>
      <c r="W608" s="2" t="s">
        <v>2803</v>
      </c>
      <c r="X608" s="2">
        <v>36000</v>
      </c>
      <c r="Y608" s="2" t="s">
        <v>46</v>
      </c>
      <c r="Z608" s="2" t="s">
        <v>46</v>
      </c>
      <c r="AA608" s="2" t="s">
        <v>47</v>
      </c>
      <c r="AB608" s="2">
        <v>18</v>
      </c>
      <c r="AC608" s="2" t="s">
        <v>48</v>
      </c>
      <c r="AD608" s="2">
        <v>5</v>
      </c>
    </row>
    <row r="609" spans="1:30" ht="30" x14ac:dyDescent="0.25">
      <c r="A609" s="2">
        <v>11</v>
      </c>
      <c r="B609" s="2" t="s">
        <v>2616</v>
      </c>
      <c r="C609" s="2">
        <v>13198</v>
      </c>
      <c r="D609" s="3">
        <v>43649</v>
      </c>
      <c r="E609" s="2" t="s">
        <v>1205</v>
      </c>
      <c r="F609" s="2" t="s">
        <v>229</v>
      </c>
      <c r="G609" s="2" t="s">
        <v>2804</v>
      </c>
      <c r="H609" s="2" t="s">
        <v>2805</v>
      </c>
      <c r="I609" s="2" t="s">
        <v>41</v>
      </c>
      <c r="J609" s="3">
        <v>38113</v>
      </c>
      <c r="K609" s="2"/>
      <c r="L609" s="2"/>
      <c r="M609" s="2">
        <v>43</v>
      </c>
      <c r="N609" s="2">
        <v>12</v>
      </c>
      <c r="O609" s="2" t="s">
        <v>78</v>
      </c>
      <c r="P609" s="2" t="s">
        <v>43</v>
      </c>
      <c r="Q609" s="2"/>
      <c r="R609" s="2" t="s">
        <v>44</v>
      </c>
      <c r="S609" s="2">
        <v>8250215703</v>
      </c>
      <c r="T609" s="2" t="s">
        <v>2806</v>
      </c>
      <c r="U609" s="2" t="s">
        <v>891</v>
      </c>
      <c r="V609" s="2">
        <v>7727942264</v>
      </c>
      <c r="W609" s="2" t="s">
        <v>2807</v>
      </c>
      <c r="X609" s="2">
        <v>18000</v>
      </c>
      <c r="Y609" s="2" t="s">
        <v>46</v>
      </c>
      <c r="Z609" s="2" t="s">
        <v>46</v>
      </c>
      <c r="AA609" s="2" t="s">
        <v>47</v>
      </c>
      <c r="AB609" s="2">
        <v>17</v>
      </c>
      <c r="AC609" s="2" t="s">
        <v>48</v>
      </c>
      <c r="AD609" s="2">
        <v>3</v>
      </c>
    </row>
    <row r="610" spans="1:30" ht="30" x14ac:dyDescent="0.25">
      <c r="A610" s="2">
        <v>11</v>
      </c>
      <c r="B610" s="2" t="s">
        <v>2616</v>
      </c>
      <c r="C610" s="2">
        <v>13992</v>
      </c>
      <c r="D610" s="3">
        <v>44469</v>
      </c>
      <c r="E610" s="2" t="s">
        <v>2808</v>
      </c>
      <c r="F610" s="2"/>
      <c r="G610" s="2" t="s">
        <v>2809</v>
      </c>
      <c r="H610" s="2" t="s">
        <v>2810</v>
      </c>
      <c r="I610" s="2" t="s">
        <v>52</v>
      </c>
      <c r="J610" s="3">
        <v>39347</v>
      </c>
      <c r="K610" s="2"/>
      <c r="L610" s="2"/>
      <c r="M610" s="2">
        <v>43</v>
      </c>
      <c r="N610" s="2">
        <v>1</v>
      </c>
      <c r="O610" s="2" t="s">
        <v>53</v>
      </c>
      <c r="P610" s="2" t="s">
        <v>43</v>
      </c>
      <c r="Q610" s="2"/>
      <c r="R610" s="2" t="s">
        <v>44</v>
      </c>
      <c r="S610" s="2">
        <v>8250215703</v>
      </c>
      <c r="T610" s="2" t="s">
        <v>2811</v>
      </c>
      <c r="U610" s="2"/>
      <c r="V610" s="2">
        <v>7425885401</v>
      </c>
      <c r="W610" s="2" t="s">
        <v>2812</v>
      </c>
      <c r="X610" s="2">
        <v>50000</v>
      </c>
      <c r="Y610" s="2" t="s">
        <v>46</v>
      </c>
      <c r="Z610" s="2" t="s">
        <v>46</v>
      </c>
      <c r="AA610" s="2" t="s">
        <v>47</v>
      </c>
      <c r="AB610" s="2">
        <v>14</v>
      </c>
      <c r="AC610" s="2" t="s">
        <v>48</v>
      </c>
      <c r="AD610" s="2">
        <v>10</v>
      </c>
    </row>
    <row r="611" spans="1:30" ht="30" x14ac:dyDescent="0.25">
      <c r="A611" s="2">
        <v>11</v>
      </c>
      <c r="B611" s="2" t="s">
        <v>2616</v>
      </c>
      <c r="C611" s="2">
        <v>13789</v>
      </c>
      <c r="D611" s="3">
        <v>44399</v>
      </c>
      <c r="E611" s="2" t="s">
        <v>2813</v>
      </c>
      <c r="F611" s="2"/>
      <c r="G611" s="2" t="s">
        <v>2814</v>
      </c>
      <c r="H611" s="2" t="s">
        <v>2564</v>
      </c>
      <c r="I611" s="2" t="s">
        <v>41</v>
      </c>
      <c r="J611" s="3">
        <v>38693</v>
      </c>
      <c r="K611" s="2"/>
      <c r="L611" s="2"/>
      <c r="M611" s="2">
        <v>43</v>
      </c>
      <c r="N611" s="2">
        <v>16</v>
      </c>
      <c r="O611" s="2" t="s">
        <v>78</v>
      </c>
      <c r="P611" s="2" t="s">
        <v>43</v>
      </c>
      <c r="Q611" s="2"/>
      <c r="R611" s="2" t="s">
        <v>44</v>
      </c>
      <c r="S611" s="2">
        <v>8250215703</v>
      </c>
      <c r="T611" s="2" t="s">
        <v>725</v>
      </c>
      <c r="U611" s="2"/>
      <c r="V611" s="2">
        <v>9509300217</v>
      </c>
      <c r="W611" s="2" t="s">
        <v>2815</v>
      </c>
      <c r="X611" s="2">
        <v>40000</v>
      </c>
      <c r="Y611" s="2" t="s">
        <v>46</v>
      </c>
      <c r="Z611" s="2" t="s">
        <v>46</v>
      </c>
      <c r="AA611" s="2" t="s">
        <v>47</v>
      </c>
      <c r="AB611" s="2">
        <v>16</v>
      </c>
      <c r="AC611" s="2" t="s">
        <v>48</v>
      </c>
      <c r="AD611" s="2">
        <v>8</v>
      </c>
    </row>
    <row r="612" spans="1:30" ht="30" x14ac:dyDescent="0.25">
      <c r="A612" s="2">
        <v>11</v>
      </c>
      <c r="B612" s="2" t="s">
        <v>2616</v>
      </c>
      <c r="C612" s="2">
        <v>13258</v>
      </c>
      <c r="D612" s="3">
        <v>43654</v>
      </c>
      <c r="E612" s="2" t="s">
        <v>2816</v>
      </c>
      <c r="F612" s="2"/>
      <c r="G612" s="2" t="s">
        <v>940</v>
      </c>
      <c r="H612" s="2" t="s">
        <v>1552</v>
      </c>
      <c r="I612" s="2" t="s">
        <v>41</v>
      </c>
      <c r="J612" s="3">
        <v>38492</v>
      </c>
      <c r="K612" s="2"/>
      <c r="L612" s="2"/>
      <c r="M612" s="2">
        <v>43</v>
      </c>
      <c r="N612" s="2">
        <v>13</v>
      </c>
      <c r="O612" s="2" t="s">
        <v>53</v>
      </c>
      <c r="P612" s="2" t="s">
        <v>43</v>
      </c>
      <c r="Q612" s="2"/>
      <c r="R612" s="2" t="s">
        <v>44</v>
      </c>
      <c r="S612" s="2">
        <v>8250215703</v>
      </c>
      <c r="T612" s="2" t="s">
        <v>1493</v>
      </c>
      <c r="U612" s="2" t="s">
        <v>2817</v>
      </c>
      <c r="V612" s="2">
        <v>8890199326</v>
      </c>
      <c r="W612" s="2" t="s">
        <v>833</v>
      </c>
      <c r="X612" s="2">
        <v>35000</v>
      </c>
      <c r="Y612" s="2" t="s">
        <v>46</v>
      </c>
      <c r="Z612" s="2" t="s">
        <v>46</v>
      </c>
      <c r="AA612" s="2" t="s">
        <v>47</v>
      </c>
      <c r="AB612" s="2">
        <v>16</v>
      </c>
      <c r="AC612" s="2" t="s">
        <v>48</v>
      </c>
      <c r="AD612" s="2">
        <v>9</v>
      </c>
    </row>
    <row r="613" spans="1:30" ht="30" x14ac:dyDescent="0.25">
      <c r="A613" s="2">
        <v>11</v>
      </c>
      <c r="B613" s="2" t="s">
        <v>2616</v>
      </c>
      <c r="C613" s="2">
        <v>13838</v>
      </c>
      <c r="D613" s="3">
        <v>44397</v>
      </c>
      <c r="E613" s="2" t="s">
        <v>2818</v>
      </c>
      <c r="F613" s="2"/>
      <c r="G613" s="2" t="s">
        <v>2819</v>
      </c>
      <c r="H613" s="2" t="s">
        <v>2820</v>
      </c>
      <c r="I613" s="2" t="s">
        <v>52</v>
      </c>
      <c r="J613" s="3">
        <v>38929</v>
      </c>
      <c r="K613" s="2"/>
      <c r="L613" s="2"/>
      <c r="M613" s="2">
        <v>43</v>
      </c>
      <c r="N613" s="2">
        <v>20</v>
      </c>
      <c r="O613" s="2" t="s">
        <v>53</v>
      </c>
      <c r="P613" s="2" t="s">
        <v>43</v>
      </c>
      <c r="Q613" s="2"/>
      <c r="R613" s="2" t="s">
        <v>44</v>
      </c>
      <c r="S613" s="2">
        <v>8250215703</v>
      </c>
      <c r="T613" s="2" t="s">
        <v>2821</v>
      </c>
      <c r="U613" s="2"/>
      <c r="V613" s="2">
        <v>9414786681</v>
      </c>
      <c r="W613" s="2" t="s">
        <v>2822</v>
      </c>
      <c r="X613" s="2">
        <v>919500</v>
      </c>
      <c r="Y613" s="2" t="s">
        <v>46</v>
      </c>
      <c r="Z613" s="2" t="s">
        <v>46</v>
      </c>
      <c r="AA613" s="2" t="s">
        <v>47</v>
      </c>
      <c r="AB613" s="2">
        <v>15</v>
      </c>
      <c r="AC613" s="2" t="s">
        <v>48</v>
      </c>
      <c r="AD613" s="2">
        <v>2</v>
      </c>
    </row>
    <row r="614" spans="1:30" ht="30" x14ac:dyDescent="0.25">
      <c r="A614" s="2">
        <v>11</v>
      </c>
      <c r="B614" s="2" t="s">
        <v>2616</v>
      </c>
      <c r="C614" s="2">
        <v>13787</v>
      </c>
      <c r="D614" s="3">
        <v>44399</v>
      </c>
      <c r="E614" s="2" t="s">
        <v>2823</v>
      </c>
      <c r="F614" s="2"/>
      <c r="G614" s="2" t="s">
        <v>2824</v>
      </c>
      <c r="H614" s="2" t="s">
        <v>2825</v>
      </c>
      <c r="I614" s="2" t="s">
        <v>52</v>
      </c>
      <c r="J614" s="3">
        <v>39320</v>
      </c>
      <c r="K614" s="2"/>
      <c r="L614" s="2"/>
      <c r="M614" s="2">
        <v>43</v>
      </c>
      <c r="N614" s="2">
        <v>16</v>
      </c>
      <c r="O614" s="2" t="s">
        <v>42</v>
      </c>
      <c r="P614" s="2" t="s">
        <v>43</v>
      </c>
      <c r="Q614" s="2"/>
      <c r="R614" s="2" t="s">
        <v>44</v>
      </c>
      <c r="S614" s="2">
        <v>8250215703</v>
      </c>
      <c r="T614" s="2" t="s">
        <v>2826</v>
      </c>
      <c r="U614" s="2" t="s">
        <v>2827</v>
      </c>
      <c r="V614" s="2">
        <v>9799216364</v>
      </c>
      <c r="W614" s="2" t="s">
        <v>2828</v>
      </c>
      <c r="X614" s="2">
        <v>972000</v>
      </c>
      <c r="Y614" s="2" t="s">
        <v>46</v>
      </c>
      <c r="Z614" s="2" t="s">
        <v>46</v>
      </c>
      <c r="AA614" s="2" t="s">
        <v>47</v>
      </c>
      <c r="AB614" s="2">
        <v>14</v>
      </c>
      <c r="AC614" s="2" t="s">
        <v>48</v>
      </c>
      <c r="AD614" s="2">
        <v>1</v>
      </c>
    </row>
    <row r="615" spans="1:30" ht="30" x14ac:dyDescent="0.25">
      <c r="A615" s="2">
        <v>11</v>
      </c>
      <c r="B615" s="2" t="s">
        <v>2616</v>
      </c>
      <c r="C615" s="2">
        <v>13189</v>
      </c>
      <c r="D615" s="3">
        <v>43649</v>
      </c>
      <c r="E615" s="2" t="s">
        <v>2829</v>
      </c>
      <c r="F615" s="2"/>
      <c r="G615" s="2" t="s">
        <v>1795</v>
      </c>
      <c r="H615" s="2" t="s">
        <v>889</v>
      </c>
      <c r="I615" s="2" t="s">
        <v>41</v>
      </c>
      <c r="J615" s="3">
        <v>38791</v>
      </c>
      <c r="K615" s="2"/>
      <c r="L615" s="2"/>
      <c r="M615" s="2">
        <v>43</v>
      </c>
      <c r="N615" s="2">
        <v>11</v>
      </c>
      <c r="O615" s="2" t="s">
        <v>78</v>
      </c>
      <c r="P615" s="2" t="s">
        <v>43</v>
      </c>
      <c r="Q615" s="2"/>
      <c r="R615" s="2" t="s">
        <v>44</v>
      </c>
      <c r="S615" s="2">
        <v>8250215703</v>
      </c>
      <c r="T615" s="2" t="s">
        <v>2830</v>
      </c>
      <c r="U615" s="2" t="s">
        <v>2831</v>
      </c>
      <c r="V615" s="2">
        <v>9587777159</v>
      </c>
      <c r="W615" s="2" t="s">
        <v>679</v>
      </c>
      <c r="X615" s="2">
        <v>36000</v>
      </c>
      <c r="Y615" s="2" t="s">
        <v>46</v>
      </c>
      <c r="Z615" s="2" t="s">
        <v>46</v>
      </c>
      <c r="AA615" s="2" t="s">
        <v>47</v>
      </c>
      <c r="AB615" s="2">
        <v>15</v>
      </c>
      <c r="AC615" s="2" t="s">
        <v>48</v>
      </c>
      <c r="AD615" s="2">
        <v>1</v>
      </c>
    </row>
    <row r="616" spans="1:30" ht="30" x14ac:dyDescent="0.25">
      <c r="A616" s="2">
        <v>11</v>
      </c>
      <c r="B616" s="2" t="s">
        <v>2616</v>
      </c>
      <c r="C616" s="2">
        <v>12318</v>
      </c>
      <c r="D616" s="3">
        <v>42548</v>
      </c>
      <c r="E616" s="2" t="s">
        <v>2832</v>
      </c>
      <c r="F616" s="2"/>
      <c r="G616" s="2" t="s">
        <v>1787</v>
      </c>
      <c r="H616" s="2" t="s">
        <v>2833</v>
      </c>
      <c r="I616" s="2" t="s">
        <v>41</v>
      </c>
      <c r="J616" s="3">
        <v>38029</v>
      </c>
      <c r="K616" s="2"/>
      <c r="L616" s="2"/>
      <c r="M616" s="2">
        <v>43</v>
      </c>
      <c r="N616" s="2">
        <v>21</v>
      </c>
      <c r="O616" s="2" t="s">
        <v>78</v>
      </c>
      <c r="P616" s="2" t="s">
        <v>43</v>
      </c>
      <c r="Q616" s="2"/>
      <c r="R616" s="2" t="s">
        <v>44</v>
      </c>
      <c r="S616" s="2">
        <v>8250215703</v>
      </c>
      <c r="T616" s="2" t="s">
        <v>2834</v>
      </c>
      <c r="U616" s="2"/>
      <c r="V616" s="2">
        <v>9001386194</v>
      </c>
      <c r="W616" s="2" t="s">
        <v>69</v>
      </c>
      <c r="X616" s="2">
        <v>36000</v>
      </c>
      <c r="Y616" s="2" t="s">
        <v>46</v>
      </c>
      <c r="Z616" s="2" t="s">
        <v>46</v>
      </c>
      <c r="AA616" s="2" t="s">
        <v>47</v>
      </c>
      <c r="AB616" s="2">
        <v>17</v>
      </c>
      <c r="AC616" s="2" t="s">
        <v>48</v>
      </c>
      <c r="AD616" s="2">
        <v>0</v>
      </c>
    </row>
    <row r="617" spans="1:30" ht="30" x14ac:dyDescent="0.25">
      <c r="A617" s="2">
        <v>11</v>
      </c>
      <c r="B617" s="2" t="s">
        <v>2616</v>
      </c>
      <c r="C617" s="2">
        <v>13312</v>
      </c>
      <c r="D617" s="3">
        <v>43655</v>
      </c>
      <c r="E617" s="2" t="s">
        <v>1140</v>
      </c>
      <c r="F617" s="2"/>
      <c r="G617" s="2" t="s">
        <v>829</v>
      </c>
      <c r="H617" s="2" t="s">
        <v>1214</v>
      </c>
      <c r="I617" s="2" t="s">
        <v>41</v>
      </c>
      <c r="J617" s="3">
        <v>38660</v>
      </c>
      <c r="K617" s="2"/>
      <c r="L617" s="2"/>
      <c r="M617" s="2">
        <v>43</v>
      </c>
      <c r="N617" s="2">
        <v>9</v>
      </c>
      <c r="O617" s="2" t="s">
        <v>53</v>
      </c>
      <c r="P617" s="2" t="s">
        <v>43</v>
      </c>
      <c r="Q617" s="2"/>
      <c r="R617" s="2" t="s">
        <v>44</v>
      </c>
      <c r="S617" s="2">
        <v>8250215703</v>
      </c>
      <c r="T617" s="2" t="s">
        <v>1402</v>
      </c>
      <c r="U617" s="2" t="s">
        <v>2835</v>
      </c>
      <c r="V617" s="2">
        <v>7073428363</v>
      </c>
      <c r="W617" s="2" t="s">
        <v>1217</v>
      </c>
      <c r="X617" s="2">
        <v>24000</v>
      </c>
      <c r="Y617" s="2" t="s">
        <v>46</v>
      </c>
      <c r="Z617" s="2" t="s">
        <v>46</v>
      </c>
      <c r="AA617" s="2" t="s">
        <v>47</v>
      </c>
      <c r="AB617" s="2">
        <v>16</v>
      </c>
      <c r="AC617" s="2" t="s">
        <v>48</v>
      </c>
      <c r="AD617" s="2">
        <v>4</v>
      </c>
    </row>
    <row r="618" spans="1:30" ht="30" x14ac:dyDescent="0.25">
      <c r="A618" s="2">
        <v>11</v>
      </c>
      <c r="B618" s="2" t="s">
        <v>2616</v>
      </c>
      <c r="C618" s="2">
        <v>13313</v>
      </c>
      <c r="D618" s="3">
        <v>43655</v>
      </c>
      <c r="E618" s="2" t="s">
        <v>758</v>
      </c>
      <c r="F618" s="2"/>
      <c r="G618" s="2" t="s">
        <v>1592</v>
      </c>
      <c r="H618" s="2" t="s">
        <v>231</v>
      </c>
      <c r="I618" s="2" t="s">
        <v>41</v>
      </c>
      <c r="J618" s="3">
        <v>38575</v>
      </c>
      <c r="K618" s="2"/>
      <c r="L618" s="2"/>
      <c r="M618" s="2">
        <v>43</v>
      </c>
      <c r="N618" s="2">
        <v>20</v>
      </c>
      <c r="O618" s="2" t="s">
        <v>53</v>
      </c>
      <c r="P618" s="2" t="s">
        <v>43</v>
      </c>
      <c r="Q618" s="2"/>
      <c r="R618" s="2" t="s">
        <v>44</v>
      </c>
      <c r="S618" s="2">
        <v>8250215703</v>
      </c>
      <c r="T618" s="2" t="s">
        <v>2836</v>
      </c>
      <c r="U618" s="2" t="s">
        <v>2837</v>
      </c>
      <c r="V618" s="2">
        <v>9166290427</v>
      </c>
      <c r="W618" s="2" t="s">
        <v>833</v>
      </c>
      <c r="X618" s="2">
        <v>40000</v>
      </c>
      <c r="Y618" s="2" t="s">
        <v>46</v>
      </c>
      <c r="Z618" s="2" t="s">
        <v>46</v>
      </c>
      <c r="AA618" s="2" t="s">
        <v>47</v>
      </c>
      <c r="AB618" s="2">
        <v>16</v>
      </c>
      <c r="AC618" s="2" t="s">
        <v>48</v>
      </c>
      <c r="AD618" s="2">
        <v>10</v>
      </c>
    </row>
    <row r="619" spans="1:30" ht="30" x14ac:dyDescent="0.25">
      <c r="A619" s="2">
        <v>11</v>
      </c>
      <c r="B619" s="2" t="s">
        <v>2616</v>
      </c>
      <c r="C619" s="2">
        <v>13979</v>
      </c>
      <c r="D619" s="3">
        <v>44452</v>
      </c>
      <c r="E619" s="2" t="s">
        <v>2838</v>
      </c>
      <c r="F619" s="2"/>
      <c r="G619" s="2" t="s">
        <v>2839</v>
      </c>
      <c r="H619" s="2" t="s">
        <v>2840</v>
      </c>
      <c r="I619" s="2" t="s">
        <v>41</v>
      </c>
      <c r="J619" s="3">
        <v>38873</v>
      </c>
      <c r="K619" s="2"/>
      <c r="L619" s="2"/>
      <c r="M619" s="2">
        <v>43</v>
      </c>
      <c r="N619" s="2">
        <v>9</v>
      </c>
      <c r="O619" s="2" t="s">
        <v>53</v>
      </c>
      <c r="P619" s="2" t="s">
        <v>43</v>
      </c>
      <c r="Q619" s="2"/>
      <c r="R619" s="2" t="s">
        <v>44</v>
      </c>
      <c r="S619" s="2">
        <v>8250215703</v>
      </c>
      <c r="T619" s="2" t="s">
        <v>2841</v>
      </c>
      <c r="U619" s="2" t="s">
        <v>2842</v>
      </c>
      <c r="V619" s="2">
        <v>8000755519</v>
      </c>
      <c r="W619" s="2" t="s">
        <v>2843</v>
      </c>
      <c r="X619" s="2">
        <v>48000</v>
      </c>
      <c r="Y619" s="2" t="s">
        <v>240</v>
      </c>
      <c r="Z619" s="2" t="s">
        <v>46</v>
      </c>
      <c r="AA619" s="2" t="s">
        <v>47</v>
      </c>
      <c r="AB619" s="2">
        <v>15</v>
      </c>
      <c r="AC619" s="2" t="s">
        <v>48</v>
      </c>
      <c r="AD619" s="2">
        <v>5</v>
      </c>
    </row>
    <row r="620" spans="1:30" ht="30" x14ac:dyDescent="0.25">
      <c r="A620" s="2">
        <v>11</v>
      </c>
      <c r="B620" s="2" t="s">
        <v>2616</v>
      </c>
      <c r="C620" s="2">
        <v>13954</v>
      </c>
      <c r="D620" s="3">
        <v>44436</v>
      </c>
      <c r="E620" s="2" t="s">
        <v>2844</v>
      </c>
      <c r="F620" s="2"/>
      <c r="G620" s="2" t="s">
        <v>2845</v>
      </c>
      <c r="H620" s="2" t="s">
        <v>2846</v>
      </c>
      <c r="I620" s="2" t="s">
        <v>52</v>
      </c>
      <c r="J620" s="3">
        <v>39039</v>
      </c>
      <c r="K620" s="2"/>
      <c r="L620" s="2"/>
      <c r="M620" s="2">
        <v>43</v>
      </c>
      <c r="N620" s="2">
        <v>18</v>
      </c>
      <c r="O620" s="2" t="s">
        <v>53</v>
      </c>
      <c r="P620" s="2" t="s">
        <v>43</v>
      </c>
      <c r="Q620" s="2"/>
      <c r="R620" s="2" t="s">
        <v>44</v>
      </c>
      <c r="S620" s="2">
        <v>8250215703</v>
      </c>
      <c r="T620" s="2"/>
      <c r="U620" s="2"/>
      <c r="V620" s="2">
        <v>9460824927</v>
      </c>
      <c r="W620" s="2" t="s">
        <v>2847</v>
      </c>
      <c r="X620" s="2">
        <v>526500</v>
      </c>
      <c r="Y620" s="2" t="s">
        <v>46</v>
      </c>
      <c r="Z620" s="2" t="s">
        <v>46</v>
      </c>
      <c r="AA620" s="2" t="s">
        <v>47</v>
      </c>
      <c r="AB620" s="2">
        <v>15</v>
      </c>
      <c r="AC620" s="2" t="s">
        <v>48</v>
      </c>
      <c r="AD620" s="2">
        <v>2</v>
      </c>
    </row>
    <row r="621" spans="1:30" ht="30" x14ac:dyDescent="0.25">
      <c r="A621" s="2">
        <v>11</v>
      </c>
      <c r="B621" s="2" t="s">
        <v>2616</v>
      </c>
      <c r="C621" s="2">
        <v>13894</v>
      </c>
      <c r="D621" s="3">
        <v>44413</v>
      </c>
      <c r="E621" s="2" t="s">
        <v>2848</v>
      </c>
      <c r="F621" s="2"/>
      <c r="G621" s="2" t="s">
        <v>2849</v>
      </c>
      <c r="H621" s="2" t="s">
        <v>2850</v>
      </c>
      <c r="I621" s="2" t="s">
        <v>41</v>
      </c>
      <c r="J621" s="3">
        <v>38607</v>
      </c>
      <c r="K621" s="2"/>
      <c r="L621" s="2"/>
      <c r="M621" s="2">
        <v>43</v>
      </c>
      <c r="N621" s="2">
        <v>16</v>
      </c>
      <c r="O621" s="2" t="s">
        <v>78</v>
      </c>
      <c r="P621" s="2" t="s">
        <v>43</v>
      </c>
      <c r="Q621" s="2"/>
      <c r="R621" s="2" t="s">
        <v>44</v>
      </c>
      <c r="S621" s="2">
        <v>8250215703</v>
      </c>
      <c r="T621" s="2" t="s">
        <v>2851</v>
      </c>
      <c r="U621" s="2" t="s">
        <v>2852</v>
      </c>
      <c r="V621" s="2">
        <v>9001386185</v>
      </c>
      <c r="W621" s="2" t="s">
        <v>2853</v>
      </c>
      <c r="X621" s="2">
        <v>45000</v>
      </c>
      <c r="Y621" s="2" t="s">
        <v>46</v>
      </c>
      <c r="Z621" s="2" t="s">
        <v>46</v>
      </c>
      <c r="AA621" s="2" t="s">
        <v>47</v>
      </c>
      <c r="AB621" s="2">
        <v>16</v>
      </c>
      <c r="AC621" s="2" t="s">
        <v>48</v>
      </c>
      <c r="AD621" s="2">
        <v>10</v>
      </c>
    </row>
    <row r="622" spans="1:30" ht="30" x14ac:dyDescent="0.25">
      <c r="A622" s="2">
        <v>11</v>
      </c>
      <c r="B622" s="2" t="s">
        <v>2616</v>
      </c>
      <c r="C622" s="2">
        <v>13542</v>
      </c>
      <c r="D622" s="3">
        <v>44083</v>
      </c>
      <c r="E622" s="2" t="s">
        <v>2854</v>
      </c>
      <c r="F622" s="2"/>
      <c r="G622" s="2" t="s">
        <v>2855</v>
      </c>
      <c r="H622" s="2" t="s">
        <v>735</v>
      </c>
      <c r="I622" s="2" t="s">
        <v>41</v>
      </c>
      <c r="J622" s="3">
        <v>38718</v>
      </c>
      <c r="K622" s="2"/>
      <c r="L622" s="2"/>
      <c r="M622" s="2">
        <v>43</v>
      </c>
      <c r="N622" s="2">
        <v>17</v>
      </c>
      <c r="O622" s="2" t="s">
        <v>53</v>
      </c>
      <c r="P622" s="2" t="s">
        <v>43</v>
      </c>
      <c r="Q622" s="2"/>
      <c r="R622" s="2" t="s">
        <v>44</v>
      </c>
      <c r="S622" s="2">
        <v>8250215703</v>
      </c>
      <c r="T622" s="2" t="s">
        <v>513</v>
      </c>
      <c r="U622" s="2"/>
      <c r="V622" s="2">
        <v>9460084655</v>
      </c>
      <c r="W622" s="2" t="s">
        <v>2856</v>
      </c>
      <c r="X622" s="2">
        <v>160000</v>
      </c>
      <c r="Y622" s="2" t="s">
        <v>46</v>
      </c>
      <c r="Z622" s="2" t="s">
        <v>46</v>
      </c>
      <c r="AA622" s="2" t="s">
        <v>47</v>
      </c>
      <c r="AB622" s="2">
        <v>15</v>
      </c>
      <c r="AC622" s="2" t="s">
        <v>48</v>
      </c>
      <c r="AD622" s="2">
        <v>2</v>
      </c>
    </row>
    <row r="623" spans="1:30" ht="30" x14ac:dyDescent="0.25">
      <c r="A623" s="2">
        <v>11</v>
      </c>
      <c r="B623" s="2" t="s">
        <v>2616</v>
      </c>
      <c r="C623" s="2">
        <v>13281</v>
      </c>
      <c r="D623" s="3">
        <v>43655</v>
      </c>
      <c r="E623" s="2" t="s">
        <v>2857</v>
      </c>
      <c r="F623" s="2"/>
      <c r="G623" s="2" t="s">
        <v>2858</v>
      </c>
      <c r="H623" s="2" t="s">
        <v>2859</v>
      </c>
      <c r="I623" s="2" t="s">
        <v>41</v>
      </c>
      <c r="J623" s="3">
        <v>38231</v>
      </c>
      <c r="K623" s="2"/>
      <c r="L623" s="2"/>
      <c r="M623" s="2">
        <v>43</v>
      </c>
      <c r="N623" s="2">
        <v>14</v>
      </c>
      <c r="O623" s="2" t="s">
        <v>42</v>
      </c>
      <c r="P623" s="2" t="s">
        <v>43</v>
      </c>
      <c r="Q623" s="2"/>
      <c r="R623" s="2" t="s">
        <v>44</v>
      </c>
      <c r="S623" s="2">
        <v>8250215703</v>
      </c>
      <c r="T623" s="2" t="s">
        <v>2860</v>
      </c>
      <c r="U623" s="2" t="s">
        <v>2861</v>
      </c>
      <c r="V623" s="2">
        <v>9549335080</v>
      </c>
      <c r="W623" s="2" t="s">
        <v>207</v>
      </c>
      <c r="X623" s="2">
        <v>50000</v>
      </c>
      <c r="Y623" s="2" t="s">
        <v>46</v>
      </c>
      <c r="Z623" s="2" t="s">
        <v>46</v>
      </c>
      <c r="AA623" s="2" t="s">
        <v>47</v>
      </c>
      <c r="AB623" s="2">
        <v>17</v>
      </c>
      <c r="AC623" s="2" t="s">
        <v>48</v>
      </c>
      <c r="AD623" s="2">
        <v>1</v>
      </c>
    </row>
    <row r="624" spans="1:30" ht="30" x14ac:dyDescent="0.25">
      <c r="A624" s="2">
        <v>11</v>
      </c>
      <c r="B624" s="2" t="s">
        <v>2616</v>
      </c>
      <c r="C624" s="2">
        <v>13976</v>
      </c>
      <c r="D624" s="3">
        <v>44450</v>
      </c>
      <c r="E624" s="2" t="s">
        <v>2862</v>
      </c>
      <c r="F624" s="2"/>
      <c r="G624" s="2" t="s">
        <v>2863</v>
      </c>
      <c r="H624" s="2" t="s">
        <v>2864</v>
      </c>
      <c r="I624" s="2" t="s">
        <v>41</v>
      </c>
      <c r="J624" s="3">
        <v>38029</v>
      </c>
      <c r="K624" s="2"/>
      <c r="L624" s="2"/>
      <c r="M624" s="2">
        <v>43</v>
      </c>
      <c r="N624" s="2">
        <v>12</v>
      </c>
      <c r="O624" s="2" t="s">
        <v>53</v>
      </c>
      <c r="P624" s="2" t="s">
        <v>54</v>
      </c>
      <c r="Q624" s="2"/>
      <c r="R624" s="2" t="s">
        <v>44</v>
      </c>
      <c r="S624" s="2">
        <v>8250215703</v>
      </c>
      <c r="T624" s="2" t="s">
        <v>2865</v>
      </c>
      <c r="U624" s="2"/>
      <c r="V624" s="2">
        <v>6375871103</v>
      </c>
      <c r="W624" s="2" t="s">
        <v>2866</v>
      </c>
      <c r="X624" s="2">
        <v>60000</v>
      </c>
      <c r="Y624" s="2" t="s">
        <v>46</v>
      </c>
      <c r="Z624" s="2" t="s">
        <v>46</v>
      </c>
      <c r="AA624" s="2" t="s">
        <v>57</v>
      </c>
      <c r="AB624" s="2">
        <v>17</v>
      </c>
      <c r="AC624" s="2" t="s">
        <v>48</v>
      </c>
      <c r="AD624" s="2">
        <v>1</v>
      </c>
    </row>
    <row r="625" spans="1:30" ht="30" x14ac:dyDescent="0.25">
      <c r="A625" s="2">
        <v>11</v>
      </c>
      <c r="B625" s="2" t="s">
        <v>2616</v>
      </c>
      <c r="C625" s="2">
        <v>13187</v>
      </c>
      <c r="D625" s="3">
        <v>43649</v>
      </c>
      <c r="E625" s="2" t="s">
        <v>2867</v>
      </c>
      <c r="F625" s="2"/>
      <c r="G625" s="2" t="s">
        <v>1736</v>
      </c>
      <c r="H625" s="2" t="s">
        <v>2868</v>
      </c>
      <c r="I625" s="2" t="s">
        <v>41</v>
      </c>
      <c r="J625" s="3">
        <v>38012</v>
      </c>
      <c r="K625" s="2"/>
      <c r="L625" s="2"/>
      <c r="M625" s="2">
        <v>43</v>
      </c>
      <c r="N625" s="2">
        <v>13</v>
      </c>
      <c r="O625" s="2" t="s">
        <v>78</v>
      </c>
      <c r="P625" s="2" t="s">
        <v>43</v>
      </c>
      <c r="Q625" s="2"/>
      <c r="R625" s="2" t="s">
        <v>44</v>
      </c>
      <c r="S625" s="2">
        <v>8250215703</v>
      </c>
      <c r="T625" s="2" t="s">
        <v>2869</v>
      </c>
      <c r="U625" s="2" t="s">
        <v>2870</v>
      </c>
      <c r="V625" s="2">
        <v>8107474320</v>
      </c>
      <c r="W625" s="2" t="s">
        <v>2871</v>
      </c>
      <c r="X625" s="2">
        <v>95000</v>
      </c>
      <c r="Y625" s="2" t="s">
        <v>46</v>
      </c>
      <c r="Z625" s="2" t="s">
        <v>46</v>
      </c>
      <c r="AA625" s="2" t="s">
        <v>47</v>
      </c>
      <c r="AB625" s="2">
        <v>17</v>
      </c>
      <c r="AC625" s="2" t="s">
        <v>48</v>
      </c>
      <c r="AD625" s="2">
        <v>2</v>
      </c>
    </row>
    <row r="626" spans="1:30" ht="30" x14ac:dyDescent="0.25">
      <c r="A626" s="2">
        <v>11</v>
      </c>
      <c r="B626" s="2" t="s">
        <v>2616</v>
      </c>
      <c r="C626" s="2">
        <v>13995</v>
      </c>
      <c r="D626" s="3">
        <v>44469</v>
      </c>
      <c r="E626" s="2" t="s">
        <v>2872</v>
      </c>
      <c r="F626" s="2"/>
      <c r="G626" s="2" t="s">
        <v>2327</v>
      </c>
      <c r="H626" s="2" t="s">
        <v>2873</v>
      </c>
      <c r="I626" s="2" t="s">
        <v>41</v>
      </c>
      <c r="J626" s="3">
        <v>38444</v>
      </c>
      <c r="K626" s="2"/>
      <c r="L626" s="2"/>
      <c r="M626" s="2">
        <v>43</v>
      </c>
      <c r="N626" s="2">
        <v>1</v>
      </c>
      <c r="O626" s="2" t="s">
        <v>53</v>
      </c>
      <c r="P626" s="2" t="s">
        <v>43</v>
      </c>
      <c r="Q626" s="2"/>
      <c r="R626" s="2" t="s">
        <v>44</v>
      </c>
      <c r="S626" s="2">
        <v>8250215703</v>
      </c>
      <c r="T626" s="2" t="s">
        <v>2874</v>
      </c>
      <c r="U626" s="2" t="s">
        <v>2875</v>
      </c>
      <c r="V626" s="2">
        <v>9636837191</v>
      </c>
      <c r="W626" s="2" t="s">
        <v>2876</v>
      </c>
      <c r="X626" s="2">
        <v>37000</v>
      </c>
      <c r="Y626" s="2" t="s">
        <v>46</v>
      </c>
      <c r="Z626" s="2" t="s">
        <v>46</v>
      </c>
      <c r="AA626" s="2" t="s">
        <v>47</v>
      </c>
      <c r="AB626" s="2">
        <v>16</v>
      </c>
      <c r="AC626" s="2" t="s">
        <v>48</v>
      </c>
      <c r="AD626" s="2">
        <v>0</v>
      </c>
    </row>
    <row r="627" spans="1:30" ht="30" x14ac:dyDescent="0.25">
      <c r="A627" s="2">
        <v>11</v>
      </c>
      <c r="B627" s="2" t="s">
        <v>2616</v>
      </c>
      <c r="C627" s="2">
        <v>13364</v>
      </c>
      <c r="D627" s="3">
        <v>43661</v>
      </c>
      <c r="E627" s="2" t="s">
        <v>2877</v>
      </c>
      <c r="F627" s="2"/>
      <c r="G627" s="2" t="s">
        <v>829</v>
      </c>
      <c r="H627" s="2" t="s">
        <v>941</v>
      </c>
      <c r="I627" s="2" t="s">
        <v>41</v>
      </c>
      <c r="J627" s="3">
        <v>38523</v>
      </c>
      <c r="K627" s="2"/>
      <c r="L627" s="2"/>
      <c r="M627" s="2">
        <v>43</v>
      </c>
      <c r="N627" s="2">
        <v>10</v>
      </c>
      <c r="O627" s="2" t="s">
        <v>53</v>
      </c>
      <c r="P627" s="2" t="s">
        <v>43</v>
      </c>
      <c r="Q627" s="2"/>
      <c r="R627" s="2" t="s">
        <v>44</v>
      </c>
      <c r="S627" s="2">
        <v>8250215703</v>
      </c>
      <c r="T627" s="2" t="s">
        <v>2878</v>
      </c>
      <c r="U627" s="2" t="s">
        <v>2879</v>
      </c>
      <c r="V627" s="2">
        <v>9413813265</v>
      </c>
      <c r="W627" s="2" t="s">
        <v>1256</v>
      </c>
      <c r="X627" s="2">
        <v>36000</v>
      </c>
      <c r="Y627" s="2" t="s">
        <v>46</v>
      </c>
      <c r="Z627" s="2" t="s">
        <v>46</v>
      </c>
      <c r="AA627" s="2" t="s">
        <v>47</v>
      </c>
      <c r="AB627" s="2">
        <v>16</v>
      </c>
      <c r="AC627" s="2" t="s">
        <v>48</v>
      </c>
      <c r="AD627" s="2">
        <v>4</v>
      </c>
    </row>
    <row r="628" spans="1:30" ht="30" x14ac:dyDescent="0.25">
      <c r="A628" s="2">
        <v>11</v>
      </c>
      <c r="B628" s="2" t="s">
        <v>2616</v>
      </c>
      <c r="C628" s="2">
        <v>13711</v>
      </c>
      <c r="D628" s="3">
        <v>44384</v>
      </c>
      <c r="E628" s="2" t="s">
        <v>2880</v>
      </c>
      <c r="F628" s="2"/>
      <c r="G628" s="2" t="s">
        <v>691</v>
      </c>
      <c r="H628" s="2" t="s">
        <v>231</v>
      </c>
      <c r="I628" s="2" t="s">
        <v>52</v>
      </c>
      <c r="J628" s="3">
        <v>38272</v>
      </c>
      <c r="K628" s="2"/>
      <c r="L628" s="2"/>
      <c r="M628" s="2">
        <v>43</v>
      </c>
      <c r="N628" s="2">
        <v>20</v>
      </c>
      <c r="O628" s="2" t="s">
        <v>78</v>
      </c>
      <c r="P628" s="2" t="s">
        <v>43</v>
      </c>
      <c r="Q628" s="2"/>
      <c r="R628" s="2" t="s">
        <v>44</v>
      </c>
      <c r="S628" s="2">
        <v>8250215703</v>
      </c>
      <c r="T628" s="2" t="s">
        <v>2661</v>
      </c>
      <c r="U628" s="2" t="s">
        <v>2881</v>
      </c>
      <c r="V628" s="2">
        <v>9784881014</v>
      </c>
      <c r="W628" s="2" t="s">
        <v>2882</v>
      </c>
      <c r="X628" s="2">
        <v>30000</v>
      </c>
      <c r="Y628" s="2" t="s">
        <v>46</v>
      </c>
      <c r="Z628" s="2" t="s">
        <v>46</v>
      </c>
      <c r="AA628" s="2" t="s">
        <v>47</v>
      </c>
      <c r="AB628" s="2">
        <v>17</v>
      </c>
      <c r="AC628" s="2" t="s">
        <v>48</v>
      </c>
      <c r="AD628" s="2">
        <v>2</v>
      </c>
    </row>
    <row r="629" spans="1:30" ht="30" x14ac:dyDescent="0.25">
      <c r="A629" s="2">
        <v>11</v>
      </c>
      <c r="B629" s="2" t="s">
        <v>2616</v>
      </c>
      <c r="C629" s="2">
        <v>13646</v>
      </c>
      <c r="D629" s="3">
        <v>44124</v>
      </c>
      <c r="E629" s="2" t="s">
        <v>2883</v>
      </c>
      <c r="F629" s="2"/>
      <c r="G629" s="2" t="s">
        <v>2884</v>
      </c>
      <c r="H629" s="2" t="s">
        <v>2885</v>
      </c>
      <c r="I629" s="2" t="s">
        <v>41</v>
      </c>
      <c r="J629" s="3">
        <v>38564</v>
      </c>
      <c r="K629" s="2"/>
      <c r="L629" s="2"/>
      <c r="M629" s="2">
        <v>43</v>
      </c>
      <c r="N629" s="2">
        <v>12</v>
      </c>
      <c r="O629" s="2" t="s">
        <v>42</v>
      </c>
      <c r="P629" s="2" t="s">
        <v>43</v>
      </c>
      <c r="Q629" s="2"/>
      <c r="R629" s="2" t="s">
        <v>44</v>
      </c>
      <c r="S629" s="2">
        <v>8250215703</v>
      </c>
      <c r="T629" s="2" t="s">
        <v>2886</v>
      </c>
      <c r="U629" s="2"/>
      <c r="V629" s="2">
        <v>8104788662</v>
      </c>
      <c r="W629" s="2" t="s">
        <v>2887</v>
      </c>
      <c r="X629" s="2">
        <v>80000</v>
      </c>
      <c r="Y629" s="2" t="s">
        <v>46</v>
      </c>
      <c r="Z629" s="2" t="s">
        <v>46</v>
      </c>
      <c r="AA629" s="2" t="s">
        <v>47</v>
      </c>
      <c r="AB629" s="2">
        <v>16</v>
      </c>
      <c r="AC629" s="2" t="s">
        <v>48</v>
      </c>
      <c r="AD629" s="2">
        <v>2</v>
      </c>
    </row>
    <row r="630" spans="1:30" ht="30" x14ac:dyDescent="0.25">
      <c r="A630" s="2">
        <v>11</v>
      </c>
      <c r="B630" s="2" t="s">
        <v>2616</v>
      </c>
      <c r="C630" s="2">
        <v>13975</v>
      </c>
      <c r="D630" s="3">
        <v>44450</v>
      </c>
      <c r="E630" s="2" t="s">
        <v>2888</v>
      </c>
      <c r="F630" s="2"/>
      <c r="G630" s="2" t="s">
        <v>2889</v>
      </c>
      <c r="H630" s="2" t="s">
        <v>2890</v>
      </c>
      <c r="I630" s="2" t="s">
        <v>41</v>
      </c>
      <c r="J630" s="3">
        <v>37285</v>
      </c>
      <c r="K630" s="2"/>
      <c r="L630" s="2"/>
      <c r="M630" s="2">
        <v>43</v>
      </c>
      <c r="N630" s="2">
        <v>12</v>
      </c>
      <c r="O630" s="2" t="s">
        <v>78</v>
      </c>
      <c r="P630" s="2" t="s">
        <v>43</v>
      </c>
      <c r="Q630" s="2"/>
      <c r="R630" s="2" t="s">
        <v>44</v>
      </c>
      <c r="S630" s="2">
        <v>8250215703</v>
      </c>
      <c r="T630" s="2" t="s">
        <v>2891</v>
      </c>
      <c r="U630" s="2" t="s">
        <v>2892</v>
      </c>
      <c r="V630" s="2">
        <v>6375042283</v>
      </c>
      <c r="W630" s="2" t="s">
        <v>2893</v>
      </c>
      <c r="X630" s="2">
        <v>285000</v>
      </c>
      <c r="Y630" s="2" t="s">
        <v>46</v>
      </c>
      <c r="Z630" s="2" t="s">
        <v>46</v>
      </c>
      <c r="AA630" s="2" t="s">
        <v>47</v>
      </c>
      <c r="AB630" s="2">
        <v>19</v>
      </c>
      <c r="AC630" s="2" t="s">
        <v>48</v>
      </c>
      <c r="AD630" s="2">
        <v>2</v>
      </c>
    </row>
    <row r="631" spans="1:30" ht="30" x14ac:dyDescent="0.25">
      <c r="A631" s="2">
        <v>11</v>
      </c>
      <c r="B631" s="2" t="s">
        <v>2616</v>
      </c>
      <c r="C631" s="2">
        <v>13895</v>
      </c>
      <c r="D631" s="3">
        <v>44413</v>
      </c>
      <c r="E631" s="2" t="s">
        <v>2894</v>
      </c>
      <c r="F631" s="2"/>
      <c r="G631" s="2" t="s">
        <v>657</v>
      </c>
      <c r="H631" s="2" t="s">
        <v>2686</v>
      </c>
      <c r="I631" s="2" t="s">
        <v>41</v>
      </c>
      <c r="J631" s="3">
        <v>38801</v>
      </c>
      <c r="K631" s="2"/>
      <c r="L631" s="2"/>
      <c r="M631" s="2">
        <v>43</v>
      </c>
      <c r="N631" s="2">
        <v>18</v>
      </c>
      <c r="O631" s="2" t="s">
        <v>53</v>
      </c>
      <c r="P631" s="2" t="s">
        <v>43</v>
      </c>
      <c r="Q631" s="2"/>
      <c r="R631" s="2" t="s">
        <v>44</v>
      </c>
      <c r="S631" s="2">
        <v>8250215703</v>
      </c>
      <c r="T631" s="2" t="s">
        <v>2895</v>
      </c>
      <c r="U631" s="2" t="s">
        <v>2896</v>
      </c>
      <c r="V631" s="2">
        <v>8107675588</v>
      </c>
      <c r="W631" s="2" t="s">
        <v>2897</v>
      </c>
      <c r="X631" s="2">
        <v>90000</v>
      </c>
      <c r="Y631" s="2" t="s">
        <v>46</v>
      </c>
      <c r="Z631" s="2" t="s">
        <v>46</v>
      </c>
      <c r="AA631" s="2" t="s">
        <v>47</v>
      </c>
      <c r="AB631" s="2">
        <v>15</v>
      </c>
      <c r="AC631" s="2" t="s">
        <v>48</v>
      </c>
      <c r="AD631" s="2">
        <v>2</v>
      </c>
    </row>
    <row r="632" spans="1:30" ht="30" x14ac:dyDescent="0.25">
      <c r="A632" s="2">
        <v>11</v>
      </c>
      <c r="B632" s="2" t="s">
        <v>2616</v>
      </c>
      <c r="C632" s="2">
        <v>13190</v>
      </c>
      <c r="D632" s="3">
        <v>43649</v>
      </c>
      <c r="E632" s="2" t="s">
        <v>2898</v>
      </c>
      <c r="F632" s="2"/>
      <c r="G632" s="2" t="s">
        <v>1258</v>
      </c>
      <c r="H632" s="2" t="s">
        <v>159</v>
      </c>
      <c r="I632" s="2" t="s">
        <v>41</v>
      </c>
      <c r="J632" s="3">
        <v>38462</v>
      </c>
      <c r="K632" s="2"/>
      <c r="L632" s="2"/>
      <c r="M632" s="2">
        <v>43</v>
      </c>
      <c r="N632" s="2">
        <v>18</v>
      </c>
      <c r="O632" s="2" t="s">
        <v>53</v>
      </c>
      <c r="P632" s="2" t="s">
        <v>43</v>
      </c>
      <c r="Q632" s="2"/>
      <c r="R632" s="2" t="s">
        <v>44</v>
      </c>
      <c r="S632" s="2">
        <v>8250215703</v>
      </c>
      <c r="T632" s="2" t="s">
        <v>2899</v>
      </c>
      <c r="U632" s="2" t="s">
        <v>2900</v>
      </c>
      <c r="V632" s="2">
        <v>9784055995</v>
      </c>
      <c r="W632" s="2" t="s">
        <v>2901</v>
      </c>
      <c r="X632" s="2">
        <v>40000</v>
      </c>
      <c r="Y632" s="2" t="s">
        <v>46</v>
      </c>
      <c r="Z632" s="2" t="s">
        <v>46</v>
      </c>
      <c r="AA632" s="2" t="s">
        <v>47</v>
      </c>
      <c r="AB632" s="2">
        <v>16</v>
      </c>
      <c r="AC632" s="2" t="s">
        <v>48</v>
      </c>
      <c r="AD632" s="2">
        <v>5</v>
      </c>
    </row>
    <row r="633" spans="1:30" ht="30" x14ac:dyDescent="0.25">
      <c r="A633" s="2">
        <v>11</v>
      </c>
      <c r="B633" s="2" t="s">
        <v>2616</v>
      </c>
      <c r="C633" s="2">
        <v>13366</v>
      </c>
      <c r="D633" s="3">
        <v>43661</v>
      </c>
      <c r="E633" s="2" t="s">
        <v>2902</v>
      </c>
      <c r="F633" s="2"/>
      <c r="G633" s="2" t="s">
        <v>2903</v>
      </c>
      <c r="H633" s="2" t="s">
        <v>1178</v>
      </c>
      <c r="I633" s="2" t="s">
        <v>41</v>
      </c>
      <c r="J633" s="3">
        <v>38711</v>
      </c>
      <c r="K633" s="2"/>
      <c r="L633" s="2"/>
      <c r="M633" s="2">
        <v>43</v>
      </c>
      <c r="N633" s="2">
        <v>14</v>
      </c>
      <c r="O633" s="2" t="s">
        <v>53</v>
      </c>
      <c r="P633" s="2" t="s">
        <v>43</v>
      </c>
      <c r="Q633" s="2"/>
      <c r="R633" s="2" t="s">
        <v>44</v>
      </c>
      <c r="S633" s="2">
        <v>8250215703</v>
      </c>
      <c r="T633" s="2" t="s">
        <v>2904</v>
      </c>
      <c r="U633" s="2" t="s">
        <v>1689</v>
      </c>
      <c r="V633" s="2">
        <v>9999999999</v>
      </c>
      <c r="W633" s="2" t="s">
        <v>2905</v>
      </c>
      <c r="X633" s="2">
        <v>36000</v>
      </c>
      <c r="Y633" s="2" t="s">
        <v>46</v>
      </c>
      <c r="Z633" s="2" t="s">
        <v>240</v>
      </c>
      <c r="AA633" s="2" t="s">
        <v>47</v>
      </c>
      <c r="AB633" s="2">
        <v>16</v>
      </c>
      <c r="AC633" s="2" t="s">
        <v>48</v>
      </c>
      <c r="AD633" s="2">
        <v>4</v>
      </c>
    </row>
    <row r="634" spans="1:30" ht="30" x14ac:dyDescent="0.25">
      <c r="A634" s="2">
        <v>12</v>
      </c>
      <c r="B634" s="2" t="s">
        <v>37</v>
      </c>
      <c r="C634" s="2">
        <v>13621</v>
      </c>
      <c r="D634" s="3">
        <v>44119</v>
      </c>
      <c r="E634" s="2" t="s">
        <v>2906</v>
      </c>
      <c r="F634" s="2"/>
      <c r="G634" s="2" t="s">
        <v>2907</v>
      </c>
      <c r="H634" s="2" t="s">
        <v>2908</v>
      </c>
      <c r="I634" s="2" t="s">
        <v>41</v>
      </c>
      <c r="J634" s="3">
        <v>38365</v>
      </c>
      <c r="K634" s="2"/>
      <c r="L634" s="2"/>
      <c r="M634" s="2">
        <v>23</v>
      </c>
      <c r="N634" s="2">
        <v>0</v>
      </c>
      <c r="O634" s="2" t="s">
        <v>42</v>
      </c>
      <c r="P634" s="2" t="s">
        <v>43</v>
      </c>
      <c r="Q634" s="2"/>
      <c r="R634" s="2" t="s">
        <v>44</v>
      </c>
      <c r="S634" s="2">
        <v>8250215703</v>
      </c>
      <c r="T634" s="2" t="s">
        <v>2909</v>
      </c>
      <c r="U634" s="2"/>
      <c r="V634" s="2">
        <v>9929499351</v>
      </c>
      <c r="W634" s="2" t="s">
        <v>2910</v>
      </c>
      <c r="X634" s="2">
        <v>536000</v>
      </c>
      <c r="Y634" s="2" t="s">
        <v>46</v>
      </c>
      <c r="Z634" s="2" t="s">
        <v>46</v>
      </c>
      <c r="AA634" s="2" t="s">
        <v>47</v>
      </c>
      <c r="AB634" s="2">
        <v>16</v>
      </c>
      <c r="AC634" s="2" t="s">
        <v>48</v>
      </c>
      <c r="AD634" s="2">
        <v>3</v>
      </c>
    </row>
    <row r="635" spans="1:30" ht="30" x14ac:dyDescent="0.25">
      <c r="A635" s="2">
        <v>12</v>
      </c>
      <c r="B635" s="2" t="s">
        <v>37</v>
      </c>
      <c r="C635" s="2">
        <v>12819</v>
      </c>
      <c r="D635" s="3">
        <v>42927</v>
      </c>
      <c r="E635" s="2" t="s">
        <v>2911</v>
      </c>
      <c r="F635" s="2"/>
      <c r="G635" s="2" t="s">
        <v>2912</v>
      </c>
      <c r="H635" s="2" t="s">
        <v>2913</v>
      </c>
      <c r="I635" s="2" t="s">
        <v>41</v>
      </c>
      <c r="J635" s="3">
        <v>38682</v>
      </c>
      <c r="K635" s="2"/>
      <c r="L635" s="2"/>
      <c r="M635" s="2">
        <v>23</v>
      </c>
      <c r="N635" s="2">
        <v>23</v>
      </c>
      <c r="O635" s="2" t="s">
        <v>53</v>
      </c>
      <c r="P635" s="2" t="s">
        <v>43</v>
      </c>
      <c r="Q635" s="2"/>
      <c r="R635" s="2" t="s">
        <v>44</v>
      </c>
      <c r="S635" s="2">
        <v>8250215703</v>
      </c>
      <c r="T635" s="2" t="s">
        <v>2914</v>
      </c>
      <c r="U635" s="2"/>
      <c r="V635" s="2">
        <v>9414787014</v>
      </c>
      <c r="W635" s="2" t="s">
        <v>2915</v>
      </c>
      <c r="X635" s="2">
        <v>40000</v>
      </c>
      <c r="Y635" s="2" t="s">
        <v>46</v>
      </c>
      <c r="Z635" s="2" t="s">
        <v>46</v>
      </c>
      <c r="AA635" s="2" t="s">
        <v>47</v>
      </c>
      <c r="AB635" s="2">
        <v>16</v>
      </c>
      <c r="AC635" s="2" t="s">
        <v>48</v>
      </c>
      <c r="AD635" s="2">
        <v>1</v>
      </c>
    </row>
    <row r="636" spans="1:30" ht="30" x14ac:dyDescent="0.25">
      <c r="A636" s="2">
        <v>12</v>
      </c>
      <c r="B636" s="2" t="s">
        <v>37</v>
      </c>
      <c r="C636" s="2">
        <v>12936</v>
      </c>
      <c r="D636" s="3">
        <v>43281</v>
      </c>
      <c r="E636" s="2" t="s">
        <v>2916</v>
      </c>
      <c r="F636" s="2"/>
      <c r="G636" s="2" t="s">
        <v>2917</v>
      </c>
      <c r="H636" s="2" t="s">
        <v>2918</v>
      </c>
      <c r="I636" s="2" t="s">
        <v>41</v>
      </c>
      <c r="J636" s="3">
        <v>38249</v>
      </c>
      <c r="K636" s="2"/>
      <c r="L636" s="2"/>
      <c r="M636" s="2">
        <v>23</v>
      </c>
      <c r="N636" s="2">
        <v>23</v>
      </c>
      <c r="O636" s="2" t="s">
        <v>78</v>
      </c>
      <c r="P636" s="2" t="s">
        <v>43</v>
      </c>
      <c r="Q636" s="2"/>
      <c r="R636" s="2" t="s">
        <v>44</v>
      </c>
      <c r="S636" s="2">
        <v>8250215703</v>
      </c>
      <c r="T636" s="2" t="s">
        <v>2919</v>
      </c>
      <c r="U636" s="2" t="s">
        <v>2920</v>
      </c>
      <c r="V636" s="2">
        <v>9024766062</v>
      </c>
      <c r="W636" s="2" t="s">
        <v>2921</v>
      </c>
      <c r="X636" s="2">
        <v>48000</v>
      </c>
      <c r="Y636" s="2" t="s">
        <v>46</v>
      </c>
      <c r="Z636" s="2" t="s">
        <v>46</v>
      </c>
      <c r="AA636" s="2" t="s">
        <v>47</v>
      </c>
      <c r="AB636" s="2">
        <v>17</v>
      </c>
      <c r="AC636" s="2" t="s">
        <v>48</v>
      </c>
      <c r="AD636" s="2">
        <v>1</v>
      </c>
    </row>
    <row r="637" spans="1:30" ht="45" x14ac:dyDescent="0.25">
      <c r="A637" s="2">
        <v>12</v>
      </c>
      <c r="B637" s="2" t="s">
        <v>37</v>
      </c>
      <c r="C637" s="2">
        <v>13636</v>
      </c>
      <c r="D637" s="3">
        <v>44120</v>
      </c>
      <c r="E637" s="2" t="s">
        <v>2628</v>
      </c>
      <c r="F637" s="2"/>
      <c r="G637" s="2" t="s">
        <v>2922</v>
      </c>
      <c r="H637" s="2" t="s">
        <v>2923</v>
      </c>
      <c r="I637" s="2" t="s">
        <v>41</v>
      </c>
      <c r="J637" s="3">
        <v>37660</v>
      </c>
      <c r="K637" s="2"/>
      <c r="L637" s="2"/>
      <c r="M637" s="2">
        <v>23</v>
      </c>
      <c r="N637" s="2">
        <v>22</v>
      </c>
      <c r="O637" s="2" t="s">
        <v>42</v>
      </c>
      <c r="P637" s="2" t="s">
        <v>43</v>
      </c>
      <c r="Q637" s="2"/>
      <c r="R637" s="2" t="s">
        <v>44</v>
      </c>
      <c r="S637" s="2">
        <v>8250215703</v>
      </c>
      <c r="T637" s="2" t="s">
        <v>2924</v>
      </c>
      <c r="U637" s="2" t="s">
        <v>2925</v>
      </c>
      <c r="V637" s="2">
        <v>9571671221</v>
      </c>
      <c r="W637" s="2" t="s">
        <v>2926</v>
      </c>
      <c r="X637" s="2">
        <v>45000</v>
      </c>
      <c r="Y637" s="2" t="s">
        <v>46</v>
      </c>
      <c r="Z637" s="2" t="s">
        <v>46</v>
      </c>
      <c r="AA637" s="2" t="s">
        <v>47</v>
      </c>
      <c r="AB637" s="2">
        <v>18</v>
      </c>
      <c r="AC637" s="2" t="s">
        <v>48</v>
      </c>
      <c r="AD637" s="2">
        <v>5</v>
      </c>
    </row>
    <row r="638" spans="1:30" ht="30" x14ac:dyDescent="0.25">
      <c r="A638" s="2">
        <v>12</v>
      </c>
      <c r="B638" s="2" t="s">
        <v>37</v>
      </c>
      <c r="C638" s="2">
        <v>12892</v>
      </c>
      <c r="D638" s="3">
        <v>43274</v>
      </c>
      <c r="E638" s="2" t="s">
        <v>2927</v>
      </c>
      <c r="F638" s="2"/>
      <c r="G638" s="2" t="s">
        <v>2928</v>
      </c>
      <c r="H638" s="2" t="s">
        <v>2929</v>
      </c>
      <c r="I638" s="2" t="s">
        <v>41</v>
      </c>
      <c r="J638" s="3">
        <v>37733</v>
      </c>
      <c r="K638" s="2"/>
      <c r="L638" s="2"/>
      <c r="M638" s="2">
        <v>23</v>
      </c>
      <c r="N638" s="2">
        <v>23</v>
      </c>
      <c r="O638" s="2" t="s">
        <v>53</v>
      </c>
      <c r="P638" s="2" t="s">
        <v>43</v>
      </c>
      <c r="Q638" s="2"/>
      <c r="R638" s="2" t="s">
        <v>44</v>
      </c>
      <c r="S638" s="2">
        <v>8250215703</v>
      </c>
      <c r="T638" s="2" t="s">
        <v>1387</v>
      </c>
      <c r="U638" s="2" t="s">
        <v>1785</v>
      </c>
      <c r="V638" s="2">
        <v>9784056126</v>
      </c>
      <c r="W638" s="2" t="s">
        <v>1335</v>
      </c>
      <c r="X638" s="2">
        <v>140000</v>
      </c>
      <c r="Y638" s="2" t="s">
        <v>46</v>
      </c>
      <c r="Z638" s="2" t="s">
        <v>46</v>
      </c>
      <c r="AA638" s="2" t="s">
        <v>47</v>
      </c>
      <c r="AB638" s="2">
        <v>18</v>
      </c>
      <c r="AC638" s="2" t="s">
        <v>48</v>
      </c>
      <c r="AD638" s="2">
        <v>2</v>
      </c>
    </row>
    <row r="639" spans="1:30" ht="30" x14ac:dyDescent="0.25">
      <c r="A639" s="2">
        <v>12</v>
      </c>
      <c r="B639" s="2" t="s">
        <v>37</v>
      </c>
      <c r="C639" s="2">
        <v>12947</v>
      </c>
      <c r="D639" s="3">
        <v>43281</v>
      </c>
      <c r="E639" s="2" t="s">
        <v>2930</v>
      </c>
      <c r="F639" s="2"/>
      <c r="G639" s="2" t="s">
        <v>2931</v>
      </c>
      <c r="H639" s="2" t="s">
        <v>2932</v>
      </c>
      <c r="I639" s="2" t="s">
        <v>41</v>
      </c>
      <c r="J639" s="3">
        <v>37768</v>
      </c>
      <c r="K639" s="2"/>
      <c r="L639" s="2"/>
      <c r="M639" s="2">
        <v>23</v>
      </c>
      <c r="N639" s="2">
        <v>23</v>
      </c>
      <c r="O639" s="2" t="s">
        <v>42</v>
      </c>
      <c r="P639" s="2" t="s">
        <v>43</v>
      </c>
      <c r="Q639" s="2"/>
      <c r="R639" s="2" t="s">
        <v>44</v>
      </c>
      <c r="S639" s="2">
        <v>8250215703</v>
      </c>
      <c r="T639" s="2" t="s">
        <v>2933</v>
      </c>
      <c r="U639" s="2" t="s">
        <v>2934</v>
      </c>
      <c r="V639" s="2">
        <v>9587524472</v>
      </c>
      <c r="W639" s="2" t="s">
        <v>2935</v>
      </c>
      <c r="X639" s="2">
        <v>56000</v>
      </c>
      <c r="Y639" s="2" t="s">
        <v>46</v>
      </c>
      <c r="Z639" s="2" t="s">
        <v>46</v>
      </c>
      <c r="AA639" s="2" t="s">
        <v>47</v>
      </c>
      <c r="AB639" s="2">
        <v>18</v>
      </c>
      <c r="AC639" s="2" t="s">
        <v>48</v>
      </c>
      <c r="AD639" s="2">
        <v>10</v>
      </c>
    </row>
    <row r="640" spans="1:30" ht="30" x14ac:dyDescent="0.25">
      <c r="A640" s="2">
        <v>12</v>
      </c>
      <c r="B640" s="2" t="s">
        <v>37</v>
      </c>
      <c r="C640" s="2">
        <v>13461</v>
      </c>
      <c r="D640" s="3">
        <v>44047</v>
      </c>
      <c r="E640" s="2" t="s">
        <v>2936</v>
      </c>
      <c r="F640" s="2"/>
      <c r="G640" s="2" t="s">
        <v>2301</v>
      </c>
      <c r="H640" s="2" t="s">
        <v>909</v>
      </c>
      <c r="I640" s="2" t="s">
        <v>41</v>
      </c>
      <c r="J640" s="3">
        <v>37484</v>
      </c>
      <c r="K640" s="2"/>
      <c r="L640" s="2"/>
      <c r="M640" s="2">
        <v>23</v>
      </c>
      <c r="N640" s="2">
        <v>22</v>
      </c>
      <c r="O640" s="2" t="s">
        <v>53</v>
      </c>
      <c r="P640" s="2" t="s">
        <v>43</v>
      </c>
      <c r="Q640" s="2"/>
      <c r="R640" s="2" t="s">
        <v>44</v>
      </c>
      <c r="S640" s="2">
        <v>8250215703</v>
      </c>
      <c r="T640" s="2" t="s">
        <v>2937</v>
      </c>
      <c r="U640" s="2" t="s">
        <v>2938</v>
      </c>
      <c r="V640" s="2">
        <v>6377146834</v>
      </c>
      <c r="W640" s="2" t="s">
        <v>2939</v>
      </c>
      <c r="X640" s="2">
        <v>738152</v>
      </c>
      <c r="Y640" s="2" t="s">
        <v>46</v>
      </c>
      <c r="Z640" s="2" t="s">
        <v>46</v>
      </c>
      <c r="AA640" s="2" t="s">
        <v>47</v>
      </c>
      <c r="AB640" s="2">
        <v>19</v>
      </c>
      <c r="AC640" s="2" t="s">
        <v>48</v>
      </c>
      <c r="AD640" s="2">
        <v>12</v>
      </c>
    </row>
    <row r="641" spans="1:30" ht="30" x14ac:dyDescent="0.25">
      <c r="A641" s="2">
        <v>12</v>
      </c>
      <c r="B641" s="2" t="s">
        <v>37</v>
      </c>
      <c r="C641" s="2">
        <v>13530</v>
      </c>
      <c r="D641" s="3">
        <v>44074</v>
      </c>
      <c r="E641" s="2" t="s">
        <v>2940</v>
      </c>
      <c r="F641" s="2"/>
      <c r="G641" s="2" t="s">
        <v>2941</v>
      </c>
      <c r="H641" s="2" t="s">
        <v>2942</v>
      </c>
      <c r="I641" s="2" t="s">
        <v>41</v>
      </c>
      <c r="J641" s="3">
        <v>37440</v>
      </c>
      <c r="K641" s="2"/>
      <c r="L641" s="2"/>
      <c r="M641" s="2">
        <v>23</v>
      </c>
      <c r="N641" s="2">
        <v>22</v>
      </c>
      <c r="O641" s="2" t="s">
        <v>773</v>
      </c>
      <c r="P641" s="2" t="s">
        <v>43</v>
      </c>
      <c r="Q641" s="2"/>
      <c r="R641" s="2" t="s">
        <v>44</v>
      </c>
      <c r="S641" s="2">
        <v>8250215703</v>
      </c>
      <c r="T641" s="2" t="s">
        <v>2943</v>
      </c>
      <c r="U641" s="2" t="s">
        <v>2944</v>
      </c>
      <c r="V641" s="2">
        <v>9982419475</v>
      </c>
      <c r="W641" s="2" t="s">
        <v>2945</v>
      </c>
      <c r="X641" s="2">
        <v>100000</v>
      </c>
      <c r="Y641" s="2" t="s">
        <v>46</v>
      </c>
      <c r="Z641" s="2" t="s">
        <v>240</v>
      </c>
      <c r="AA641" s="2" t="s">
        <v>47</v>
      </c>
      <c r="AB641" s="2">
        <v>19</v>
      </c>
      <c r="AC641" s="2" t="s">
        <v>48</v>
      </c>
      <c r="AD641" s="2">
        <v>2</v>
      </c>
    </row>
    <row r="642" spans="1:30" ht="30" x14ac:dyDescent="0.25">
      <c r="A642" s="2">
        <v>12</v>
      </c>
      <c r="B642" s="2" t="s">
        <v>37</v>
      </c>
      <c r="C642" s="2">
        <v>13907</v>
      </c>
      <c r="D642" s="3">
        <v>44420</v>
      </c>
      <c r="E642" s="2" t="s">
        <v>2946</v>
      </c>
      <c r="F642" s="2"/>
      <c r="G642" s="2" t="s">
        <v>2947</v>
      </c>
      <c r="H642" s="2" t="s">
        <v>2948</v>
      </c>
      <c r="I642" s="2" t="s">
        <v>41</v>
      </c>
      <c r="J642" s="3">
        <v>38505</v>
      </c>
      <c r="K642" s="2"/>
      <c r="L642" s="2"/>
      <c r="M642" s="2">
        <v>23</v>
      </c>
      <c r="N642" s="2">
        <v>23</v>
      </c>
      <c r="O642" s="2" t="s">
        <v>825</v>
      </c>
      <c r="P642" s="2" t="s">
        <v>43</v>
      </c>
      <c r="Q642" s="2"/>
      <c r="R642" s="2" t="s">
        <v>44</v>
      </c>
      <c r="S642" s="2">
        <v>8250215703</v>
      </c>
      <c r="T642" s="2" t="s">
        <v>2949</v>
      </c>
      <c r="U642" s="2"/>
      <c r="V642" s="2">
        <v>9680057044</v>
      </c>
      <c r="W642" s="2" t="s">
        <v>2950</v>
      </c>
      <c r="X642" s="2">
        <v>661758</v>
      </c>
      <c r="Y642" s="2" t="s">
        <v>46</v>
      </c>
      <c r="Z642" s="2" t="s">
        <v>46</v>
      </c>
      <c r="AA642" s="2" t="s">
        <v>47</v>
      </c>
      <c r="AB642" s="2">
        <v>16</v>
      </c>
      <c r="AC642" s="2" t="s">
        <v>48</v>
      </c>
      <c r="AD642" s="2">
        <v>2</v>
      </c>
    </row>
    <row r="643" spans="1:30" ht="30" x14ac:dyDescent="0.25">
      <c r="A643" s="2">
        <v>12</v>
      </c>
      <c r="B643" s="2" t="s">
        <v>37</v>
      </c>
      <c r="C643" s="2">
        <v>13578</v>
      </c>
      <c r="D643" s="3">
        <v>44095</v>
      </c>
      <c r="E643" s="2" t="s">
        <v>2951</v>
      </c>
      <c r="F643" s="2"/>
      <c r="G643" s="2" t="s">
        <v>2952</v>
      </c>
      <c r="H643" s="2" t="s">
        <v>2953</v>
      </c>
      <c r="I643" s="2" t="s">
        <v>41</v>
      </c>
      <c r="J643" s="3">
        <v>38706</v>
      </c>
      <c r="K643" s="2"/>
      <c r="L643" s="2"/>
      <c r="M643" s="2">
        <v>23</v>
      </c>
      <c r="N643" s="2">
        <v>22</v>
      </c>
      <c r="O643" s="2" t="s">
        <v>53</v>
      </c>
      <c r="P643" s="2" t="s">
        <v>43</v>
      </c>
      <c r="Q643" s="2"/>
      <c r="R643" s="2" t="s">
        <v>44</v>
      </c>
      <c r="S643" s="2">
        <v>8250215703</v>
      </c>
      <c r="T643" s="2" t="s">
        <v>2954</v>
      </c>
      <c r="U643" s="2"/>
      <c r="V643" s="2">
        <v>9352853943</v>
      </c>
      <c r="W643" s="2" t="s">
        <v>2955</v>
      </c>
      <c r="X643" s="2">
        <v>152000</v>
      </c>
      <c r="Y643" s="2" t="s">
        <v>46</v>
      </c>
      <c r="Z643" s="2" t="s">
        <v>46</v>
      </c>
      <c r="AA643" s="2" t="s">
        <v>47</v>
      </c>
      <c r="AB643" s="2">
        <v>16</v>
      </c>
      <c r="AC643" s="2" t="s">
        <v>48</v>
      </c>
      <c r="AD643" s="2">
        <v>12</v>
      </c>
    </row>
    <row r="644" spans="1:30" ht="30" x14ac:dyDescent="0.25">
      <c r="A644" s="2">
        <v>12</v>
      </c>
      <c r="B644" s="2" t="s">
        <v>37</v>
      </c>
      <c r="C644" s="2">
        <v>13574</v>
      </c>
      <c r="D644" s="3">
        <v>44095</v>
      </c>
      <c r="E644" s="2" t="s">
        <v>2956</v>
      </c>
      <c r="F644" s="2"/>
      <c r="G644" s="2" t="s">
        <v>2957</v>
      </c>
      <c r="H644" s="2" t="s">
        <v>2550</v>
      </c>
      <c r="I644" s="2" t="s">
        <v>52</v>
      </c>
      <c r="J644" s="3">
        <v>38806</v>
      </c>
      <c r="K644" s="2"/>
      <c r="L644" s="2"/>
      <c r="M644" s="2">
        <v>23</v>
      </c>
      <c r="N644" s="2">
        <v>23</v>
      </c>
      <c r="O644" s="2" t="s">
        <v>53</v>
      </c>
      <c r="P644" s="2" t="s">
        <v>43</v>
      </c>
      <c r="Q644" s="2"/>
      <c r="R644" s="2" t="s">
        <v>44</v>
      </c>
      <c r="S644" s="2">
        <v>8250215703</v>
      </c>
      <c r="T644" s="2" t="s">
        <v>2958</v>
      </c>
      <c r="U644" s="2" t="s">
        <v>2959</v>
      </c>
      <c r="V644" s="2">
        <v>9460252809</v>
      </c>
      <c r="W644" s="2" t="s">
        <v>2960</v>
      </c>
      <c r="X644" s="2">
        <v>86000</v>
      </c>
      <c r="Y644" s="2" t="s">
        <v>46</v>
      </c>
      <c r="Z644" s="2" t="s">
        <v>46</v>
      </c>
      <c r="AA644" s="2" t="s">
        <v>47</v>
      </c>
      <c r="AB644" s="2">
        <v>15</v>
      </c>
      <c r="AC644" s="2" t="s">
        <v>48</v>
      </c>
      <c r="AD644" s="2">
        <v>6</v>
      </c>
    </row>
    <row r="645" spans="1:30" ht="30" x14ac:dyDescent="0.25">
      <c r="A645" s="2">
        <v>12</v>
      </c>
      <c r="B645" s="2" t="s">
        <v>37</v>
      </c>
      <c r="C645" s="2">
        <v>13495</v>
      </c>
      <c r="D645" s="3">
        <v>44063</v>
      </c>
      <c r="E645" s="2" t="s">
        <v>2961</v>
      </c>
      <c r="F645" s="2"/>
      <c r="G645" s="2" t="s">
        <v>2962</v>
      </c>
      <c r="H645" s="2" t="s">
        <v>2963</v>
      </c>
      <c r="I645" s="2" t="s">
        <v>41</v>
      </c>
      <c r="J645" s="3">
        <v>38498</v>
      </c>
      <c r="K645" s="2"/>
      <c r="L645" s="2"/>
      <c r="M645" s="2">
        <v>23</v>
      </c>
      <c r="N645" s="2">
        <v>22</v>
      </c>
      <c r="O645" s="2" t="s">
        <v>53</v>
      </c>
      <c r="P645" s="2" t="s">
        <v>43</v>
      </c>
      <c r="Q645" s="2"/>
      <c r="R645" s="2" t="s">
        <v>44</v>
      </c>
      <c r="S645" s="2">
        <v>8250215703</v>
      </c>
      <c r="T645" s="2" t="s">
        <v>2964</v>
      </c>
      <c r="U645" s="2" t="s">
        <v>2965</v>
      </c>
      <c r="V645" s="2">
        <v>8209481612</v>
      </c>
      <c r="W645" s="2" t="s">
        <v>2966</v>
      </c>
      <c r="X645" s="2">
        <v>60000</v>
      </c>
      <c r="Y645" s="2" t="s">
        <v>46</v>
      </c>
      <c r="Z645" s="2" t="s">
        <v>46</v>
      </c>
      <c r="AA645" s="2" t="s">
        <v>47</v>
      </c>
      <c r="AB645" s="2">
        <v>16</v>
      </c>
      <c r="AC645" s="2" t="s">
        <v>48</v>
      </c>
      <c r="AD645" s="2">
        <v>6</v>
      </c>
    </row>
    <row r="646" spans="1:30" ht="30" x14ac:dyDescent="0.25">
      <c r="A646" s="2">
        <v>12</v>
      </c>
      <c r="B646" s="2" t="s">
        <v>37</v>
      </c>
      <c r="C646" s="2">
        <v>13465</v>
      </c>
      <c r="D646" s="3">
        <v>44047</v>
      </c>
      <c r="E646" s="2" t="s">
        <v>2967</v>
      </c>
      <c r="F646" s="2"/>
      <c r="G646" s="2" t="s">
        <v>759</v>
      </c>
      <c r="H646" s="2" t="s">
        <v>1157</v>
      </c>
      <c r="I646" s="2" t="s">
        <v>41</v>
      </c>
      <c r="J646" s="3">
        <v>38253</v>
      </c>
      <c r="K646" s="2"/>
      <c r="L646" s="2"/>
      <c r="M646" s="2">
        <v>23</v>
      </c>
      <c r="N646" s="2">
        <v>23</v>
      </c>
      <c r="O646" s="2" t="s">
        <v>53</v>
      </c>
      <c r="P646" s="2" t="s">
        <v>43</v>
      </c>
      <c r="Q646" s="2"/>
      <c r="R646" s="2" t="s">
        <v>44</v>
      </c>
      <c r="S646" s="2">
        <v>8250215703</v>
      </c>
      <c r="T646" s="2" t="s">
        <v>2968</v>
      </c>
      <c r="U646" s="2" t="s">
        <v>2969</v>
      </c>
      <c r="V646" s="2">
        <v>9929716276</v>
      </c>
      <c r="W646" s="2" t="s">
        <v>2970</v>
      </c>
      <c r="X646" s="2">
        <v>30000</v>
      </c>
      <c r="Y646" s="2" t="s">
        <v>46</v>
      </c>
      <c r="Z646" s="2" t="s">
        <v>46</v>
      </c>
      <c r="AA646" s="2" t="s">
        <v>47</v>
      </c>
      <c r="AB646" s="2">
        <v>17</v>
      </c>
      <c r="AC646" s="2" t="s">
        <v>48</v>
      </c>
      <c r="AD646" s="2">
        <v>0</v>
      </c>
    </row>
    <row r="647" spans="1:30" ht="30" x14ac:dyDescent="0.25">
      <c r="A647" s="2">
        <v>12</v>
      </c>
      <c r="B647" s="2" t="s">
        <v>37</v>
      </c>
      <c r="C647" s="2">
        <v>13459</v>
      </c>
      <c r="D647" s="3">
        <v>44047</v>
      </c>
      <c r="E647" s="2" t="s">
        <v>2971</v>
      </c>
      <c r="F647" s="2"/>
      <c r="G647" s="2" t="s">
        <v>2972</v>
      </c>
      <c r="H647" s="2" t="s">
        <v>88</v>
      </c>
      <c r="I647" s="2" t="s">
        <v>41</v>
      </c>
      <c r="J647" s="3">
        <v>38401</v>
      </c>
      <c r="K647" s="2"/>
      <c r="L647" s="2"/>
      <c r="M647" s="2">
        <v>23</v>
      </c>
      <c r="N647" s="2">
        <v>23</v>
      </c>
      <c r="O647" s="2" t="s">
        <v>53</v>
      </c>
      <c r="P647" s="2" t="s">
        <v>43</v>
      </c>
      <c r="Q647" s="2"/>
      <c r="R647" s="2" t="s">
        <v>44</v>
      </c>
      <c r="S647" s="2">
        <v>8250215703</v>
      </c>
      <c r="T647" s="2" t="s">
        <v>2973</v>
      </c>
      <c r="U647" s="2"/>
      <c r="V647" s="2">
        <v>9829274952</v>
      </c>
      <c r="W647" s="2" t="s">
        <v>2974</v>
      </c>
      <c r="X647" s="2">
        <v>892202</v>
      </c>
      <c r="Y647" s="2" t="s">
        <v>46</v>
      </c>
      <c r="Z647" s="2" t="s">
        <v>46</v>
      </c>
      <c r="AA647" s="2" t="s">
        <v>47</v>
      </c>
      <c r="AB647" s="2">
        <v>16</v>
      </c>
      <c r="AC647" s="2" t="s">
        <v>48</v>
      </c>
      <c r="AD647" s="2">
        <v>10</v>
      </c>
    </row>
    <row r="648" spans="1:30" ht="45" x14ac:dyDescent="0.25">
      <c r="A648" s="2">
        <v>12</v>
      </c>
      <c r="B648" s="2" t="s">
        <v>37</v>
      </c>
      <c r="C648" s="2">
        <v>13456</v>
      </c>
      <c r="D648" s="3">
        <v>44047</v>
      </c>
      <c r="E648" s="2" t="s">
        <v>2975</v>
      </c>
      <c r="F648" s="2"/>
      <c r="G648" s="2" t="s">
        <v>2976</v>
      </c>
      <c r="H648" s="2" t="s">
        <v>2977</v>
      </c>
      <c r="I648" s="2" t="s">
        <v>41</v>
      </c>
      <c r="J648" s="3">
        <v>38058</v>
      </c>
      <c r="K648" s="2"/>
      <c r="L648" s="2"/>
      <c r="M648" s="2">
        <v>23</v>
      </c>
      <c r="N648" s="2">
        <v>21</v>
      </c>
      <c r="O648" s="2" t="s">
        <v>78</v>
      </c>
      <c r="P648" s="2" t="s">
        <v>43</v>
      </c>
      <c r="Q648" s="2"/>
      <c r="R648" s="2" t="s">
        <v>44</v>
      </c>
      <c r="S648" s="2">
        <v>8250215703</v>
      </c>
      <c r="T648" s="2" t="s">
        <v>2978</v>
      </c>
      <c r="U648" s="2" t="s">
        <v>2979</v>
      </c>
      <c r="V648" s="2">
        <v>9950573759</v>
      </c>
      <c r="W648" s="2" t="s">
        <v>2980</v>
      </c>
      <c r="X648" s="2">
        <v>35000</v>
      </c>
      <c r="Y648" s="2" t="s">
        <v>46</v>
      </c>
      <c r="Z648" s="2" t="s">
        <v>46</v>
      </c>
      <c r="AA648" s="2" t="s">
        <v>47</v>
      </c>
      <c r="AB648" s="2">
        <v>17</v>
      </c>
      <c r="AC648" s="2" t="s">
        <v>48</v>
      </c>
      <c r="AD648" s="2">
        <v>4</v>
      </c>
    </row>
    <row r="649" spans="1:30" ht="30" x14ac:dyDescent="0.25">
      <c r="A649" s="2">
        <v>12</v>
      </c>
      <c r="B649" s="2" t="s">
        <v>37</v>
      </c>
      <c r="C649" s="2">
        <v>13490</v>
      </c>
      <c r="D649" s="3">
        <v>44063</v>
      </c>
      <c r="E649" s="2" t="s">
        <v>2981</v>
      </c>
      <c r="F649" s="2"/>
      <c r="G649" s="2" t="s">
        <v>2982</v>
      </c>
      <c r="H649" s="2" t="s">
        <v>2983</v>
      </c>
      <c r="I649" s="2" t="s">
        <v>52</v>
      </c>
      <c r="J649" s="3">
        <v>38828</v>
      </c>
      <c r="K649" s="2"/>
      <c r="L649" s="2"/>
      <c r="M649" s="2">
        <v>23</v>
      </c>
      <c r="N649" s="2">
        <v>20</v>
      </c>
      <c r="O649" s="2" t="s">
        <v>78</v>
      </c>
      <c r="P649" s="2" t="s">
        <v>43</v>
      </c>
      <c r="Q649" s="2"/>
      <c r="R649" s="2" t="s">
        <v>44</v>
      </c>
      <c r="S649" s="2">
        <v>8250215703</v>
      </c>
      <c r="T649" s="2" t="s">
        <v>2984</v>
      </c>
      <c r="U649" s="2" t="s">
        <v>2985</v>
      </c>
      <c r="V649" s="2">
        <v>9001008982</v>
      </c>
      <c r="W649" s="2" t="s">
        <v>1846</v>
      </c>
      <c r="X649" s="2">
        <v>471512</v>
      </c>
      <c r="Y649" s="2" t="s">
        <v>46</v>
      </c>
      <c r="Z649" s="2" t="s">
        <v>46</v>
      </c>
      <c r="AA649" s="2" t="s">
        <v>47</v>
      </c>
      <c r="AB649" s="2">
        <v>15</v>
      </c>
      <c r="AC649" s="2" t="s">
        <v>48</v>
      </c>
      <c r="AD649" s="2">
        <v>0</v>
      </c>
    </row>
    <row r="650" spans="1:30" ht="30" x14ac:dyDescent="0.25">
      <c r="A650" s="2">
        <v>12</v>
      </c>
      <c r="B650" s="2" t="s">
        <v>37</v>
      </c>
      <c r="C650" s="2">
        <v>13533</v>
      </c>
      <c r="D650" s="3">
        <v>44075</v>
      </c>
      <c r="E650" s="2" t="s">
        <v>400</v>
      </c>
      <c r="F650" s="2"/>
      <c r="G650" s="2" t="s">
        <v>829</v>
      </c>
      <c r="H650" s="2" t="s">
        <v>1076</v>
      </c>
      <c r="I650" s="2" t="s">
        <v>52</v>
      </c>
      <c r="J650" s="3">
        <v>37775</v>
      </c>
      <c r="K650" s="2"/>
      <c r="L650" s="2"/>
      <c r="M650" s="2">
        <v>23</v>
      </c>
      <c r="N650" s="2">
        <v>16</v>
      </c>
      <c r="O650" s="2" t="s">
        <v>53</v>
      </c>
      <c r="P650" s="2" t="s">
        <v>43</v>
      </c>
      <c r="Q650" s="2"/>
      <c r="R650" s="2" t="s">
        <v>44</v>
      </c>
      <c r="S650" s="2">
        <v>8250215703</v>
      </c>
      <c r="T650" s="2" t="s">
        <v>2986</v>
      </c>
      <c r="U650" s="2" t="s">
        <v>2987</v>
      </c>
      <c r="V650" s="2">
        <v>9001865100</v>
      </c>
      <c r="W650" s="2" t="s">
        <v>2988</v>
      </c>
      <c r="X650" s="2">
        <v>250000</v>
      </c>
      <c r="Y650" s="2" t="s">
        <v>46</v>
      </c>
      <c r="Z650" s="2" t="s">
        <v>46</v>
      </c>
      <c r="AA650" s="2" t="s">
        <v>47</v>
      </c>
      <c r="AB650" s="2">
        <v>18</v>
      </c>
      <c r="AC650" s="2" t="s">
        <v>48</v>
      </c>
      <c r="AD650" s="2">
        <v>3</v>
      </c>
    </row>
    <row r="651" spans="1:30" ht="30" x14ac:dyDescent="0.25">
      <c r="A651" s="2">
        <v>12</v>
      </c>
      <c r="B651" s="2" t="s">
        <v>37</v>
      </c>
      <c r="C651" s="2">
        <v>13458</v>
      </c>
      <c r="D651" s="3">
        <v>44047</v>
      </c>
      <c r="E651" s="2" t="s">
        <v>2989</v>
      </c>
      <c r="F651" s="2"/>
      <c r="G651" s="2" t="s">
        <v>1524</v>
      </c>
      <c r="H651" s="2" t="s">
        <v>905</v>
      </c>
      <c r="I651" s="2" t="s">
        <v>41</v>
      </c>
      <c r="J651" s="3">
        <v>38436</v>
      </c>
      <c r="K651" s="2"/>
      <c r="L651" s="2"/>
      <c r="M651" s="2">
        <v>23</v>
      </c>
      <c r="N651" s="2">
        <v>23</v>
      </c>
      <c r="O651" s="2" t="s">
        <v>53</v>
      </c>
      <c r="P651" s="2" t="s">
        <v>43</v>
      </c>
      <c r="Q651" s="2"/>
      <c r="R651" s="2" t="s">
        <v>44</v>
      </c>
      <c r="S651" s="2">
        <v>8250215703</v>
      </c>
      <c r="T651" s="2" t="s">
        <v>2990</v>
      </c>
      <c r="U651" s="2" t="s">
        <v>2991</v>
      </c>
      <c r="V651" s="2">
        <v>8769991841</v>
      </c>
      <c r="W651" s="2" t="s">
        <v>2992</v>
      </c>
      <c r="X651" s="2">
        <v>40000</v>
      </c>
      <c r="Y651" s="2" t="s">
        <v>46</v>
      </c>
      <c r="Z651" s="2" t="s">
        <v>46</v>
      </c>
      <c r="AA651" s="2" t="s">
        <v>47</v>
      </c>
      <c r="AB651" s="2">
        <v>16</v>
      </c>
      <c r="AC651" s="2" t="s">
        <v>48</v>
      </c>
      <c r="AD651" s="2">
        <v>2</v>
      </c>
    </row>
    <row r="652" spans="1:30" ht="30" x14ac:dyDescent="0.25">
      <c r="A652" s="2">
        <v>12</v>
      </c>
      <c r="B652" s="2" t="s">
        <v>37</v>
      </c>
      <c r="C652" s="2">
        <v>13492</v>
      </c>
      <c r="D652" s="3">
        <v>44063</v>
      </c>
      <c r="E652" s="2" t="s">
        <v>2993</v>
      </c>
      <c r="F652" s="2"/>
      <c r="G652" s="2" t="s">
        <v>2994</v>
      </c>
      <c r="H652" s="2" t="s">
        <v>2995</v>
      </c>
      <c r="I652" s="2" t="s">
        <v>52</v>
      </c>
      <c r="J652" s="3">
        <v>38070</v>
      </c>
      <c r="K652" s="2"/>
      <c r="L652" s="2"/>
      <c r="M652" s="2">
        <v>23</v>
      </c>
      <c r="N652" s="2">
        <v>23</v>
      </c>
      <c r="O652" s="2" t="s">
        <v>53</v>
      </c>
      <c r="P652" s="2" t="s">
        <v>43</v>
      </c>
      <c r="Q652" s="2"/>
      <c r="R652" s="2" t="s">
        <v>44</v>
      </c>
      <c r="S652" s="2">
        <v>8250215703</v>
      </c>
      <c r="T652" s="2" t="s">
        <v>2996</v>
      </c>
      <c r="U652" s="2" t="s">
        <v>2997</v>
      </c>
      <c r="V652" s="2">
        <v>9413024912</v>
      </c>
      <c r="W652" s="2" t="s">
        <v>2998</v>
      </c>
      <c r="X652" s="2">
        <v>48000</v>
      </c>
      <c r="Y652" s="2" t="s">
        <v>46</v>
      </c>
      <c r="Z652" s="2" t="s">
        <v>46</v>
      </c>
      <c r="AA652" s="2" t="s">
        <v>47</v>
      </c>
      <c r="AB652" s="2">
        <v>17</v>
      </c>
      <c r="AC652" s="2" t="s">
        <v>48</v>
      </c>
      <c r="AD652" s="2">
        <v>2</v>
      </c>
    </row>
    <row r="653" spans="1:30" ht="45" x14ac:dyDescent="0.25">
      <c r="A653" s="2">
        <v>12</v>
      </c>
      <c r="B653" s="2" t="s">
        <v>37</v>
      </c>
      <c r="C653" s="2">
        <v>13609</v>
      </c>
      <c r="D653" s="3">
        <v>44119</v>
      </c>
      <c r="E653" s="2" t="s">
        <v>373</v>
      </c>
      <c r="F653" s="2"/>
      <c r="G653" s="2" t="s">
        <v>2999</v>
      </c>
      <c r="H653" s="2" t="s">
        <v>856</v>
      </c>
      <c r="I653" s="2" t="s">
        <v>41</v>
      </c>
      <c r="J653" s="3">
        <v>38580</v>
      </c>
      <c r="K653" s="2"/>
      <c r="L653" s="2"/>
      <c r="M653" s="2">
        <v>23</v>
      </c>
      <c r="N653" s="2">
        <v>18</v>
      </c>
      <c r="O653" s="2" t="s">
        <v>53</v>
      </c>
      <c r="P653" s="2" t="s">
        <v>43</v>
      </c>
      <c r="Q653" s="2"/>
      <c r="R653" s="2" t="s">
        <v>44</v>
      </c>
      <c r="S653" s="2">
        <v>8250215703</v>
      </c>
      <c r="T653" s="2" t="s">
        <v>3000</v>
      </c>
      <c r="U653" s="2" t="s">
        <v>3001</v>
      </c>
      <c r="V653" s="2">
        <v>9057547927</v>
      </c>
      <c r="W653" s="2" t="s">
        <v>3002</v>
      </c>
      <c r="X653" s="2">
        <v>40000</v>
      </c>
      <c r="Y653" s="2" t="s">
        <v>46</v>
      </c>
      <c r="Z653" s="2" t="s">
        <v>46</v>
      </c>
      <c r="AA653" s="2" t="s">
        <v>47</v>
      </c>
      <c r="AB653" s="2">
        <v>16</v>
      </c>
      <c r="AC653" s="2" t="s">
        <v>48</v>
      </c>
      <c r="AD653" s="2">
        <v>3</v>
      </c>
    </row>
    <row r="654" spans="1:30" ht="30" x14ac:dyDescent="0.25">
      <c r="A654" s="2">
        <v>12</v>
      </c>
      <c r="B654" s="2" t="s">
        <v>37</v>
      </c>
      <c r="C654" s="2">
        <v>13464</v>
      </c>
      <c r="D654" s="3">
        <v>44047</v>
      </c>
      <c r="E654" s="2" t="s">
        <v>3003</v>
      </c>
      <c r="F654" s="2"/>
      <c r="G654" s="2" t="s">
        <v>3004</v>
      </c>
      <c r="H654" s="2" t="s">
        <v>379</v>
      </c>
      <c r="I654" s="2" t="s">
        <v>52</v>
      </c>
      <c r="J654" s="3">
        <v>38536</v>
      </c>
      <c r="K654" s="2"/>
      <c r="L654" s="2"/>
      <c r="M654" s="2">
        <v>23</v>
      </c>
      <c r="N654" s="2">
        <v>22</v>
      </c>
      <c r="O654" s="2" t="s">
        <v>53</v>
      </c>
      <c r="P654" s="2" t="s">
        <v>43</v>
      </c>
      <c r="Q654" s="2"/>
      <c r="R654" s="2" t="s">
        <v>44</v>
      </c>
      <c r="S654" s="2">
        <v>8250215703</v>
      </c>
      <c r="T654" s="2" t="s">
        <v>3005</v>
      </c>
      <c r="U654" s="2" t="s">
        <v>3006</v>
      </c>
      <c r="V654" s="2">
        <v>9950808379</v>
      </c>
      <c r="W654" s="2" t="s">
        <v>1093</v>
      </c>
      <c r="X654" s="2">
        <v>36000</v>
      </c>
      <c r="Y654" s="2" t="s">
        <v>46</v>
      </c>
      <c r="Z654" s="2" t="s">
        <v>240</v>
      </c>
      <c r="AA654" s="2" t="s">
        <v>47</v>
      </c>
      <c r="AB654" s="2">
        <v>16</v>
      </c>
      <c r="AC654" s="2" t="s">
        <v>48</v>
      </c>
      <c r="AD654" s="2">
        <v>0</v>
      </c>
    </row>
    <row r="655" spans="1:30" ht="30" x14ac:dyDescent="0.25">
      <c r="A655" s="2">
        <v>12</v>
      </c>
      <c r="B655" s="2" t="s">
        <v>37</v>
      </c>
      <c r="C655" s="2">
        <v>13493</v>
      </c>
      <c r="D655" s="3">
        <v>44063</v>
      </c>
      <c r="E655" s="2" t="s">
        <v>3007</v>
      </c>
      <c r="F655" s="2"/>
      <c r="G655" s="2" t="s">
        <v>3008</v>
      </c>
      <c r="H655" s="2" t="s">
        <v>830</v>
      </c>
      <c r="I655" s="2" t="s">
        <v>41</v>
      </c>
      <c r="J655" s="3">
        <v>38488</v>
      </c>
      <c r="K655" s="2"/>
      <c r="L655" s="2"/>
      <c r="M655" s="2">
        <v>23</v>
      </c>
      <c r="N655" s="2">
        <v>22</v>
      </c>
      <c r="O655" s="2" t="s">
        <v>53</v>
      </c>
      <c r="P655" s="2" t="s">
        <v>43</v>
      </c>
      <c r="Q655" s="2"/>
      <c r="R655" s="2" t="s">
        <v>44</v>
      </c>
      <c r="S655" s="2">
        <v>8250215703</v>
      </c>
      <c r="T655" s="2" t="s">
        <v>3009</v>
      </c>
      <c r="U655" s="2" t="s">
        <v>3010</v>
      </c>
      <c r="V655" s="2">
        <v>8949349415</v>
      </c>
      <c r="W655" s="2" t="s">
        <v>1846</v>
      </c>
      <c r="X655" s="2">
        <v>36000</v>
      </c>
      <c r="Y655" s="2" t="s">
        <v>46</v>
      </c>
      <c r="Z655" s="2" t="s">
        <v>46</v>
      </c>
      <c r="AA655" s="2" t="s">
        <v>47</v>
      </c>
      <c r="AB655" s="2">
        <v>16</v>
      </c>
      <c r="AC655" s="2" t="s">
        <v>48</v>
      </c>
      <c r="AD655" s="2">
        <v>2</v>
      </c>
    </row>
    <row r="656" spans="1:30" ht="30" x14ac:dyDescent="0.25">
      <c r="A656" s="2">
        <v>12</v>
      </c>
      <c r="B656" s="2" t="s">
        <v>37</v>
      </c>
      <c r="C656" s="2">
        <v>13529</v>
      </c>
      <c r="D656" s="3">
        <v>44074</v>
      </c>
      <c r="E656" s="2" t="s">
        <v>3011</v>
      </c>
      <c r="F656" s="2" t="s">
        <v>229</v>
      </c>
      <c r="G656" s="2" t="s">
        <v>3012</v>
      </c>
      <c r="H656" s="2" t="s">
        <v>3013</v>
      </c>
      <c r="I656" s="2" t="s">
        <v>52</v>
      </c>
      <c r="J656" s="3">
        <v>38764</v>
      </c>
      <c r="K656" s="2"/>
      <c r="L656" s="2"/>
      <c r="M656" s="2">
        <v>23</v>
      </c>
      <c r="N656" s="2">
        <v>22</v>
      </c>
      <c r="O656" s="2" t="s">
        <v>53</v>
      </c>
      <c r="P656" s="2" t="s">
        <v>43</v>
      </c>
      <c r="Q656" s="2"/>
      <c r="R656" s="2" t="s">
        <v>44</v>
      </c>
      <c r="S656" s="2">
        <v>8250215703</v>
      </c>
      <c r="T656" s="2" t="s">
        <v>3014</v>
      </c>
      <c r="U656" s="2"/>
      <c r="V656" s="2">
        <v>9414659111</v>
      </c>
      <c r="W656" s="2" t="s">
        <v>3015</v>
      </c>
      <c r="X656" s="2">
        <v>100000</v>
      </c>
      <c r="Y656" s="2" t="s">
        <v>46</v>
      </c>
      <c r="Z656" s="2" t="s">
        <v>46</v>
      </c>
      <c r="AA656" s="2" t="s">
        <v>47</v>
      </c>
      <c r="AB656" s="2">
        <v>15</v>
      </c>
      <c r="AC656" s="2" t="s">
        <v>48</v>
      </c>
      <c r="AD656" s="2">
        <v>3</v>
      </c>
    </row>
    <row r="657" spans="1:30" ht="30" x14ac:dyDescent="0.25">
      <c r="A657" s="2">
        <v>12</v>
      </c>
      <c r="B657" s="2" t="s">
        <v>37</v>
      </c>
      <c r="C657" s="2">
        <v>13532</v>
      </c>
      <c r="D657" s="3">
        <v>44074</v>
      </c>
      <c r="E657" s="2" t="s">
        <v>3016</v>
      </c>
      <c r="F657" s="2" t="s">
        <v>229</v>
      </c>
      <c r="G657" s="2" t="s">
        <v>3017</v>
      </c>
      <c r="H657" s="2" t="s">
        <v>3018</v>
      </c>
      <c r="I657" s="2" t="s">
        <v>52</v>
      </c>
      <c r="J657" s="3">
        <v>38585</v>
      </c>
      <c r="K657" s="2"/>
      <c r="L657" s="2"/>
      <c r="M657" s="2">
        <v>23</v>
      </c>
      <c r="N657" s="2">
        <v>23</v>
      </c>
      <c r="O657" s="2" t="s">
        <v>78</v>
      </c>
      <c r="P657" s="2" t="s">
        <v>43</v>
      </c>
      <c r="Q657" s="2"/>
      <c r="R657" s="2" t="s">
        <v>44</v>
      </c>
      <c r="S657" s="2">
        <v>8250215703</v>
      </c>
      <c r="T657" s="2" t="s">
        <v>3019</v>
      </c>
      <c r="U657" s="2" t="s">
        <v>3020</v>
      </c>
      <c r="V657" s="2">
        <v>9352970768</v>
      </c>
      <c r="W657" s="2" t="s">
        <v>3021</v>
      </c>
      <c r="X657" s="2">
        <v>20000</v>
      </c>
      <c r="Y657" s="2" t="s">
        <v>46</v>
      </c>
      <c r="Z657" s="2" t="s">
        <v>46</v>
      </c>
      <c r="AA657" s="2" t="s">
        <v>47</v>
      </c>
      <c r="AB657" s="2">
        <v>16</v>
      </c>
      <c r="AC657" s="2" t="s">
        <v>48</v>
      </c>
      <c r="AD657" s="2">
        <v>1</v>
      </c>
    </row>
    <row r="658" spans="1:30" ht="30" x14ac:dyDescent="0.25">
      <c r="A658" s="2">
        <v>12</v>
      </c>
      <c r="B658" s="2" t="s">
        <v>37</v>
      </c>
      <c r="C658" s="2">
        <v>13776</v>
      </c>
      <c r="D658" s="3">
        <v>44396</v>
      </c>
      <c r="E658" s="2" t="s">
        <v>3022</v>
      </c>
      <c r="F658" s="2"/>
      <c r="G658" s="2" t="s">
        <v>3023</v>
      </c>
      <c r="H658" s="2" t="s">
        <v>3024</v>
      </c>
      <c r="I658" s="2" t="s">
        <v>41</v>
      </c>
      <c r="J658" s="3">
        <v>37757</v>
      </c>
      <c r="K658" s="2"/>
      <c r="L658" s="2"/>
      <c r="M658" s="2">
        <v>23</v>
      </c>
      <c r="N658" s="2">
        <v>23</v>
      </c>
      <c r="O658" s="2" t="s">
        <v>53</v>
      </c>
      <c r="P658" s="2" t="s">
        <v>43</v>
      </c>
      <c r="Q658" s="2"/>
      <c r="R658" s="2" t="s">
        <v>44</v>
      </c>
      <c r="S658" s="2">
        <v>8250215703</v>
      </c>
      <c r="T658" s="2" t="s">
        <v>3025</v>
      </c>
      <c r="U658" s="2"/>
      <c r="V658" s="2">
        <v>7232852297</v>
      </c>
      <c r="W658" s="2" t="s">
        <v>3026</v>
      </c>
      <c r="X658" s="2">
        <v>50000</v>
      </c>
      <c r="Y658" s="2" t="s">
        <v>46</v>
      </c>
      <c r="Z658" s="2" t="s">
        <v>46</v>
      </c>
      <c r="AA658" s="2" t="s">
        <v>47</v>
      </c>
      <c r="AB658" s="2">
        <v>18</v>
      </c>
      <c r="AC658" s="2" t="s">
        <v>48</v>
      </c>
      <c r="AD658" s="2">
        <v>15</v>
      </c>
    </row>
    <row r="659" spans="1:30" ht="30" x14ac:dyDescent="0.25">
      <c r="A659" s="2">
        <v>12</v>
      </c>
      <c r="B659" s="2" t="s">
        <v>37</v>
      </c>
      <c r="C659" s="2">
        <v>13579</v>
      </c>
      <c r="D659" s="3">
        <v>44095</v>
      </c>
      <c r="E659" s="2" t="s">
        <v>3027</v>
      </c>
      <c r="F659" s="2"/>
      <c r="G659" s="2" t="s">
        <v>3028</v>
      </c>
      <c r="H659" s="2" t="s">
        <v>3029</v>
      </c>
      <c r="I659" s="2" t="s">
        <v>41</v>
      </c>
      <c r="J659" s="3">
        <v>38690</v>
      </c>
      <c r="K659" s="2"/>
      <c r="L659" s="2"/>
      <c r="M659" s="2">
        <v>23</v>
      </c>
      <c r="N659" s="2">
        <v>22</v>
      </c>
      <c r="O659" s="2" t="s">
        <v>53</v>
      </c>
      <c r="P659" s="2" t="s">
        <v>43</v>
      </c>
      <c r="Q659" s="2"/>
      <c r="R659" s="2" t="s">
        <v>44</v>
      </c>
      <c r="S659" s="2">
        <v>8250215703</v>
      </c>
      <c r="T659" s="2" t="s">
        <v>3030</v>
      </c>
      <c r="U659" s="2" t="s">
        <v>3031</v>
      </c>
      <c r="V659" s="2">
        <v>8890381175</v>
      </c>
      <c r="W659" s="2" t="s">
        <v>3032</v>
      </c>
      <c r="X659" s="2">
        <v>36000</v>
      </c>
      <c r="Y659" s="2" t="s">
        <v>46</v>
      </c>
      <c r="Z659" s="2" t="s">
        <v>46</v>
      </c>
      <c r="AA659" s="2" t="s">
        <v>47</v>
      </c>
      <c r="AB659" s="2">
        <v>16</v>
      </c>
      <c r="AC659" s="2" t="s">
        <v>48</v>
      </c>
      <c r="AD659" s="2">
        <v>3</v>
      </c>
    </row>
    <row r="660" spans="1:30" ht="30" x14ac:dyDescent="0.25">
      <c r="A660" s="2">
        <v>12</v>
      </c>
      <c r="B660" s="2" t="s">
        <v>37</v>
      </c>
      <c r="C660" s="2">
        <v>13491</v>
      </c>
      <c r="D660" s="3">
        <v>44063</v>
      </c>
      <c r="E660" s="2" t="s">
        <v>3033</v>
      </c>
      <c r="F660" s="2"/>
      <c r="G660" s="2" t="s">
        <v>3034</v>
      </c>
      <c r="H660" s="2" t="s">
        <v>3035</v>
      </c>
      <c r="I660" s="2" t="s">
        <v>52</v>
      </c>
      <c r="J660" s="3">
        <v>38718</v>
      </c>
      <c r="K660" s="2"/>
      <c r="L660" s="2"/>
      <c r="M660" s="2">
        <v>23</v>
      </c>
      <c r="N660" s="2">
        <v>20</v>
      </c>
      <c r="O660" s="2" t="s">
        <v>42</v>
      </c>
      <c r="P660" s="2" t="s">
        <v>43</v>
      </c>
      <c r="Q660" s="2"/>
      <c r="R660" s="2" t="s">
        <v>44</v>
      </c>
      <c r="S660" s="2">
        <v>8250215703</v>
      </c>
      <c r="T660" s="2" t="s">
        <v>3036</v>
      </c>
      <c r="U660" s="2" t="s">
        <v>3037</v>
      </c>
      <c r="V660" s="2">
        <v>8233370114</v>
      </c>
      <c r="W660" s="2" t="s">
        <v>3038</v>
      </c>
      <c r="X660" s="2">
        <v>284000</v>
      </c>
      <c r="Y660" s="2" t="s">
        <v>46</v>
      </c>
      <c r="Z660" s="2" t="s">
        <v>46</v>
      </c>
      <c r="AA660" s="2" t="s">
        <v>47</v>
      </c>
      <c r="AB660" s="2">
        <v>15</v>
      </c>
      <c r="AC660" s="2" t="s">
        <v>48</v>
      </c>
      <c r="AD660" s="2">
        <v>0</v>
      </c>
    </row>
    <row r="661" spans="1:30" ht="30" x14ac:dyDescent="0.25">
      <c r="A661" s="2">
        <v>12</v>
      </c>
      <c r="B661" s="2" t="s">
        <v>37</v>
      </c>
      <c r="C661" s="2">
        <v>13462</v>
      </c>
      <c r="D661" s="3">
        <v>44047</v>
      </c>
      <c r="E661" s="2" t="s">
        <v>1748</v>
      </c>
      <c r="F661" s="2"/>
      <c r="G661" s="2" t="s">
        <v>3039</v>
      </c>
      <c r="H661" s="2" t="s">
        <v>3040</v>
      </c>
      <c r="I661" s="2" t="s">
        <v>41</v>
      </c>
      <c r="J661" s="3">
        <v>38464</v>
      </c>
      <c r="K661" s="2"/>
      <c r="L661" s="2"/>
      <c r="M661" s="2">
        <v>23</v>
      </c>
      <c r="N661" s="2">
        <v>23</v>
      </c>
      <c r="O661" s="2" t="s">
        <v>78</v>
      </c>
      <c r="P661" s="2" t="s">
        <v>43</v>
      </c>
      <c r="Q661" s="2"/>
      <c r="R661" s="2" t="s">
        <v>44</v>
      </c>
      <c r="S661" s="2">
        <v>8250215703</v>
      </c>
      <c r="T661" s="2" t="s">
        <v>3041</v>
      </c>
      <c r="U661" s="2" t="s">
        <v>3042</v>
      </c>
      <c r="V661" s="2">
        <v>9636158009</v>
      </c>
      <c r="W661" s="2" t="s">
        <v>3043</v>
      </c>
      <c r="X661" s="2">
        <v>72000</v>
      </c>
      <c r="Y661" s="2" t="s">
        <v>46</v>
      </c>
      <c r="Z661" s="2" t="s">
        <v>46</v>
      </c>
      <c r="AA661" s="2" t="s">
        <v>47</v>
      </c>
      <c r="AB661" s="2">
        <v>16</v>
      </c>
      <c r="AC661" s="2" t="s">
        <v>48</v>
      </c>
      <c r="AD661" s="2">
        <v>2</v>
      </c>
    </row>
    <row r="662" spans="1:30" ht="30" x14ac:dyDescent="0.25">
      <c r="A662" s="2">
        <v>12</v>
      </c>
      <c r="B662" s="2" t="s">
        <v>37</v>
      </c>
      <c r="C662" s="2">
        <v>13983</v>
      </c>
      <c r="D662" s="3">
        <v>44453</v>
      </c>
      <c r="E662" s="2" t="s">
        <v>3044</v>
      </c>
      <c r="F662" s="2"/>
      <c r="G662" s="2" t="s">
        <v>3045</v>
      </c>
      <c r="H662" s="2" t="s">
        <v>3046</v>
      </c>
      <c r="I662" s="2" t="s">
        <v>41</v>
      </c>
      <c r="J662" s="3">
        <v>38214</v>
      </c>
      <c r="K662" s="2"/>
      <c r="L662" s="2"/>
      <c r="M662" s="2">
        <v>23</v>
      </c>
      <c r="N662" s="2">
        <v>23</v>
      </c>
      <c r="O662" s="2" t="s">
        <v>773</v>
      </c>
      <c r="P662" s="2" t="s">
        <v>43</v>
      </c>
      <c r="Q662" s="2"/>
      <c r="R662" s="2" t="s">
        <v>44</v>
      </c>
      <c r="S662" s="2">
        <v>8250215703</v>
      </c>
      <c r="T662" s="2" t="s">
        <v>3047</v>
      </c>
      <c r="U662" s="2" t="s">
        <v>3048</v>
      </c>
      <c r="V662" s="2">
        <v>9351718826</v>
      </c>
      <c r="W662" s="2" t="s">
        <v>3049</v>
      </c>
      <c r="X662" s="2">
        <v>36000</v>
      </c>
      <c r="Y662" s="2" t="s">
        <v>46</v>
      </c>
      <c r="Z662" s="2" t="s">
        <v>46</v>
      </c>
      <c r="AA662" s="2" t="s">
        <v>47</v>
      </c>
      <c r="AB662" s="2">
        <v>17</v>
      </c>
      <c r="AC662" s="2" t="s">
        <v>48</v>
      </c>
      <c r="AD662" s="2">
        <v>30</v>
      </c>
    </row>
    <row r="663" spans="1:30" ht="30" x14ac:dyDescent="0.25">
      <c r="A663" s="2">
        <v>12</v>
      </c>
      <c r="B663" s="2" t="s">
        <v>37</v>
      </c>
      <c r="C663" s="2">
        <v>13567</v>
      </c>
      <c r="D663" s="3">
        <v>44089</v>
      </c>
      <c r="E663" s="2" t="s">
        <v>1366</v>
      </c>
      <c r="F663" s="2"/>
      <c r="G663" s="2" t="s">
        <v>3050</v>
      </c>
      <c r="H663" s="2" t="s">
        <v>3051</v>
      </c>
      <c r="I663" s="2" t="s">
        <v>41</v>
      </c>
      <c r="J663" s="3">
        <v>37569</v>
      </c>
      <c r="K663" s="2"/>
      <c r="L663" s="2"/>
      <c r="M663" s="2">
        <v>23</v>
      </c>
      <c r="N663" s="2">
        <v>23</v>
      </c>
      <c r="O663" s="2" t="s">
        <v>53</v>
      </c>
      <c r="P663" s="2" t="s">
        <v>43</v>
      </c>
      <c r="Q663" s="2"/>
      <c r="R663" s="2" t="s">
        <v>44</v>
      </c>
      <c r="S663" s="2">
        <v>8250215703</v>
      </c>
      <c r="T663" s="2" t="s">
        <v>3052</v>
      </c>
      <c r="U663" s="2" t="s">
        <v>3053</v>
      </c>
      <c r="V663" s="2">
        <v>9950808256</v>
      </c>
      <c r="W663" s="2" t="s">
        <v>1093</v>
      </c>
      <c r="X663" s="2">
        <v>50000</v>
      </c>
      <c r="Y663" s="2" t="s">
        <v>46</v>
      </c>
      <c r="Z663" s="2" t="s">
        <v>46</v>
      </c>
      <c r="AA663" s="2" t="s">
        <v>47</v>
      </c>
      <c r="AB663" s="2">
        <v>19</v>
      </c>
      <c r="AC663" s="2" t="s">
        <v>48</v>
      </c>
      <c r="AD663" s="2">
        <v>0</v>
      </c>
    </row>
    <row r="664" spans="1:30" ht="30" x14ac:dyDescent="0.25">
      <c r="A664" s="2">
        <v>12</v>
      </c>
      <c r="B664" s="2" t="s">
        <v>37</v>
      </c>
      <c r="C664" s="2">
        <v>13916</v>
      </c>
      <c r="D664" s="3">
        <v>44420</v>
      </c>
      <c r="E664" s="2" t="s">
        <v>3054</v>
      </c>
      <c r="F664" s="2"/>
      <c r="G664" s="2" t="s">
        <v>3055</v>
      </c>
      <c r="H664" s="2" t="s">
        <v>3056</v>
      </c>
      <c r="I664" s="2" t="s">
        <v>41</v>
      </c>
      <c r="J664" s="3">
        <v>37993</v>
      </c>
      <c r="K664" s="2"/>
      <c r="L664" s="2"/>
      <c r="M664" s="2">
        <v>23</v>
      </c>
      <c r="N664" s="2">
        <v>20</v>
      </c>
      <c r="O664" s="2" t="s">
        <v>53</v>
      </c>
      <c r="P664" s="2" t="s">
        <v>43</v>
      </c>
      <c r="Q664" s="2"/>
      <c r="R664" s="2" t="s">
        <v>44</v>
      </c>
      <c r="S664" s="2">
        <v>8250215703</v>
      </c>
      <c r="T664" s="2" t="s">
        <v>3057</v>
      </c>
      <c r="U664" s="2"/>
      <c r="V664" s="2">
        <v>9024848978</v>
      </c>
      <c r="W664" s="2" t="s">
        <v>3058</v>
      </c>
      <c r="X664" s="2">
        <v>60000</v>
      </c>
      <c r="Y664" s="2" t="s">
        <v>46</v>
      </c>
      <c r="Z664" s="2" t="s">
        <v>46</v>
      </c>
      <c r="AA664" s="2" t="s">
        <v>47</v>
      </c>
      <c r="AB664" s="2">
        <v>17</v>
      </c>
      <c r="AC664" s="2" t="s">
        <v>48</v>
      </c>
      <c r="AD664" s="2">
        <v>1</v>
      </c>
    </row>
    <row r="665" spans="1:30" ht="30" x14ac:dyDescent="0.25">
      <c r="A665" s="2">
        <v>12</v>
      </c>
      <c r="B665" s="2" t="s">
        <v>37</v>
      </c>
      <c r="C665" s="2">
        <v>13672</v>
      </c>
      <c r="D665" s="3">
        <v>44211</v>
      </c>
      <c r="E665" s="2" t="s">
        <v>3059</v>
      </c>
      <c r="F665" s="2"/>
      <c r="G665" s="2" t="s">
        <v>3060</v>
      </c>
      <c r="H665" s="2" t="s">
        <v>3061</v>
      </c>
      <c r="I665" s="2" t="s">
        <v>41</v>
      </c>
      <c r="J665" s="3">
        <v>38748</v>
      </c>
      <c r="K665" s="2"/>
      <c r="L665" s="2"/>
      <c r="M665" s="2">
        <v>23</v>
      </c>
      <c r="N665" s="2">
        <v>21</v>
      </c>
      <c r="O665" s="2" t="s">
        <v>53</v>
      </c>
      <c r="P665" s="2" t="s">
        <v>43</v>
      </c>
      <c r="Q665" s="2"/>
      <c r="R665" s="2" t="s">
        <v>44</v>
      </c>
      <c r="S665" s="2">
        <v>8250215703</v>
      </c>
      <c r="T665" s="2" t="s">
        <v>3062</v>
      </c>
      <c r="U665" s="2"/>
      <c r="V665" s="2">
        <v>8949362109</v>
      </c>
      <c r="W665" s="2" t="s">
        <v>3063</v>
      </c>
      <c r="X665" s="2">
        <v>360000</v>
      </c>
      <c r="Y665" s="2" t="s">
        <v>46</v>
      </c>
      <c r="Z665" s="2" t="s">
        <v>46</v>
      </c>
      <c r="AA665" s="2" t="s">
        <v>47</v>
      </c>
      <c r="AB665" s="2">
        <v>15</v>
      </c>
      <c r="AC665" s="2" t="s">
        <v>48</v>
      </c>
      <c r="AD665" s="2">
        <v>12</v>
      </c>
    </row>
    <row r="666" spans="1:30" ht="45" x14ac:dyDescent="0.25">
      <c r="A666" s="2">
        <v>12</v>
      </c>
      <c r="B666" s="2" t="s">
        <v>37</v>
      </c>
      <c r="C666" s="2">
        <v>13528</v>
      </c>
      <c r="D666" s="3">
        <v>44074</v>
      </c>
      <c r="E666" s="2" t="s">
        <v>3064</v>
      </c>
      <c r="F666" s="2"/>
      <c r="G666" s="2" t="s">
        <v>1994</v>
      </c>
      <c r="H666" s="2" t="s">
        <v>286</v>
      </c>
      <c r="I666" s="2" t="s">
        <v>41</v>
      </c>
      <c r="J666" s="3">
        <v>38153</v>
      </c>
      <c r="K666" s="2"/>
      <c r="L666" s="2"/>
      <c r="M666" s="2">
        <v>23</v>
      </c>
      <c r="N666" s="2">
        <v>22</v>
      </c>
      <c r="O666" s="2" t="s">
        <v>53</v>
      </c>
      <c r="P666" s="2" t="s">
        <v>43</v>
      </c>
      <c r="Q666" s="2"/>
      <c r="R666" s="2" t="s">
        <v>44</v>
      </c>
      <c r="S666" s="2">
        <v>8250215703</v>
      </c>
      <c r="T666" s="2" t="s">
        <v>3065</v>
      </c>
      <c r="U666" s="2"/>
      <c r="V666" s="2">
        <v>8824549932</v>
      </c>
      <c r="W666" s="2" t="s">
        <v>3066</v>
      </c>
      <c r="X666" s="2">
        <v>70000</v>
      </c>
      <c r="Y666" s="2" t="s">
        <v>46</v>
      </c>
      <c r="Z666" s="2" t="s">
        <v>46</v>
      </c>
      <c r="AA666" s="2" t="s">
        <v>47</v>
      </c>
      <c r="AB666" s="2">
        <v>17</v>
      </c>
      <c r="AC666" s="2" t="s">
        <v>48</v>
      </c>
      <c r="AD666" s="2">
        <v>2</v>
      </c>
    </row>
    <row r="667" spans="1:30" ht="45" x14ac:dyDescent="0.25">
      <c r="A667" s="2">
        <v>12</v>
      </c>
      <c r="B667" s="2" t="s">
        <v>37</v>
      </c>
      <c r="C667" s="2">
        <v>13716</v>
      </c>
      <c r="D667" s="3">
        <v>44384</v>
      </c>
      <c r="E667" s="2" t="s">
        <v>3067</v>
      </c>
      <c r="F667" s="2" t="s">
        <v>229</v>
      </c>
      <c r="G667" s="2" t="s">
        <v>3068</v>
      </c>
      <c r="H667" s="2" t="s">
        <v>3069</v>
      </c>
      <c r="I667" s="2" t="s">
        <v>52</v>
      </c>
      <c r="J667" s="3">
        <v>38964</v>
      </c>
      <c r="K667" s="2"/>
      <c r="L667" s="2"/>
      <c r="M667" s="2">
        <v>23</v>
      </c>
      <c r="N667" s="2">
        <v>19</v>
      </c>
      <c r="O667" s="2" t="s">
        <v>53</v>
      </c>
      <c r="P667" s="2" t="s">
        <v>54</v>
      </c>
      <c r="Q667" s="2"/>
      <c r="R667" s="2" t="s">
        <v>44</v>
      </c>
      <c r="S667" s="2">
        <v>8250215703</v>
      </c>
      <c r="T667" s="2" t="s">
        <v>3070</v>
      </c>
      <c r="U667" s="2"/>
      <c r="V667" s="2">
        <v>7014622141</v>
      </c>
      <c r="W667" s="2" t="s">
        <v>3071</v>
      </c>
      <c r="X667" s="2">
        <v>36000</v>
      </c>
      <c r="Y667" s="2" t="s">
        <v>46</v>
      </c>
      <c r="Z667" s="2" t="s">
        <v>46</v>
      </c>
      <c r="AA667" s="2" t="s">
        <v>57</v>
      </c>
      <c r="AB667" s="2">
        <v>15</v>
      </c>
      <c r="AC667" s="2" t="s">
        <v>48</v>
      </c>
      <c r="AD667" s="2">
        <v>1</v>
      </c>
    </row>
    <row r="668" spans="1:30" ht="30" x14ac:dyDescent="0.25">
      <c r="A668" s="2">
        <v>12</v>
      </c>
      <c r="B668" s="2" t="s">
        <v>37</v>
      </c>
      <c r="C668" s="2">
        <v>13463</v>
      </c>
      <c r="D668" s="3">
        <v>44047</v>
      </c>
      <c r="E668" s="2" t="s">
        <v>3072</v>
      </c>
      <c r="F668" s="2"/>
      <c r="G668" s="2" t="s">
        <v>3073</v>
      </c>
      <c r="H668" s="2" t="s">
        <v>467</v>
      </c>
      <c r="I668" s="2" t="s">
        <v>41</v>
      </c>
      <c r="J668" s="3">
        <v>38603</v>
      </c>
      <c r="K668" s="2"/>
      <c r="L668" s="2"/>
      <c r="M668" s="2">
        <v>23</v>
      </c>
      <c r="N668" s="2">
        <v>23</v>
      </c>
      <c r="O668" s="2" t="s">
        <v>78</v>
      </c>
      <c r="P668" s="2" t="s">
        <v>43</v>
      </c>
      <c r="Q668" s="2"/>
      <c r="R668" s="2" t="s">
        <v>44</v>
      </c>
      <c r="S668" s="2">
        <v>8250215703</v>
      </c>
      <c r="T668" s="2" t="s">
        <v>3074</v>
      </c>
      <c r="U668" s="2" t="s">
        <v>3075</v>
      </c>
      <c r="V668" s="2">
        <v>9001854100</v>
      </c>
      <c r="W668" s="2" t="s">
        <v>3076</v>
      </c>
      <c r="X668" s="2">
        <v>1101000</v>
      </c>
      <c r="Y668" s="2" t="s">
        <v>46</v>
      </c>
      <c r="Z668" s="2" t="s">
        <v>46</v>
      </c>
      <c r="AA668" s="2" t="s">
        <v>47</v>
      </c>
      <c r="AB668" s="2">
        <v>16</v>
      </c>
      <c r="AC668" s="2" t="s">
        <v>48</v>
      </c>
      <c r="AD668" s="2">
        <v>3</v>
      </c>
    </row>
    <row r="669" spans="1:30" ht="30" x14ac:dyDescent="0.25">
      <c r="A669" s="2">
        <v>12</v>
      </c>
      <c r="B669" s="2" t="s">
        <v>37</v>
      </c>
      <c r="C669" s="2">
        <v>13494</v>
      </c>
      <c r="D669" s="3">
        <v>44063</v>
      </c>
      <c r="E669" s="2" t="s">
        <v>3077</v>
      </c>
      <c r="F669" s="2"/>
      <c r="G669" s="2" t="s">
        <v>3078</v>
      </c>
      <c r="H669" s="2" t="s">
        <v>231</v>
      </c>
      <c r="I669" s="2" t="s">
        <v>41</v>
      </c>
      <c r="J669" s="3">
        <v>38457</v>
      </c>
      <c r="K669" s="2"/>
      <c r="L669" s="2"/>
      <c r="M669" s="2">
        <v>23</v>
      </c>
      <c r="N669" s="2">
        <v>23</v>
      </c>
      <c r="O669" s="2" t="s">
        <v>53</v>
      </c>
      <c r="P669" s="2" t="s">
        <v>43</v>
      </c>
      <c r="Q669" s="2"/>
      <c r="R669" s="2" t="s">
        <v>44</v>
      </c>
      <c r="S669" s="2">
        <v>8250215703</v>
      </c>
      <c r="T669" s="2" t="s">
        <v>3079</v>
      </c>
      <c r="U669" s="2" t="s">
        <v>3080</v>
      </c>
      <c r="V669" s="2">
        <v>9414786016</v>
      </c>
      <c r="W669" s="2" t="s">
        <v>3081</v>
      </c>
      <c r="X669" s="2">
        <v>36000</v>
      </c>
      <c r="Y669" s="2" t="s">
        <v>46</v>
      </c>
      <c r="Z669" s="2" t="s">
        <v>46</v>
      </c>
      <c r="AA669" s="2" t="s">
        <v>47</v>
      </c>
      <c r="AB669" s="2">
        <v>16</v>
      </c>
      <c r="AC669" s="2" t="s">
        <v>48</v>
      </c>
      <c r="AD669" s="2">
        <v>1</v>
      </c>
    </row>
    <row r="670" spans="1:30" ht="30" x14ac:dyDescent="0.25">
      <c r="A670" s="2">
        <v>12</v>
      </c>
      <c r="B670" s="2" t="s">
        <v>37</v>
      </c>
      <c r="C670" s="2">
        <v>13460</v>
      </c>
      <c r="D670" s="3">
        <v>44047</v>
      </c>
      <c r="E670" s="2" t="s">
        <v>3082</v>
      </c>
      <c r="F670" s="2"/>
      <c r="G670" s="2" t="s">
        <v>2301</v>
      </c>
      <c r="H670" s="2" t="s">
        <v>909</v>
      </c>
      <c r="I670" s="2" t="s">
        <v>41</v>
      </c>
      <c r="J670" s="3">
        <v>38274</v>
      </c>
      <c r="K670" s="2"/>
      <c r="L670" s="2"/>
      <c r="M670" s="2">
        <v>23</v>
      </c>
      <c r="N670" s="2">
        <v>22</v>
      </c>
      <c r="O670" s="2" t="s">
        <v>53</v>
      </c>
      <c r="P670" s="2" t="s">
        <v>43</v>
      </c>
      <c r="Q670" s="2"/>
      <c r="R670" s="2" t="s">
        <v>44</v>
      </c>
      <c r="S670" s="2">
        <v>8250215703</v>
      </c>
      <c r="T670" s="2" t="s">
        <v>3083</v>
      </c>
      <c r="U670" s="2" t="s">
        <v>2938</v>
      </c>
      <c r="V670" s="2">
        <v>8003149720</v>
      </c>
      <c r="W670" s="2" t="s">
        <v>3084</v>
      </c>
      <c r="X670" s="2">
        <v>738152</v>
      </c>
      <c r="Y670" s="2" t="s">
        <v>46</v>
      </c>
      <c r="Z670" s="2" t="s">
        <v>46</v>
      </c>
      <c r="AA670" s="2" t="s">
        <v>47</v>
      </c>
      <c r="AB670" s="2">
        <v>17</v>
      </c>
      <c r="AC670" s="2" t="s">
        <v>48</v>
      </c>
      <c r="AD670" s="2">
        <v>12</v>
      </c>
    </row>
    <row r="671" spans="1:30" ht="30" x14ac:dyDescent="0.25">
      <c r="A671" s="2">
        <v>12</v>
      </c>
      <c r="B671" s="2" t="s">
        <v>37</v>
      </c>
      <c r="C671" s="2">
        <v>13469</v>
      </c>
      <c r="D671" s="3">
        <v>44047</v>
      </c>
      <c r="E671" s="2" t="s">
        <v>763</v>
      </c>
      <c r="F671" s="2"/>
      <c r="G671" s="2" t="s">
        <v>3085</v>
      </c>
      <c r="H671" s="2" t="s">
        <v>231</v>
      </c>
      <c r="I671" s="2" t="s">
        <v>41</v>
      </c>
      <c r="J671" s="3">
        <v>38496</v>
      </c>
      <c r="K671" s="2"/>
      <c r="L671" s="2"/>
      <c r="M671" s="2">
        <v>23</v>
      </c>
      <c r="N671" s="2">
        <v>22</v>
      </c>
      <c r="O671" s="2" t="s">
        <v>53</v>
      </c>
      <c r="P671" s="2" t="s">
        <v>43</v>
      </c>
      <c r="Q671" s="2"/>
      <c r="R671" s="2" t="s">
        <v>44</v>
      </c>
      <c r="S671" s="2">
        <v>8250215703</v>
      </c>
      <c r="T671" s="2" t="s">
        <v>3086</v>
      </c>
      <c r="U671" s="2" t="s">
        <v>3087</v>
      </c>
      <c r="V671" s="2">
        <v>8290005719</v>
      </c>
      <c r="W671" s="2" t="s">
        <v>3088</v>
      </c>
      <c r="X671" s="2">
        <v>40000</v>
      </c>
      <c r="Y671" s="2" t="s">
        <v>46</v>
      </c>
      <c r="Z671" s="2" t="s">
        <v>240</v>
      </c>
      <c r="AA671" s="2" t="s">
        <v>47</v>
      </c>
      <c r="AB671" s="2">
        <v>16</v>
      </c>
      <c r="AC671" s="2" t="s">
        <v>48</v>
      </c>
      <c r="AD671" s="2">
        <v>1</v>
      </c>
    </row>
    <row r="672" spans="1:30" ht="30" x14ac:dyDescent="0.25">
      <c r="A672" s="2">
        <v>12</v>
      </c>
      <c r="B672" s="2" t="s">
        <v>37</v>
      </c>
      <c r="C672" s="2">
        <v>13482</v>
      </c>
      <c r="D672" s="3">
        <v>44063</v>
      </c>
      <c r="E672" s="2" t="s">
        <v>3089</v>
      </c>
      <c r="F672" s="2"/>
      <c r="G672" s="2" t="s">
        <v>3090</v>
      </c>
      <c r="H672" s="2" t="s">
        <v>3091</v>
      </c>
      <c r="I672" s="2" t="s">
        <v>41</v>
      </c>
      <c r="J672" s="3">
        <v>38384</v>
      </c>
      <c r="K672" s="2"/>
      <c r="L672" s="2"/>
      <c r="M672" s="2">
        <v>23</v>
      </c>
      <c r="N672" s="2">
        <v>22</v>
      </c>
      <c r="O672" s="2" t="s">
        <v>53</v>
      </c>
      <c r="P672" s="2" t="s">
        <v>43</v>
      </c>
      <c r="Q672" s="2"/>
      <c r="R672" s="2" t="s">
        <v>44</v>
      </c>
      <c r="S672" s="2">
        <v>8250215703</v>
      </c>
      <c r="T672" s="2" t="s">
        <v>3092</v>
      </c>
      <c r="U672" s="2" t="s">
        <v>3093</v>
      </c>
      <c r="V672" s="2">
        <v>8769130959</v>
      </c>
      <c r="W672" s="2" t="s">
        <v>3094</v>
      </c>
      <c r="X672" s="2">
        <v>176000</v>
      </c>
      <c r="Y672" s="2" t="s">
        <v>46</v>
      </c>
      <c r="Z672" s="2" t="s">
        <v>46</v>
      </c>
      <c r="AA672" s="2" t="s">
        <v>47</v>
      </c>
      <c r="AB672" s="2">
        <v>16</v>
      </c>
      <c r="AC672" s="2" t="s">
        <v>48</v>
      </c>
      <c r="AD672" s="2">
        <v>13</v>
      </c>
    </row>
    <row r="673" spans="1:30" ht="30" x14ac:dyDescent="0.25">
      <c r="A673" s="2">
        <v>12</v>
      </c>
      <c r="B673" s="2" t="s">
        <v>37</v>
      </c>
      <c r="C673" s="2">
        <v>13665</v>
      </c>
      <c r="D673" s="3">
        <v>44173</v>
      </c>
      <c r="E673" s="2" t="s">
        <v>3095</v>
      </c>
      <c r="F673" s="2"/>
      <c r="G673" s="2" t="s">
        <v>3096</v>
      </c>
      <c r="H673" s="2" t="s">
        <v>2669</v>
      </c>
      <c r="I673" s="2" t="s">
        <v>41</v>
      </c>
      <c r="J673" s="3">
        <v>38334</v>
      </c>
      <c r="K673" s="2"/>
      <c r="L673" s="2"/>
      <c r="M673" s="2">
        <v>23</v>
      </c>
      <c r="N673" s="2">
        <v>23</v>
      </c>
      <c r="O673" s="2" t="s">
        <v>53</v>
      </c>
      <c r="P673" s="2" t="s">
        <v>43</v>
      </c>
      <c r="Q673" s="2"/>
      <c r="R673" s="2" t="s">
        <v>44</v>
      </c>
      <c r="S673" s="2">
        <v>8250215703</v>
      </c>
      <c r="T673" s="2" t="s">
        <v>3097</v>
      </c>
      <c r="U673" s="2" t="s">
        <v>3098</v>
      </c>
      <c r="V673" s="2">
        <v>9784962289</v>
      </c>
      <c r="W673" s="2" t="s">
        <v>3099</v>
      </c>
      <c r="X673" s="2">
        <v>40000</v>
      </c>
      <c r="Y673" s="2" t="s">
        <v>46</v>
      </c>
      <c r="Z673" s="2" t="s">
        <v>46</v>
      </c>
      <c r="AA673" s="2" t="s">
        <v>47</v>
      </c>
      <c r="AB673" s="2">
        <v>17</v>
      </c>
      <c r="AC673" s="2" t="s">
        <v>48</v>
      </c>
      <c r="AD673" s="2">
        <v>0</v>
      </c>
    </row>
    <row r="674" spans="1:30" ht="30" x14ac:dyDescent="0.25">
      <c r="A674" s="2">
        <v>12</v>
      </c>
      <c r="B674" s="2" t="s">
        <v>37</v>
      </c>
      <c r="C674" s="2">
        <v>13229</v>
      </c>
      <c r="D674" s="3">
        <v>43649</v>
      </c>
      <c r="E674" s="2" t="s">
        <v>3100</v>
      </c>
      <c r="F674" s="2"/>
      <c r="G674" s="2" t="s">
        <v>3101</v>
      </c>
      <c r="H674" s="2" t="s">
        <v>994</v>
      </c>
      <c r="I674" s="2" t="s">
        <v>41</v>
      </c>
      <c r="J674" s="3">
        <v>38195</v>
      </c>
      <c r="K674" s="2"/>
      <c r="L674" s="2"/>
      <c r="M674" s="2">
        <v>23</v>
      </c>
      <c r="N674" s="2">
        <v>23</v>
      </c>
      <c r="O674" s="2" t="s">
        <v>78</v>
      </c>
      <c r="P674" s="2" t="s">
        <v>43</v>
      </c>
      <c r="Q674" s="2"/>
      <c r="R674" s="2" t="s">
        <v>44</v>
      </c>
      <c r="S674" s="2">
        <v>8250215703</v>
      </c>
      <c r="T674" s="2" t="s">
        <v>1714</v>
      </c>
      <c r="U674" s="2" t="s">
        <v>3102</v>
      </c>
      <c r="V674" s="2">
        <v>9785681500</v>
      </c>
      <c r="W674" s="2" t="s">
        <v>3103</v>
      </c>
      <c r="X674" s="2">
        <v>0</v>
      </c>
      <c r="Y674" s="2" t="s">
        <v>46</v>
      </c>
      <c r="Z674" s="2" t="s">
        <v>46</v>
      </c>
      <c r="AA674" s="2" t="s">
        <v>47</v>
      </c>
      <c r="AB674" s="2">
        <v>17</v>
      </c>
      <c r="AC674" s="2" t="s">
        <v>48</v>
      </c>
      <c r="AD674" s="2">
        <v>2</v>
      </c>
    </row>
    <row r="675" spans="1:30" ht="45" x14ac:dyDescent="0.25">
      <c r="A675" s="2">
        <v>12</v>
      </c>
      <c r="B675" s="2" t="s">
        <v>37</v>
      </c>
      <c r="C675" s="2">
        <v>13619</v>
      </c>
      <c r="D675" s="3">
        <v>44119</v>
      </c>
      <c r="E675" s="2" t="s">
        <v>3104</v>
      </c>
      <c r="F675" s="2"/>
      <c r="G675" s="2" t="s">
        <v>3105</v>
      </c>
      <c r="H675" s="2" t="s">
        <v>3106</v>
      </c>
      <c r="I675" s="2" t="s">
        <v>52</v>
      </c>
      <c r="J675" s="3">
        <v>38259</v>
      </c>
      <c r="K675" s="2"/>
      <c r="L675" s="2"/>
      <c r="M675" s="2">
        <v>23</v>
      </c>
      <c r="N675" s="2">
        <v>23</v>
      </c>
      <c r="O675" s="2" t="s">
        <v>53</v>
      </c>
      <c r="P675" s="2" t="s">
        <v>43</v>
      </c>
      <c r="Q675" s="2"/>
      <c r="R675" s="2" t="s">
        <v>44</v>
      </c>
      <c r="S675" s="2">
        <v>8250215703</v>
      </c>
      <c r="T675" s="2" t="s">
        <v>3107</v>
      </c>
      <c r="U675" s="2"/>
      <c r="V675" s="2">
        <v>9414786190</v>
      </c>
      <c r="W675" s="2" t="s">
        <v>3108</v>
      </c>
      <c r="X675" s="2">
        <v>150000</v>
      </c>
      <c r="Y675" s="2" t="s">
        <v>46</v>
      </c>
      <c r="Z675" s="2" t="s">
        <v>46</v>
      </c>
      <c r="AA675" s="2" t="s">
        <v>47</v>
      </c>
      <c r="AB675" s="2">
        <v>17</v>
      </c>
      <c r="AC675" s="2" t="s">
        <v>48</v>
      </c>
      <c r="AD675" s="2">
        <v>15</v>
      </c>
    </row>
    <row r="676" spans="1:30" ht="30" x14ac:dyDescent="0.25">
      <c r="A676" s="2">
        <v>12</v>
      </c>
      <c r="B676" s="2" t="s">
        <v>37</v>
      </c>
      <c r="C676" s="2">
        <v>13496</v>
      </c>
      <c r="D676" s="3">
        <v>44063</v>
      </c>
      <c r="E676" s="2" t="s">
        <v>3109</v>
      </c>
      <c r="F676" s="2"/>
      <c r="G676" s="2" t="s">
        <v>3110</v>
      </c>
      <c r="H676" s="2" t="s">
        <v>3111</v>
      </c>
      <c r="I676" s="2" t="s">
        <v>41</v>
      </c>
      <c r="J676" s="3">
        <v>38278</v>
      </c>
      <c r="K676" s="2"/>
      <c r="L676" s="2"/>
      <c r="M676" s="2">
        <v>23</v>
      </c>
      <c r="N676" s="2">
        <v>23</v>
      </c>
      <c r="O676" s="2" t="s">
        <v>53</v>
      </c>
      <c r="P676" s="2" t="s">
        <v>43</v>
      </c>
      <c r="Q676" s="2"/>
      <c r="R676" s="2" t="s">
        <v>44</v>
      </c>
      <c r="S676" s="2">
        <v>8250215703</v>
      </c>
      <c r="T676" s="2" t="s">
        <v>456</v>
      </c>
      <c r="U676" s="2"/>
      <c r="V676" s="2">
        <v>9982873434</v>
      </c>
      <c r="W676" s="2" t="s">
        <v>3112</v>
      </c>
      <c r="X676" s="2">
        <v>150000</v>
      </c>
      <c r="Y676" s="2" t="s">
        <v>46</v>
      </c>
      <c r="Z676" s="2" t="s">
        <v>46</v>
      </c>
      <c r="AA676" s="2" t="s">
        <v>47</v>
      </c>
      <c r="AB676" s="2">
        <v>17</v>
      </c>
      <c r="AC676" s="2" t="s">
        <v>48</v>
      </c>
      <c r="AD676" s="2">
        <v>1</v>
      </c>
    </row>
    <row r="677" spans="1:30" ht="30" x14ac:dyDescent="0.25">
      <c r="A677" s="2">
        <v>12</v>
      </c>
      <c r="B677" s="2" t="s">
        <v>37</v>
      </c>
      <c r="C677" s="2">
        <v>13466</v>
      </c>
      <c r="D677" s="3">
        <v>44047</v>
      </c>
      <c r="E677" s="2" t="s">
        <v>3113</v>
      </c>
      <c r="F677" s="2"/>
      <c r="G677" s="2" t="s">
        <v>1060</v>
      </c>
      <c r="H677" s="2" t="s">
        <v>3114</v>
      </c>
      <c r="I677" s="2" t="s">
        <v>41</v>
      </c>
      <c r="J677" s="3">
        <v>38939</v>
      </c>
      <c r="K677" s="2"/>
      <c r="L677" s="2"/>
      <c r="M677" s="2">
        <v>23</v>
      </c>
      <c r="N677" s="2">
        <v>23</v>
      </c>
      <c r="O677" s="2" t="s">
        <v>53</v>
      </c>
      <c r="P677" s="2" t="s">
        <v>43</v>
      </c>
      <c r="Q677" s="2"/>
      <c r="R677" s="2" t="s">
        <v>44</v>
      </c>
      <c r="S677" s="2">
        <v>8250215703</v>
      </c>
      <c r="T677" s="2" t="s">
        <v>3115</v>
      </c>
      <c r="U677" s="2" t="s">
        <v>3116</v>
      </c>
      <c r="V677" s="2">
        <v>8107290674</v>
      </c>
      <c r="W677" s="2" t="s">
        <v>3117</v>
      </c>
      <c r="X677" s="2">
        <v>72000</v>
      </c>
      <c r="Y677" s="2" t="s">
        <v>46</v>
      </c>
      <c r="Z677" s="2" t="s">
        <v>46</v>
      </c>
      <c r="AA677" s="2" t="s">
        <v>47</v>
      </c>
      <c r="AB677" s="2">
        <v>15</v>
      </c>
      <c r="AC677" s="2" t="s">
        <v>48</v>
      </c>
      <c r="AD677" s="2">
        <v>3</v>
      </c>
    </row>
    <row r="678" spans="1:30" ht="30" x14ac:dyDescent="0.25">
      <c r="A678" s="2">
        <v>12</v>
      </c>
      <c r="B678" s="2" t="s">
        <v>1108</v>
      </c>
      <c r="C678" s="2">
        <v>13613</v>
      </c>
      <c r="D678" s="3">
        <v>44119</v>
      </c>
      <c r="E678" s="2" t="s">
        <v>3118</v>
      </c>
      <c r="F678" s="2"/>
      <c r="G678" s="2" t="s">
        <v>3119</v>
      </c>
      <c r="H678" s="2" t="s">
        <v>2524</v>
      </c>
      <c r="I678" s="2" t="s">
        <v>41</v>
      </c>
      <c r="J678" s="3">
        <v>38500</v>
      </c>
      <c r="K678" s="2"/>
      <c r="L678" s="2"/>
      <c r="M678" s="2">
        <v>23</v>
      </c>
      <c r="N678" s="2">
        <v>0</v>
      </c>
      <c r="O678" s="2" t="s">
        <v>53</v>
      </c>
      <c r="P678" s="2" t="s">
        <v>43</v>
      </c>
      <c r="Q678" s="2"/>
      <c r="R678" s="2" t="s">
        <v>44</v>
      </c>
      <c r="S678" s="2">
        <v>8250215703</v>
      </c>
      <c r="T678" s="2" t="s">
        <v>3120</v>
      </c>
      <c r="U678" s="2"/>
      <c r="V678" s="2">
        <v>9784426309</v>
      </c>
      <c r="W678" s="2" t="s">
        <v>3121</v>
      </c>
      <c r="X678" s="2">
        <v>100000</v>
      </c>
      <c r="Y678" s="2" t="s">
        <v>46</v>
      </c>
      <c r="Z678" s="2" t="s">
        <v>46</v>
      </c>
      <c r="AA678" s="2" t="s">
        <v>47</v>
      </c>
      <c r="AB678" s="2">
        <v>16</v>
      </c>
      <c r="AC678" s="2" t="s">
        <v>48</v>
      </c>
      <c r="AD678" s="2">
        <v>4</v>
      </c>
    </row>
    <row r="679" spans="1:30" ht="30" x14ac:dyDescent="0.25">
      <c r="A679" s="2">
        <v>12</v>
      </c>
      <c r="B679" s="2" t="s">
        <v>2265</v>
      </c>
      <c r="C679" s="2">
        <v>12943</v>
      </c>
      <c r="D679" s="3">
        <v>43281</v>
      </c>
      <c r="E679" s="2" t="s">
        <v>3122</v>
      </c>
      <c r="F679" s="2"/>
      <c r="G679" s="2" t="s">
        <v>1980</v>
      </c>
      <c r="H679" s="2" t="s">
        <v>3123</v>
      </c>
      <c r="I679" s="2" t="s">
        <v>41</v>
      </c>
      <c r="J679" s="3">
        <v>37867</v>
      </c>
      <c r="K679" s="2"/>
      <c r="L679" s="2"/>
      <c r="M679" s="2">
        <v>23</v>
      </c>
      <c r="N679" s="2">
        <v>9</v>
      </c>
      <c r="O679" s="2" t="s">
        <v>78</v>
      </c>
      <c r="P679" s="2" t="s">
        <v>43</v>
      </c>
      <c r="Q679" s="2"/>
      <c r="R679" s="2" t="s">
        <v>44</v>
      </c>
      <c r="S679" s="2">
        <v>8250215703</v>
      </c>
      <c r="T679" s="2" t="s">
        <v>3124</v>
      </c>
      <c r="U679" s="2" t="s">
        <v>3125</v>
      </c>
      <c r="V679" s="2">
        <v>7742290951</v>
      </c>
      <c r="W679" s="2" t="s">
        <v>3126</v>
      </c>
      <c r="X679" s="2">
        <v>36000</v>
      </c>
      <c r="Y679" s="2" t="s">
        <v>46</v>
      </c>
      <c r="Z679" s="2" t="s">
        <v>46</v>
      </c>
      <c r="AA679" s="2" t="s">
        <v>47</v>
      </c>
      <c r="AB679" s="2">
        <v>18</v>
      </c>
      <c r="AC679" s="2" t="s">
        <v>48</v>
      </c>
      <c r="AD679" s="2">
        <v>2</v>
      </c>
    </row>
    <row r="680" spans="1:30" ht="30" x14ac:dyDescent="0.25">
      <c r="A680" s="2">
        <v>12</v>
      </c>
      <c r="B680" s="2" t="s">
        <v>2265</v>
      </c>
      <c r="C680" s="2">
        <v>13644</v>
      </c>
      <c r="D680" s="3">
        <v>44120</v>
      </c>
      <c r="E680" s="2" t="s">
        <v>3127</v>
      </c>
      <c r="F680" s="2"/>
      <c r="G680" s="2" t="s">
        <v>3128</v>
      </c>
      <c r="H680" s="2" t="s">
        <v>3129</v>
      </c>
      <c r="I680" s="2" t="s">
        <v>41</v>
      </c>
      <c r="J680" s="3">
        <v>38220</v>
      </c>
      <c r="K680" s="2"/>
      <c r="L680" s="2"/>
      <c r="M680" s="2">
        <v>23</v>
      </c>
      <c r="N680" s="2">
        <v>12</v>
      </c>
      <c r="O680" s="2" t="s">
        <v>53</v>
      </c>
      <c r="P680" s="2" t="s">
        <v>43</v>
      </c>
      <c r="Q680" s="2"/>
      <c r="R680" s="2" t="s">
        <v>44</v>
      </c>
      <c r="S680" s="2">
        <v>8250215703</v>
      </c>
      <c r="T680" s="2" t="s">
        <v>3130</v>
      </c>
      <c r="U680" s="2"/>
      <c r="V680" s="2">
        <v>9414683997</v>
      </c>
      <c r="W680" s="2" t="s">
        <v>3131</v>
      </c>
      <c r="X680" s="2">
        <v>200000</v>
      </c>
      <c r="Y680" s="2" t="s">
        <v>46</v>
      </c>
      <c r="Z680" s="2" t="s">
        <v>46</v>
      </c>
      <c r="AA680" s="2" t="s">
        <v>47</v>
      </c>
      <c r="AB680" s="2">
        <v>17</v>
      </c>
      <c r="AC680" s="2" t="s">
        <v>48</v>
      </c>
      <c r="AD680" s="2">
        <v>2</v>
      </c>
    </row>
    <row r="681" spans="1:30" ht="30" x14ac:dyDescent="0.25">
      <c r="A681" s="2">
        <v>12</v>
      </c>
      <c r="B681" s="2" t="s">
        <v>2265</v>
      </c>
      <c r="C681" s="2">
        <v>12887</v>
      </c>
      <c r="D681" s="3">
        <v>43274</v>
      </c>
      <c r="E681" s="2" t="s">
        <v>1464</v>
      </c>
      <c r="F681" s="2"/>
      <c r="G681" s="2" t="s">
        <v>3132</v>
      </c>
      <c r="H681" s="2" t="s">
        <v>231</v>
      </c>
      <c r="I681" s="2" t="s">
        <v>41</v>
      </c>
      <c r="J681" s="3">
        <v>38469</v>
      </c>
      <c r="K681" s="2"/>
      <c r="L681" s="2"/>
      <c r="M681" s="2">
        <v>23</v>
      </c>
      <c r="N681" s="2">
        <v>12</v>
      </c>
      <c r="O681" s="2" t="s">
        <v>53</v>
      </c>
      <c r="P681" s="2" t="s">
        <v>43</v>
      </c>
      <c r="Q681" s="2"/>
      <c r="R681" s="2" t="s">
        <v>44</v>
      </c>
      <c r="S681" s="2">
        <v>8250215703</v>
      </c>
      <c r="T681" s="2" t="s">
        <v>3133</v>
      </c>
      <c r="U681" s="2" t="s">
        <v>3134</v>
      </c>
      <c r="V681" s="2">
        <v>7296912922</v>
      </c>
      <c r="W681" s="2" t="s">
        <v>3135</v>
      </c>
      <c r="X681" s="2">
        <v>36000</v>
      </c>
      <c r="Y681" s="2" t="s">
        <v>46</v>
      </c>
      <c r="Z681" s="2" t="s">
        <v>46</v>
      </c>
      <c r="AA681" s="2" t="s">
        <v>47</v>
      </c>
      <c r="AB681" s="2">
        <v>16</v>
      </c>
      <c r="AC681" s="2" t="s">
        <v>48</v>
      </c>
      <c r="AD681" s="2">
        <v>12</v>
      </c>
    </row>
    <row r="682" spans="1:30" ht="30" x14ac:dyDescent="0.25">
      <c r="A682" s="2">
        <v>12</v>
      </c>
      <c r="B682" s="2" t="s">
        <v>2265</v>
      </c>
      <c r="C682" s="2">
        <v>13618</v>
      </c>
      <c r="D682" s="3">
        <v>44119</v>
      </c>
      <c r="E682" s="2" t="s">
        <v>3136</v>
      </c>
      <c r="F682" s="2"/>
      <c r="G682" s="2" t="s">
        <v>3137</v>
      </c>
      <c r="H682" s="2" t="s">
        <v>3138</v>
      </c>
      <c r="I682" s="2" t="s">
        <v>41</v>
      </c>
      <c r="J682" s="3">
        <v>38109</v>
      </c>
      <c r="K682" s="2"/>
      <c r="L682" s="2"/>
      <c r="M682" s="2">
        <v>23</v>
      </c>
      <c r="N682" s="2">
        <v>12</v>
      </c>
      <c r="O682" s="2" t="s">
        <v>42</v>
      </c>
      <c r="P682" s="2" t="s">
        <v>43</v>
      </c>
      <c r="Q682" s="2"/>
      <c r="R682" s="2" t="s">
        <v>44</v>
      </c>
      <c r="S682" s="2">
        <v>8250215703</v>
      </c>
      <c r="T682" s="2" t="s">
        <v>3139</v>
      </c>
      <c r="U682" s="2"/>
      <c r="V682" s="2">
        <v>9461019542</v>
      </c>
      <c r="W682" s="2" t="s">
        <v>3140</v>
      </c>
      <c r="X682" s="2">
        <v>150000</v>
      </c>
      <c r="Y682" s="2" t="s">
        <v>46</v>
      </c>
      <c r="Z682" s="2" t="s">
        <v>46</v>
      </c>
      <c r="AA682" s="2" t="s">
        <v>47</v>
      </c>
      <c r="AB682" s="2">
        <v>17</v>
      </c>
      <c r="AC682" s="2" t="s">
        <v>48</v>
      </c>
      <c r="AD682" s="2">
        <v>1</v>
      </c>
    </row>
    <row r="683" spans="1:30" ht="30" x14ac:dyDescent="0.25">
      <c r="A683" s="2">
        <v>12</v>
      </c>
      <c r="B683" s="2" t="s">
        <v>2265</v>
      </c>
      <c r="C683" s="2">
        <v>12888</v>
      </c>
      <c r="D683" s="3">
        <v>43274</v>
      </c>
      <c r="E683" s="2" t="s">
        <v>2187</v>
      </c>
      <c r="F683" s="2"/>
      <c r="G683" s="2" t="s">
        <v>3132</v>
      </c>
      <c r="H683" s="2" t="s">
        <v>231</v>
      </c>
      <c r="I683" s="2" t="s">
        <v>41</v>
      </c>
      <c r="J683" s="3">
        <v>38469</v>
      </c>
      <c r="K683" s="2"/>
      <c r="L683" s="2"/>
      <c r="M683" s="2">
        <v>23</v>
      </c>
      <c r="N683" s="2">
        <v>12</v>
      </c>
      <c r="O683" s="2" t="s">
        <v>53</v>
      </c>
      <c r="P683" s="2" t="s">
        <v>43</v>
      </c>
      <c r="Q683" s="2"/>
      <c r="R683" s="2" t="s">
        <v>44</v>
      </c>
      <c r="S683" s="2">
        <v>8250215703</v>
      </c>
      <c r="T683" s="2" t="s">
        <v>3141</v>
      </c>
      <c r="U683" s="2" t="s">
        <v>3134</v>
      </c>
      <c r="V683" s="2">
        <v>7296912922</v>
      </c>
      <c r="W683" s="2" t="s">
        <v>3135</v>
      </c>
      <c r="X683" s="2">
        <v>36000</v>
      </c>
      <c r="Y683" s="2" t="s">
        <v>46</v>
      </c>
      <c r="Z683" s="2" t="s">
        <v>46</v>
      </c>
      <c r="AA683" s="2" t="s">
        <v>47</v>
      </c>
      <c r="AB683" s="2">
        <v>16</v>
      </c>
      <c r="AC683" s="2" t="s">
        <v>48</v>
      </c>
      <c r="AD683" s="2">
        <v>12</v>
      </c>
    </row>
    <row r="684" spans="1:30" ht="30" x14ac:dyDescent="0.25">
      <c r="A684" s="2">
        <v>12</v>
      </c>
      <c r="B684" s="2" t="s">
        <v>2265</v>
      </c>
      <c r="C684" s="2">
        <v>13262</v>
      </c>
      <c r="D684" s="3">
        <v>43654</v>
      </c>
      <c r="E684" s="2" t="s">
        <v>3142</v>
      </c>
      <c r="F684" s="2"/>
      <c r="G684" s="2" t="s">
        <v>418</v>
      </c>
      <c r="H684" s="2" t="s">
        <v>319</v>
      </c>
      <c r="I684" s="2" t="s">
        <v>41</v>
      </c>
      <c r="J684" s="3">
        <v>37104</v>
      </c>
      <c r="K684" s="2"/>
      <c r="L684" s="2"/>
      <c r="M684" s="2">
        <v>23</v>
      </c>
      <c r="N684" s="2">
        <v>12</v>
      </c>
      <c r="O684" s="2" t="s">
        <v>78</v>
      </c>
      <c r="P684" s="2" t="s">
        <v>43</v>
      </c>
      <c r="Q684" s="2"/>
      <c r="R684" s="2" t="s">
        <v>44</v>
      </c>
      <c r="S684" s="2">
        <v>8250215703</v>
      </c>
      <c r="T684" s="2" t="s">
        <v>3143</v>
      </c>
      <c r="U684" s="2" t="s">
        <v>2420</v>
      </c>
      <c r="V684" s="2">
        <v>9414786212</v>
      </c>
      <c r="W684" s="2" t="s">
        <v>1730</v>
      </c>
      <c r="X684" s="2">
        <v>48000</v>
      </c>
      <c r="Y684" s="2" t="s">
        <v>46</v>
      </c>
      <c r="Z684" s="2" t="s">
        <v>46</v>
      </c>
      <c r="AA684" s="2" t="s">
        <v>47</v>
      </c>
      <c r="AB684" s="2">
        <v>20</v>
      </c>
      <c r="AC684" s="2" t="s">
        <v>48</v>
      </c>
      <c r="AD684" s="2">
        <v>9</v>
      </c>
    </row>
    <row r="685" spans="1:30" ht="45" x14ac:dyDescent="0.25">
      <c r="A685" s="2">
        <v>12</v>
      </c>
      <c r="B685" s="2" t="s">
        <v>2265</v>
      </c>
      <c r="C685" s="2">
        <v>13823</v>
      </c>
      <c r="D685" s="3">
        <v>44403</v>
      </c>
      <c r="E685" s="2" t="s">
        <v>3144</v>
      </c>
      <c r="F685" s="2"/>
      <c r="G685" s="2" t="s">
        <v>3085</v>
      </c>
      <c r="H685" s="2" t="s">
        <v>819</v>
      </c>
      <c r="I685" s="2" t="s">
        <v>41</v>
      </c>
      <c r="J685" s="3">
        <v>38598</v>
      </c>
      <c r="K685" s="2"/>
      <c r="L685" s="2"/>
      <c r="M685" s="2">
        <v>23</v>
      </c>
      <c r="N685" s="2">
        <v>9</v>
      </c>
      <c r="O685" s="2" t="s">
        <v>53</v>
      </c>
      <c r="P685" s="2" t="s">
        <v>43</v>
      </c>
      <c r="Q685" s="2"/>
      <c r="R685" s="2" t="s">
        <v>44</v>
      </c>
      <c r="S685" s="2">
        <v>8250215703</v>
      </c>
      <c r="T685" s="2" t="s">
        <v>3145</v>
      </c>
      <c r="U685" s="2" t="s">
        <v>3146</v>
      </c>
      <c r="V685" s="2">
        <v>9351396587</v>
      </c>
      <c r="W685" s="2" t="s">
        <v>3147</v>
      </c>
      <c r="X685" s="2">
        <v>55000</v>
      </c>
      <c r="Y685" s="2" t="s">
        <v>46</v>
      </c>
      <c r="Z685" s="2" t="s">
        <v>46</v>
      </c>
      <c r="AA685" s="2" t="s">
        <v>47</v>
      </c>
      <c r="AB685" s="2">
        <v>16</v>
      </c>
      <c r="AC685" s="2" t="s">
        <v>48</v>
      </c>
      <c r="AD685" s="2">
        <v>4</v>
      </c>
    </row>
    <row r="686" spans="1:30" ht="30" x14ac:dyDescent="0.25">
      <c r="A686" s="2">
        <v>12</v>
      </c>
      <c r="B686" s="2" t="s">
        <v>2265</v>
      </c>
      <c r="C686" s="2">
        <v>13581</v>
      </c>
      <c r="D686" s="3">
        <v>44095</v>
      </c>
      <c r="E686" s="2" t="s">
        <v>3148</v>
      </c>
      <c r="F686" s="2"/>
      <c r="G686" s="2" t="s">
        <v>3149</v>
      </c>
      <c r="H686" s="2" t="s">
        <v>1694</v>
      </c>
      <c r="I686" s="2" t="s">
        <v>41</v>
      </c>
      <c r="J686" s="3">
        <v>37736</v>
      </c>
      <c r="K686" s="2"/>
      <c r="L686" s="2"/>
      <c r="M686" s="2">
        <v>23</v>
      </c>
      <c r="N686" s="2">
        <v>8</v>
      </c>
      <c r="O686" s="2" t="s">
        <v>53</v>
      </c>
      <c r="P686" s="2" t="s">
        <v>43</v>
      </c>
      <c r="Q686" s="2"/>
      <c r="R686" s="2" t="s">
        <v>44</v>
      </c>
      <c r="S686" s="2">
        <v>8250215703</v>
      </c>
      <c r="T686" s="2" t="s">
        <v>3150</v>
      </c>
      <c r="U686" s="2" t="s">
        <v>3151</v>
      </c>
      <c r="V686" s="2">
        <v>9799258723</v>
      </c>
      <c r="W686" s="2" t="s">
        <v>3152</v>
      </c>
      <c r="X686" s="2">
        <v>36000</v>
      </c>
      <c r="Y686" s="2" t="s">
        <v>46</v>
      </c>
      <c r="Z686" s="2" t="s">
        <v>46</v>
      </c>
      <c r="AA686" s="2" t="s">
        <v>47</v>
      </c>
      <c r="AB686" s="2">
        <v>18</v>
      </c>
      <c r="AC686" s="2" t="s">
        <v>48</v>
      </c>
      <c r="AD686" s="2">
        <v>5</v>
      </c>
    </row>
    <row r="687" spans="1:30" ht="30" x14ac:dyDescent="0.25">
      <c r="A687" s="2">
        <v>12</v>
      </c>
      <c r="B687" s="2" t="s">
        <v>2265</v>
      </c>
      <c r="C687" s="2">
        <v>13615</v>
      </c>
      <c r="D687" s="3">
        <v>44119</v>
      </c>
      <c r="E687" s="2" t="s">
        <v>3153</v>
      </c>
      <c r="F687" s="2"/>
      <c r="G687" s="2" t="s">
        <v>3154</v>
      </c>
      <c r="H687" s="2" t="s">
        <v>3155</v>
      </c>
      <c r="I687" s="2" t="s">
        <v>41</v>
      </c>
      <c r="J687" s="3">
        <v>38288</v>
      </c>
      <c r="K687" s="2"/>
      <c r="L687" s="2"/>
      <c r="M687" s="2">
        <v>23</v>
      </c>
      <c r="N687" s="2">
        <v>8</v>
      </c>
      <c r="O687" s="2" t="s">
        <v>53</v>
      </c>
      <c r="P687" s="2" t="s">
        <v>43</v>
      </c>
      <c r="Q687" s="2"/>
      <c r="R687" s="2" t="s">
        <v>44</v>
      </c>
      <c r="S687" s="2">
        <v>8250215703</v>
      </c>
      <c r="T687" s="2" t="s">
        <v>2655</v>
      </c>
      <c r="U687" s="2"/>
      <c r="V687" s="2">
        <v>7850027353</v>
      </c>
      <c r="W687" s="2" t="s">
        <v>3156</v>
      </c>
      <c r="X687" s="2">
        <v>70000</v>
      </c>
      <c r="Y687" s="2" t="s">
        <v>46</v>
      </c>
      <c r="Z687" s="2" t="s">
        <v>46</v>
      </c>
      <c r="AA687" s="2" t="s">
        <v>47</v>
      </c>
      <c r="AB687" s="2">
        <v>17</v>
      </c>
      <c r="AC687" s="2" t="s">
        <v>48</v>
      </c>
      <c r="AD687" s="2">
        <v>4</v>
      </c>
    </row>
    <row r="688" spans="1:30" ht="30" x14ac:dyDescent="0.25">
      <c r="A688" s="2">
        <v>12</v>
      </c>
      <c r="B688" s="2" t="s">
        <v>2265</v>
      </c>
      <c r="C688" s="2">
        <v>12942</v>
      </c>
      <c r="D688" s="3">
        <v>43281</v>
      </c>
      <c r="E688" s="2" t="s">
        <v>3157</v>
      </c>
      <c r="F688" s="2"/>
      <c r="G688" s="2" t="s">
        <v>224</v>
      </c>
      <c r="H688" s="2" t="s">
        <v>700</v>
      </c>
      <c r="I688" s="2" t="s">
        <v>41</v>
      </c>
      <c r="J688" s="3">
        <v>38067</v>
      </c>
      <c r="K688" s="2"/>
      <c r="L688" s="2"/>
      <c r="M688" s="2">
        <v>23</v>
      </c>
      <c r="N688" s="2">
        <v>10</v>
      </c>
      <c r="O688" s="2" t="s">
        <v>78</v>
      </c>
      <c r="P688" s="2" t="s">
        <v>43</v>
      </c>
      <c r="Q688" s="2"/>
      <c r="R688" s="2" t="s">
        <v>44</v>
      </c>
      <c r="S688" s="2">
        <v>8250215703</v>
      </c>
      <c r="T688" s="2" t="s">
        <v>3158</v>
      </c>
      <c r="U688" s="2" t="s">
        <v>3159</v>
      </c>
      <c r="V688" s="2">
        <v>9024766062</v>
      </c>
      <c r="W688" s="2" t="s">
        <v>2296</v>
      </c>
      <c r="X688" s="2">
        <v>40000</v>
      </c>
      <c r="Y688" s="2" t="s">
        <v>46</v>
      </c>
      <c r="Z688" s="2" t="s">
        <v>46</v>
      </c>
      <c r="AA688" s="2" t="s">
        <v>47</v>
      </c>
      <c r="AB688" s="2">
        <v>17</v>
      </c>
      <c r="AC688" s="2" t="s">
        <v>48</v>
      </c>
      <c r="AD688" s="2">
        <v>3</v>
      </c>
    </row>
    <row r="689" spans="1:30" ht="30" x14ac:dyDescent="0.25">
      <c r="A689" s="2">
        <v>12</v>
      </c>
      <c r="B689" s="2" t="s">
        <v>2265</v>
      </c>
      <c r="C689" s="2">
        <v>13480</v>
      </c>
      <c r="D689" s="3">
        <v>44063</v>
      </c>
      <c r="E689" s="2" t="s">
        <v>3160</v>
      </c>
      <c r="F689" s="2"/>
      <c r="G689" s="2" t="s">
        <v>3161</v>
      </c>
      <c r="H689" s="2" t="s">
        <v>3162</v>
      </c>
      <c r="I689" s="2" t="s">
        <v>41</v>
      </c>
      <c r="J689" s="3">
        <v>37538</v>
      </c>
      <c r="K689" s="2"/>
      <c r="L689" s="2"/>
      <c r="M689" s="2">
        <v>23</v>
      </c>
      <c r="N689" s="2">
        <v>12</v>
      </c>
      <c r="O689" s="2" t="s">
        <v>78</v>
      </c>
      <c r="P689" s="2" t="s">
        <v>43</v>
      </c>
      <c r="Q689" s="2"/>
      <c r="R689" s="2" t="s">
        <v>44</v>
      </c>
      <c r="S689" s="2">
        <v>8250215703</v>
      </c>
      <c r="T689" s="2" t="s">
        <v>3163</v>
      </c>
      <c r="U689" s="2" t="s">
        <v>3164</v>
      </c>
      <c r="V689" s="2">
        <v>9587254688</v>
      </c>
      <c r="W689" s="2" t="s">
        <v>3165</v>
      </c>
      <c r="X689" s="2">
        <v>66000</v>
      </c>
      <c r="Y689" s="2" t="s">
        <v>46</v>
      </c>
      <c r="Z689" s="2" t="s">
        <v>240</v>
      </c>
      <c r="AA689" s="2" t="s">
        <v>47</v>
      </c>
      <c r="AB689" s="2">
        <v>19</v>
      </c>
      <c r="AC689" s="2" t="s">
        <v>48</v>
      </c>
      <c r="AD689" s="2">
        <v>1</v>
      </c>
    </row>
    <row r="690" spans="1:30" ht="30" x14ac:dyDescent="0.25">
      <c r="A690" s="2">
        <v>12</v>
      </c>
      <c r="B690" s="2" t="s">
        <v>2265</v>
      </c>
      <c r="C690" s="2">
        <v>12885</v>
      </c>
      <c r="D690" s="3">
        <v>43274</v>
      </c>
      <c r="E690" s="2" t="s">
        <v>3166</v>
      </c>
      <c r="F690" s="2"/>
      <c r="G690" s="2" t="s">
        <v>3167</v>
      </c>
      <c r="H690" s="2" t="s">
        <v>830</v>
      </c>
      <c r="I690" s="2" t="s">
        <v>41</v>
      </c>
      <c r="J690" s="3">
        <v>37495</v>
      </c>
      <c r="K690" s="2"/>
      <c r="L690" s="2"/>
      <c r="M690" s="2">
        <v>23</v>
      </c>
      <c r="N690" s="2">
        <v>0</v>
      </c>
      <c r="O690" s="2" t="s">
        <v>53</v>
      </c>
      <c r="P690" s="2" t="s">
        <v>43</v>
      </c>
      <c r="Q690" s="2"/>
      <c r="R690" s="2" t="s">
        <v>44</v>
      </c>
      <c r="S690" s="2">
        <v>8250215703</v>
      </c>
      <c r="T690" s="2" t="s">
        <v>3168</v>
      </c>
      <c r="U690" s="2" t="s">
        <v>3169</v>
      </c>
      <c r="V690" s="2">
        <v>7300102314</v>
      </c>
      <c r="W690" s="2" t="s">
        <v>3170</v>
      </c>
      <c r="X690" s="2">
        <v>36000</v>
      </c>
      <c r="Y690" s="2" t="s">
        <v>46</v>
      </c>
      <c r="Z690" s="2" t="s">
        <v>46</v>
      </c>
      <c r="AA690" s="2" t="s">
        <v>47</v>
      </c>
      <c r="AB690" s="2">
        <v>19</v>
      </c>
      <c r="AC690" s="2" t="s">
        <v>48</v>
      </c>
      <c r="AD690" s="2">
        <v>4</v>
      </c>
    </row>
    <row r="691" spans="1:30" ht="45" x14ac:dyDescent="0.25">
      <c r="A691" s="2">
        <v>12</v>
      </c>
      <c r="B691" s="2" t="s">
        <v>2265</v>
      </c>
      <c r="C691" s="2">
        <v>13922</v>
      </c>
      <c r="D691" s="3">
        <v>44421</v>
      </c>
      <c r="E691" s="2" t="s">
        <v>3171</v>
      </c>
      <c r="F691" s="2"/>
      <c r="G691" s="2" t="s">
        <v>3172</v>
      </c>
      <c r="H691" s="2" t="s">
        <v>3173</v>
      </c>
      <c r="I691" s="2" t="s">
        <v>41</v>
      </c>
      <c r="J691" s="3">
        <v>38551</v>
      </c>
      <c r="K691" s="2"/>
      <c r="L691" s="2"/>
      <c r="M691" s="2">
        <v>23</v>
      </c>
      <c r="N691" s="2">
        <v>5</v>
      </c>
      <c r="O691" s="2" t="s">
        <v>773</v>
      </c>
      <c r="P691" s="2" t="s">
        <v>43</v>
      </c>
      <c r="Q691" s="2"/>
      <c r="R691" s="2" t="s">
        <v>44</v>
      </c>
      <c r="S691" s="2">
        <v>8250215703</v>
      </c>
      <c r="T691" s="2" t="s">
        <v>3174</v>
      </c>
      <c r="U691" s="2" t="s">
        <v>3175</v>
      </c>
      <c r="V691" s="2">
        <v>8209819942</v>
      </c>
      <c r="W691" s="2" t="s">
        <v>3176</v>
      </c>
      <c r="X691" s="2">
        <v>35000</v>
      </c>
      <c r="Y691" s="2" t="s">
        <v>46</v>
      </c>
      <c r="Z691" s="2" t="s">
        <v>46</v>
      </c>
      <c r="AA691" s="2" t="s">
        <v>47</v>
      </c>
      <c r="AB691" s="2">
        <v>16</v>
      </c>
      <c r="AC691" s="2" t="s">
        <v>48</v>
      </c>
      <c r="AD691" s="2">
        <v>0</v>
      </c>
    </row>
    <row r="692" spans="1:30" ht="30" x14ac:dyDescent="0.25">
      <c r="A692" s="2">
        <v>12</v>
      </c>
      <c r="B692" s="2" t="s">
        <v>2265</v>
      </c>
      <c r="C692" s="2">
        <v>12548</v>
      </c>
      <c r="D692" s="3">
        <v>42562</v>
      </c>
      <c r="E692" s="2" t="s">
        <v>3177</v>
      </c>
      <c r="F692" s="2"/>
      <c r="G692" s="2" t="s">
        <v>3178</v>
      </c>
      <c r="H692" s="2" t="s">
        <v>3179</v>
      </c>
      <c r="I692" s="2" t="s">
        <v>41</v>
      </c>
      <c r="J692" s="3">
        <v>37927</v>
      </c>
      <c r="K692" s="2"/>
      <c r="L692" s="2"/>
      <c r="M692" s="2">
        <v>23</v>
      </c>
      <c r="N692" s="2">
        <v>10</v>
      </c>
      <c r="O692" s="2" t="s">
        <v>78</v>
      </c>
      <c r="P692" s="2" t="s">
        <v>43</v>
      </c>
      <c r="Q692" s="2"/>
      <c r="R692" s="2" t="s">
        <v>44</v>
      </c>
      <c r="S692" s="2">
        <v>8250215703</v>
      </c>
      <c r="T692" s="2" t="s">
        <v>3180</v>
      </c>
      <c r="U692" s="2"/>
      <c r="V692" s="2">
        <v>8696223049</v>
      </c>
      <c r="W692" s="2" t="s">
        <v>3181</v>
      </c>
      <c r="X692" s="2">
        <v>0</v>
      </c>
      <c r="Y692" s="2" t="s">
        <v>46</v>
      </c>
      <c r="Z692" s="2" t="s">
        <v>46</v>
      </c>
      <c r="AA692" s="2" t="s">
        <v>47</v>
      </c>
      <c r="AB692" s="2">
        <v>18</v>
      </c>
      <c r="AC692" s="2" t="s">
        <v>48</v>
      </c>
      <c r="AD692" s="2">
        <v>18</v>
      </c>
    </row>
    <row r="693" spans="1:30" ht="30" x14ac:dyDescent="0.25">
      <c r="A693" s="2">
        <v>12</v>
      </c>
      <c r="B693" s="2" t="s">
        <v>2265</v>
      </c>
      <c r="C693" s="2">
        <v>12883</v>
      </c>
      <c r="D693" s="3">
        <v>43274</v>
      </c>
      <c r="E693" s="2" t="s">
        <v>3182</v>
      </c>
      <c r="F693" s="2"/>
      <c r="G693" s="2" t="s">
        <v>1262</v>
      </c>
      <c r="H693" s="2" t="s">
        <v>3183</v>
      </c>
      <c r="I693" s="2" t="s">
        <v>41</v>
      </c>
      <c r="J693" s="3">
        <v>38029</v>
      </c>
      <c r="K693" s="2"/>
      <c r="L693" s="2"/>
      <c r="M693" s="2">
        <v>23</v>
      </c>
      <c r="N693" s="2">
        <v>8</v>
      </c>
      <c r="O693" s="2" t="s">
        <v>53</v>
      </c>
      <c r="P693" s="2" t="s">
        <v>43</v>
      </c>
      <c r="Q693" s="2"/>
      <c r="R693" s="2" t="s">
        <v>44</v>
      </c>
      <c r="S693" s="2">
        <v>8250215703</v>
      </c>
      <c r="T693" s="2" t="s">
        <v>3184</v>
      </c>
      <c r="U693" s="2" t="s">
        <v>1265</v>
      </c>
      <c r="V693" s="2">
        <v>7300102314</v>
      </c>
      <c r="W693" s="2" t="s">
        <v>3185</v>
      </c>
      <c r="X693" s="2">
        <v>36000</v>
      </c>
      <c r="Y693" s="2" t="s">
        <v>46</v>
      </c>
      <c r="Z693" s="2" t="s">
        <v>46</v>
      </c>
      <c r="AA693" s="2" t="s">
        <v>47</v>
      </c>
      <c r="AB693" s="2">
        <v>17</v>
      </c>
      <c r="AC693" s="2" t="s">
        <v>48</v>
      </c>
      <c r="AD693" s="2">
        <v>4</v>
      </c>
    </row>
    <row r="694" spans="1:30" ht="30" x14ac:dyDescent="0.25">
      <c r="A694" s="2">
        <v>12</v>
      </c>
      <c r="B694" s="2" t="s">
        <v>2265</v>
      </c>
      <c r="C694" s="2">
        <v>13354</v>
      </c>
      <c r="D694" s="3">
        <v>43661</v>
      </c>
      <c r="E694" s="2" t="s">
        <v>961</v>
      </c>
      <c r="F694" s="2"/>
      <c r="G694" s="2" t="s">
        <v>3186</v>
      </c>
      <c r="H694" s="2" t="s">
        <v>3187</v>
      </c>
      <c r="I694" s="2" t="s">
        <v>41</v>
      </c>
      <c r="J694" s="3">
        <v>38132</v>
      </c>
      <c r="K694" s="2"/>
      <c r="L694" s="2"/>
      <c r="M694" s="2">
        <v>23</v>
      </c>
      <c r="N694" s="2">
        <v>0</v>
      </c>
      <c r="O694" s="2" t="s">
        <v>78</v>
      </c>
      <c r="P694" s="2" t="s">
        <v>43</v>
      </c>
      <c r="Q694" s="2"/>
      <c r="R694" s="2" t="s">
        <v>44</v>
      </c>
      <c r="S694" s="2">
        <v>8250215703</v>
      </c>
      <c r="T694" s="2" t="s">
        <v>3188</v>
      </c>
      <c r="U694" s="2" t="s">
        <v>3189</v>
      </c>
      <c r="V694" s="2">
        <v>9799216172</v>
      </c>
      <c r="W694" s="2" t="s">
        <v>3190</v>
      </c>
      <c r="X694" s="2">
        <v>45000</v>
      </c>
      <c r="Y694" s="2" t="s">
        <v>46</v>
      </c>
      <c r="Z694" s="2" t="s">
        <v>240</v>
      </c>
      <c r="AA694" s="2" t="s">
        <v>47</v>
      </c>
      <c r="AB694" s="2">
        <v>17</v>
      </c>
      <c r="AC694" s="2" t="s">
        <v>48</v>
      </c>
      <c r="AD694" s="2">
        <v>12</v>
      </c>
    </row>
    <row r="695" spans="1:30" ht="30" x14ac:dyDescent="0.25">
      <c r="A695" s="2">
        <v>12</v>
      </c>
      <c r="B695" s="2" t="s">
        <v>2265</v>
      </c>
      <c r="C695" s="2">
        <v>12371</v>
      </c>
      <c r="D695" s="3">
        <v>42548</v>
      </c>
      <c r="E695" s="2" t="s">
        <v>3191</v>
      </c>
      <c r="F695" s="2"/>
      <c r="G695" s="2" t="s">
        <v>1647</v>
      </c>
      <c r="H695" s="2" t="s">
        <v>686</v>
      </c>
      <c r="I695" s="2" t="s">
        <v>41</v>
      </c>
      <c r="J695" s="3">
        <v>37962</v>
      </c>
      <c r="K695" s="2"/>
      <c r="L695" s="2"/>
      <c r="M695" s="2">
        <v>23</v>
      </c>
      <c r="N695" s="2">
        <v>12</v>
      </c>
      <c r="O695" s="2" t="s">
        <v>78</v>
      </c>
      <c r="P695" s="2" t="s">
        <v>43</v>
      </c>
      <c r="Q695" s="2"/>
      <c r="R695" s="2" t="s">
        <v>44</v>
      </c>
      <c r="S695" s="2">
        <v>8250215703</v>
      </c>
      <c r="T695" s="2" t="s">
        <v>3192</v>
      </c>
      <c r="U695" s="2"/>
      <c r="V695" s="2">
        <v>9950345393</v>
      </c>
      <c r="W695" s="2" t="s">
        <v>2253</v>
      </c>
      <c r="X695" s="2">
        <v>40000</v>
      </c>
      <c r="Y695" s="2" t="s">
        <v>46</v>
      </c>
      <c r="Z695" s="2" t="s">
        <v>46</v>
      </c>
      <c r="AA695" s="2" t="s">
        <v>47</v>
      </c>
      <c r="AB695" s="2">
        <v>18</v>
      </c>
      <c r="AC695" s="2" t="s">
        <v>48</v>
      </c>
      <c r="AD695" s="2">
        <v>1</v>
      </c>
    </row>
    <row r="696" spans="1:30" ht="30" x14ac:dyDescent="0.25">
      <c r="A696" s="2">
        <v>12</v>
      </c>
      <c r="B696" s="2" t="s">
        <v>2265</v>
      </c>
      <c r="C696" s="2">
        <v>13544</v>
      </c>
      <c r="D696" s="3">
        <v>44083</v>
      </c>
      <c r="E696" s="2" t="s">
        <v>3193</v>
      </c>
      <c r="F696" s="2"/>
      <c r="G696" s="2" t="s">
        <v>3194</v>
      </c>
      <c r="H696" s="2" t="s">
        <v>210</v>
      </c>
      <c r="I696" s="2" t="s">
        <v>41</v>
      </c>
      <c r="J696" s="3">
        <v>37690</v>
      </c>
      <c r="K696" s="2"/>
      <c r="L696" s="2"/>
      <c r="M696" s="2">
        <v>23</v>
      </c>
      <c r="N696" s="2">
        <v>10</v>
      </c>
      <c r="O696" s="2" t="s">
        <v>42</v>
      </c>
      <c r="P696" s="2" t="s">
        <v>43</v>
      </c>
      <c r="Q696" s="2"/>
      <c r="R696" s="2" t="s">
        <v>44</v>
      </c>
      <c r="S696" s="2">
        <v>8250215703</v>
      </c>
      <c r="T696" s="2" t="s">
        <v>3195</v>
      </c>
      <c r="U696" s="2" t="s">
        <v>2538</v>
      </c>
      <c r="V696" s="2">
        <v>9351810171</v>
      </c>
      <c r="W696" s="2" t="s">
        <v>1950</v>
      </c>
      <c r="X696" s="2">
        <v>70000</v>
      </c>
      <c r="Y696" s="2" t="s">
        <v>46</v>
      </c>
      <c r="Z696" s="2" t="s">
        <v>240</v>
      </c>
      <c r="AA696" s="2" t="s">
        <v>47</v>
      </c>
      <c r="AB696" s="2">
        <v>18</v>
      </c>
      <c r="AC696" s="2" t="s">
        <v>48</v>
      </c>
      <c r="AD696" s="2">
        <v>1</v>
      </c>
    </row>
    <row r="697" spans="1:30" ht="30" x14ac:dyDescent="0.25">
      <c r="A697" s="2">
        <v>12</v>
      </c>
      <c r="B697" s="2" t="s">
        <v>2265</v>
      </c>
      <c r="C697" s="2">
        <v>12964</v>
      </c>
      <c r="D697" s="3">
        <v>43281</v>
      </c>
      <c r="E697" s="2" t="s">
        <v>1002</v>
      </c>
      <c r="F697" s="2"/>
      <c r="G697" s="2" t="s">
        <v>1464</v>
      </c>
      <c r="H697" s="2" t="s">
        <v>286</v>
      </c>
      <c r="I697" s="2" t="s">
        <v>41</v>
      </c>
      <c r="J697" s="3">
        <v>38098</v>
      </c>
      <c r="K697" s="2"/>
      <c r="L697" s="2"/>
      <c r="M697" s="2">
        <v>23</v>
      </c>
      <c r="N697" s="2">
        <v>10</v>
      </c>
      <c r="O697" s="2" t="s">
        <v>53</v>
      </c>
      <c r="P697" s="2" t="s">
        <v>43</v>
      </c>
      <c r="Q697" s="2"/>
      <c r="R697" s="2" t="s">
        <v>44</v>
      </c>
      <c r="S697" s="2">
        <v>8250215703</v>
      </c>
      <c r="T697" s="2" t="s">
        <v>3196</v>
      </c>
      <c r="U697" s="2" t="s">
        <v>3197</v>
      </c>
      <c r="V697" s="2">
        <v>9772932550</v>
      </c>
      <c r="W697" s="2" t="s">
        <v>3198</v>
      </c>
      <c r="X697" s="2">
        <v>36000</v>
      </c>
      <c r="Y697" s="2" t="s">
        <v>46</v>
      </c>
      <c r="Z697" s="2" t="s">
        <v>46</v>
      </c>
      <c r="AA697" s="2" t="s">
        <v>47</v>
      </c>
      <c r="AB697" s="2">
        <v>17</v>
      </c>
      <c r="AC697" s="2" t="s">
        <v>48</v>
      </c>
      <c r="AD697" s="2">
        <v>20</v>
      </c>
    </row>
    <row r="698" spans="1:30" ht="45" x14ac:dyDescent="0.25">
      <c r="A698" s="2">
        <v>12</v>
      </c>
      <c r="B698" s="2" t="s">
        <v>2265</v>
      </c>
      <c r="C698" s="2">
        <v>13565</v>
      </c>
      <c r="D698" s="3">
        <v>44089</v>
      </c>
      <c r="E698" s="2" t="s">
        <v>3199</v>
      </c>
      <c r="F698" s="2"/>
      <c r="G698" s="2" t="s">
        <v>3200</v>
      </c>
      <c r="H698" s="2" t="s">
        <v>3201</v>
      </c>
      <c r="I698" s="2" t="s">
        <v>41</v>
      </c>
      <c r="J698" s="3">
        <v>37584</v>
      </c>
      <c r="K698" s="2"/>
      <c r="L698" s="2"/>
      <c r="M698" s="2">
        <v>23</v>
      </c>
      <c r="N698" s="2">
        <v>9</v>
      </c>
      <c r="O698" s="2" t="s">
        <v>78</v>
      </c>
      <c r="P698" s="2" t="s">
        <v>43</v>
      </c>
      <c r="Q698" s="2"/>
      <c r="R698" s="2" t="s">
        <v>44</v>
      </c>
      <c r="S698" s="2">
        <v>8250215703</v>
      </c>
      <c r="T698" s="2" t="s">
        <v>3202</v>
      </c>
      <c r="U698" s="2" t="s">
        <v>3203</v>
      </c>
      <c r="V698" s="2">
        <v>9351298474</v>
      </c>
      <c r="W698" s="2" t="s">
        <v>3204</v>
      </c>
      <c r="X698" s="2">
        <v>40000</v>
      </c>
      <c r="Y698" s="2" t="s">
        <v>46</v>
      </c>
      <c r="Z698" s="2" t="s">
        <v>46</v>
      </c>
      <c r="AA698" s="2" t="s">
        <v>47</v>
      </c>
      <c r="AB698" s="2">
        <v>19</v>
      </c>
      <c r="AC698" s="2" t="s">
        <v>48</v>
      </c>
      <c r="AD698" s="2">
        <v>1</v>
      </c>
    </row>
    <row r="699" spans="1:30" ht="30" x14ac:dyDescent="0.25">
      <c r="A699" s="2">
        <v>12</v>
      </c>
      <c r="B699" s="2" t="s">
        <v>2265</v>
      </c>
      <c r="C699" s="2">
        <v>13481</v>
      </c>
      <c r="D699" s="3">
        <v>44063</v>
      </c>
      <c r="E699" s="2" t="s">
        <v>3205</v>
      </c>
      <c r="F699" s="2"/>
      <c r="G699" s="2" t="s">
        <v>3206</v>
      </c>
      <c r="H699" s="2" t="s">
        <v>3207</v>
      </c>
      <c r="I699" s="2" t="s">
        <v>41</v>
      </c>
      <c r="J699" s="3">
        <v>38434</v>
      </c>
      <c r="K699" s="2"/>
      <c r="L699" s="2"/>
      <c r="M699" s="2">
        <v>23</v>
      </c>
      <c r="N699" s="2">
        <v>10</v>
      </c>
      <c r="O699" s="2" t="s">
        <v>78</v>
      </c>
      <c r="P699" s="2" t="s">
        <v>43</v>
      </c>
      <c r="Q699" s="2"/>
      <c r="R699" s="2" t="s">
        <v>44</v>
      </c>
      <c r="S699" s="2">
        <v>8250215703</v>
      </c>
      <c r="T699" s="2" t="s">
        <v>3208</v>
      </c>
      <c r="U699" s="2" t="s">
        <v>3209</v>
      </c>
      <c r="V699" s="2">
        <v>7742359686</v>
      </c>
      <c r="W699" s="2" t="s">
        <v>2119</v>
      </c>
      <c r="X699" s="2">
        <v>40000</v>
      </c>
      <c r="Y699" s="2" t="s">
        <v>46</v>
      </c>
      <c r="Z699" s="2" t="s">
        <v>46</v>
      </c>
      <c r="AA699" s="2" t="s">
        <v>47</v>
      </c>
      <c r="AB699" s="2">
        <v>16</v>
      </c>
      <c r="AC699" s="2" t="s">
        <v>48</v>
      </c>
      <c r="AD699" s="2">
        <v>1</v>
      </c>
    </row>
    <row r="700" spans="1:30" ht="30" x14ac:dyDescent="0.25">
      <c r="A700" s="2">
        <v>12</v>
      </c>
      <c r="B700" s="2" t="s">
        <v>2265</v>
      </c>
      <c r="C700" s="2">
        <v>12958</v>
      </c>
      <c r="D700" s="3">
        <v>43281</v>
      </c>
      <c r="E700" s="2" t="s">
        <v>3210</v>
      </c>
      <c r="F700" s="2"/>
      <c r="G700" s="2" t="s">
        <v>3211</v>
      </c>
      <c r="H700" s="2" t="s">
        <v>1732</v>
      </c>
      <c r="I700" s="2" t="s">
        <v>41</v>
      </c>
      <c r="J700" s="3">
        <v>37647</v>
      </c>
      <c r="K700" s="2"/>
      <c r="L700" s="2"/>
      <c r="M700" s="2">
        <v>23</v>
      </c>
      <c r="N700" s="2">
        <v>10</v>
      </c>
      <c r="O700" s="2" t="s">
        <v>53</v>
      </c>
      <c r="P700" s="2" t="s">
        <v>43</v>
      </c>
      <c r="Q700" s="2"/>
      <c r="R700" s="2" t="s">
        <v>44</v>
      </c>
      <c r="S700" s="2">
        <v>8250215703</v>
      </c>
      <c r="T700" s="2" t="s">
        <v>3212</v>
      </c>
      <c r="U700" s="2" t="s">
        <v>3213</v>
      </c>
      <c r="V700" s="2">
        <v>9950429599</v>
      </c>
      <c r="W700" s="2" t="s">
        <v>3214</v>
      </c>
      <c r="X700" s="2">
        <v>36000</v>
      </c>
      <c r="Y700" s="2" t="s">
        <v>46</v>
      </c>
      <c r="Z700" s="2" t="s">
        <v>46</v>
      </c>
      <c r="AA700" s="2" t="s">
        <v>47</v>
      </c>
      <c r="AB700" s="2">
        <v>18</v>
      </c>
      <c r="AC700" s="2" t="s">
        <v>48</v>
      </c>
      <c r="AD700" s="2">
        <v>10</v>
      </c>
    </row>
    <row r="701" spans="1:30" ht="30" x14ac:dyDescent="0.25">
      <c r="A701" s="2">
        <v>12</v>
      </c>
      <c r="B701" s="2" t="s">
        <v>2265</v>
      </c>
      <c r="C701" s="2">
        <v>13505</v>
      </c>
      <c r="D701" s="3">
        <v>44069</v>
      </c>
      <c r="E701" s="2" t="s">
        <v>3215</v>
      </c>
      <c r="F701" s="2"/>
      <c r="G701" s="2" t="s">
        <v>3216</v>
      </c>
      <c r="H701" s="2" t="s">
        <v>3217</v>
      </c>
      <c r="I701" s="2" t="s">
        <v>41</v>
      </c>
      <c r="J701" s="3">
        <v>38511</v>
      </c>
      <c r="K701" s="2"/>
      <c r="L701" s="2"/>
      <c r="M701" s="2">
        <v>23</v>
      </c>
      <c r="N701" s="2">
        <v>12</v>
      </c>
      <c r="O701" s="2" t="s">
        <v>42</v>
      </c>
      <c r="P701" s="2" t="s">
        <v>43</v>
      </c>
      <c r="Q701" s="2"/>
      <c r="R701" s="2" t="s">
        <v>44</v>
      </c>
      <c r="S701" s="2">
        <v>8250215703</v>
      </c>
      <c r="T701" s="2" t="s">
        <v>3218</v>
      </c>
      <c r="U701" s="2" t="s">
        <v>3219</v>
      </c>
      <c r="V701" s="2">
        <v>7725999113</v>
      </c>
      <c r="W701" s="2" t="s">
        <v>3220</v>
      </c>
      <c r="X701" s="2">
        <v>915182</v>
      </c>
      <c r="Y701" s="2" t="s">
        <v>46</v>
      </c>
      <c r="Z701" s="2" t="s">
        <v>46</v>
      </c>
      <c r="AA701" s="2" t="s">
        <v>47</v>
      </c>
      <c r="AB701" s="2">
        <v>16</v>
      </c>
      <c r="AC701" s="2" t="s">
        <v>48</v>
      </c>
      <c r="AD701" s="2">
        <v>1</v>
      </c>
    </row>
    <row r="702" spans="1:30" ht="30" x14ac:dyDescent="0.25">
      <c r="A702" s="2">
        <v>12</v>
      </c>
      <c r="B702" s="2" t="s">
        <v>2265</v>
      </c>
      <c r="C702" s="2">
        <v>13477</v>
      </c>
      <c r="D702" s="3">
        <v>44063</v>
      </c>
      <c r="E702" s="2" t="s">
        <v>3221</v>
      </c>
      <c r="F702" s="2"/>
      <c r="G702" s="2" t="s">
        <v>3222</v>
      </c>
      <c r="H702" s="2" t="s">
        <v>3223</v>
      </c>
      <c r="I702" s="2" t="s">
        <v>41</v>
      </c>
      <c r="J702" s="3">
        <v>38227</v>
      </c>
      <c r="K702" s="2"/>
      <c r="L702" s="2"/>
      <c r="M702" s="2">
        <v>23</v>
      </c>
      <c r="N702" s="2">
        <v>10</v>
      </c>
      <c r="O702" s="2" t="s">
        <v>42</v>
      </c>
      <c r="P702" s="2" t="s">
        <v>43</v>
      </c>
      <c r="Q702" s="2"/>
      <c r="R702" s="2" t="s">
        <v>44</v>
      </c>
      <c r="S702" s="2">
        <v>8250215703</v>
      </c>
      <c r="T702" s="2" t="s">
        <v>3224</v>
      </c>
      <c r="U702" s="2" t="s">
        <v>3225</v>
      </c>
      <c r="V702" s="2">
        <v>8764124939</v>
      </c>
      <c r="W702" s="2" t="s">
        <v>776</v>
      </c>
      <c r="X702" s="2">
        <v>120000</v>
      </c>
      <c r="Y702" s="2" t="s">
        <v>46</v>
      </c>
      <c r="Z702" s="2" t="s">
        <v>46</v>
      </c>
      <c r="AA702" s="2" t="s">
        <v>47</v>
      </c>
      <c r="AB702" s="2">
        <v>17</v>
      </c>
      <c r="AC702" s="2" t="s">
        <v>48</v>
      </c>
      <c r="AD702" s="2">
        <v>1</v>
      </c>
    </row>
    <row r="703" spans="1:30" ht="30" x14ac:dyDescent="0.25">
      <c r="A703" s="2">
        <v>12</v>
      </c>
      <c r="B703" s="2" t="s">
        <v>2265</v>
      </c>
      <c r="C703" s="2">
        <v>13562</v>
      </c>
      <c r="D703" s="3">
        <v>44089</v>
      </c>
      <c r="E703" s="2" t="s">
        <v>3226</v>
      </c>
      <c r="F703" s="2"/>
      <c r="G703" s="2" t="s">
        <v>3227</v>
      </c>
      <c r="H703" s="2" t="s">
        <v>3228</v>
      </c>
      <c r="I703" s="2" t="s">
        <v>41</v>
      </c>
      <c r="J703" s="3">
        <v>38184</v>
      </c>
      <c r="K703" s="2"/>
      <c r="L703" s="2"/>
      <c r="M703" s="2">
        <v>23</v>
      </c>
      <c r="N703" s="2">
        <v>12</v>
      </c>
      <c r="O703" s="2" t="s">
        <v>42</v>
      </c>
      <c r="P703" s="2" t="s">
        <v>43</v>
      </c>
      <c r="Q703" s="2"/>
      <c r="R703" s="2" t="s">
        <v>44</v>
      </c>
      <c r="S703" s="2">
        <v>8250215703</v>
      </c>
      <c r="T703" s="2" t="s">
        <v>3229</v>
      </c>
      <c r="U703" s="2"/>
      <c r="V703" s="2">
        <v>9983100277</v>
      </c>
      <c r="W703" s="2" t="s">
        <v>3230</v>
      </c>
      <c r="X703" s="2">
        <v>40000</v>
      </c>
      <c r="Y703" s="2" t="s">
        <v>46</v>
      </c>
      <c r="Z703" s="2" t="s">
        <v>46</v>
      </c>
      <c r="AA703" s="2" t="s">
        <v>47</v>
      </c>
      <c r="AB703" s="2">
        <v>17</v>
      </c>
      <c r="AC703" s="2" t="s">
        <v>48</v>
      </c>
      <c r="AD703" s="2">
        <v>2</v>
      </c>
    </row>
    <row r="704" spans="1:30" ht="45" x14ac:dyDescent="0.25">
      <c r="A704" s="2">
        <v>12</v>
      </c>
      <c r="B704" s="2" t="s">
        <v>2265</v>
      </c>
      <c r="C704" s="2">
        <v>13563</v>
      </c>
      <c r="D704" s="3">
        <v>44089</v>
      </c>
      <c r="E704" s="2" t="s">
        <v>2415</v>
      </c>
      <c r="F704" s="2"/>
      <c r="G704" s="2" t="s">
        <v>3231</v>
      </c>
      <c r="H704" s="2" t="s">
        <v>3232</v>
      </c>
      <c r="I704" s="2" t="s">
        <v>41</v>
      </c>
      <c r="J704" s="3">
        <v>38141</v>
      </c>
      <c r="K704" s="2"/>
      <c r="L704" s="2"/>
      <c r="M704" s="2">
        <v>23</v>
      </c>
      <c r="N704" s="2">
        <v>10</v>
      </c>
      <c r="O704" s="2" t="s">
        <v>78</v>
      </c>
      <c r="P704" s="2" t="s">
        <v>43</v>
      </c>
      <c r="Q704" s="2"/>
      <c r="R704" s="2" t="s">
        <v>44</v>
      </c>
      <c r="S704" s="2">
        <v>8250215703</v>
      </c>
      <c r="T704" s="2" t="s">
        <v>3233</v>
      </c>
      <c r="U704" s="2" t="s">
        <v>3234</v>
      </c>
      <c r="V704" s="2">
        <v>8003460505</v>
      </c>
      <c r="W704" s="2" t="s">
        <v>3235</v>
      </c>
      <c r="X704" s="2">
        <v>36000</v>
      </c>
      <c r="Y704" s="2" t="s">
        <v>46</v>
      </c>
      <c r="Z704" s="2" t="s">
        <v>46</v>
      </c>
      <c r="AA704" s="2" t="s">
        <v>47</v>
      </c>
      <c r="AB704" s="2">
        <v>17</v>
      </c>
      <c r="AC704" s="2" t="s">
        <v>48</v>
      </c>
      <c r="AD704" s="2">
        <v>9</v>
      </c>
    </row>
    <row r="705" spans="1:30" ht="30" x14ac:dyDescent="0.25">
      <c r="A705" s="2">
        <v>12</v>
      </c>
      <c r="B705" s="2" t="s">
        <v>2265</v>
      </c>
      <c r="C705" s="2">
        <v>13554</v>
      </c>
      <c r="D705" s="3">
        <v>44085</v>
      </c>
      <c r="E705" s="2" t="s">
        <v>3236</v>
      </c>
      <c r="F705" s="2"/>
      <c r="G705" s="2" t="s">
        <v>3237</v>
      </c>
      <c r="H705" s="2" t="s">
        <v>2609</v>
      </c>
      <c r="I705" s="2" t="s">
        <v>41</v>
      </c>
      <c r="J705" s="3">
        <v>38092</v>
      </c>
      <c r="K705" s="2"/>
      <c r="L705" s="2"/>
      <c r="M705" s="2">
        <v>23</v>
      </c>
      <c r="N705" s="2">
        <v>12</v>
      </c>
      <c r="O705" s="2" t="s">
        <v>53</v>
      </c>
      <c r="P705" s="2" t="s">
        <v>43</v>
      </c>
      <c r="Q705" s="2"/>
      <c r="R705" s="2" t="s">
        <v>44</v>
      </c>
      <c r="S705" s="2">
        <v>8250215703</v>
      </c>
      <c r="T705" s="2" t="s">
        <v>3238</v>
      </c>
      <c r="U705" s="2" t="s">
        <v>3239</v>
      </c>
      <c r="V705" s="2">
        <v>8824821965</v>
      </c>
      <c r="W705" s="2" t="s">
        <v>3240</v>
      </c>
      <c r="X705" s="2">
        <v>0</v>
      </c>
      <c r="Y705" s="2" t="s">
        <v>46</v>
      </c>
      <c r="Z705" s="2" t="s">
        <v>46</v>
      </c>
      <c r="AA705" s="2" t="s">
        <v>47</v>
      </c>
      <c r="AB705" s="2">
        <v>17</v>
      </c>
      <c r="AC705" s="2" t="s">
        <v>48</v>
      </c>
      <c r="AD705" s="2">
        <v>2</v>
      </c>
    </row>
    <row r="706" spans="1:30" ht="45" x14ac:dyDescent="0.25">
      <c r="A706" s="2">
        <v>12</v>
      </c>
      <c r="B706" s="2" t="s">
        <v>2265</v>
      </c>
      <c r="C706" s="2">
        <v>12950</v>
      </c>
      <c r="D706" s="3">
        <v>43281</v>
      </c>
      <c r="E706" s="2" t="s">
        <v>3241</v>
      </c>
      <c r="F706" s="2"/>
      <c r="G706" s="2" t="s">
        <v>2976</v>
      </c>
      <c r="H706" s="2" t="s">
        <v>1390</v>
      </c>
      <c r="I706" s="2" t="s">
        <v>41</v>
      </c>
      <c r="J706" s="3">
        <v>38173</v>
      </c>
      <c r="K706" s="2"/>
      <c r="L706" s="2"/>
      <c r="M706" s="2">
        <v>23</v>
      </c>
      <c r="N706" s="2">
        <v>12</v>
      </c>
      <c r="O706" s="2" t="s">
        <v>78</v>
      </c>
      <c r="P706" s="2" t="s">
        <v>43</v>
      </c>
      <c r="Q706" s="2"/>
      <c r="R706" s="2" t="s">
        <v>44</v>
      </c>
      <c r="S706" s="2">
        <v>8250215703</v>
      </c>
      <c r="T706" s="2" t="s">
        <v>3242</v>
      </c>
      <c r="U706" s="2" t="s">
        <v>3243</v>
      </c>
      <c r="V706" s="2">
        <v>9024766062</v>
      </c>
      <c r="W706" s="2" t="s">
        <v>3244</v>
      </c>
      <c r="X706" s="2">
        <v>36000</v>
      </c>
      <c r="Y706" s="2" t="s">
        <v>46</v>
      </c>
      <c r="Z706" s="2" t="s">
        <v>46</v>
      </c>
      <c r="AA706" s="2" t="s">
        <v>47</v>
      </c>
      <c r="AB706" s="2">
        <v>17</v>
      </c>
      <c r="AC706" s="2" t="s">
        <v>48</v>
      </c>
      <c r="AD706" s="2">
        <v>2</v>
      </c>
    </row>
    <row r="707" spans="1:30" ht="30" x14ac:dyDescent="0.25">
      <c r="A707" s="2">
        <v>12</v>
      </c>
      <c r="B707" s="2" t="s">
        <v>2265</v>
      </c>
      <c r="C707" s="2">
        <v>12645</v>
      </c>
      <c r="D707" s="3">
        <v>42907</v>
      </c>
      <c r="E707" s="2" t="s">
        <v>2426</v>
      </c>
      <c r="F707" s="2"/>
      <c r="G707" s="2" t="s">
        <v>3245</v>
      </c>
      <c r="H707" s="2" t="s">
        <v>3246</v>
      </c>
      <c r="I707" s="2" t="s">
        <v>41</v>
      </c>
      <c r="J707" s="3">
        <v>37279</v>
      </c>
      <c r="K707" s="2"/>
      <c r="L707" s="2"/>
      <c r="M707" s="2">
        <v>23</v>
      </c>
      <c r="N707" s="2">
        <v>12</v>
      </c>
      <c r="O707" s="2" t="s">
        <v>78</v>
      </c>
      <c r="P707" s="2" t="s">
        <v>43</v>
      </c>
      <c r="Q707" s="2"/>
      <c r="R707" s="2" t="s">
        <v>44</v>
      </c>
      <c r="S707" s="2">
        <v>8250215703</v>
      </c>
      <c r="T707" s="2" t="s">
        <v>3247</v>
      </c>
      <c r="U707" s="2" t="s">
        <v>3248</v>
      </c>
      <c r="V707" s="2">
        <v>9950429704</v>
      </c>
      <c r="W707" s="2" t="s">
        <v>1730</v>
      </c>
      <c r="X707" s="2">
        <v>40000</v>
      </c>
      <c r="Y707" s="2" t="s">
        <v>46</v>
      </c>
      <c r="Z707" s="2" t="s">
        <v>46</v>
      </c>
      <c r="AA707" s="2" t="s">
        <v>47</v>
      </c>
      <c r="AB707" s="2">
        <v>19</v>
      </c>
      <c r="AC707" s="2" t="s">
        <v>48</v>
      </c>
      <c r="AD707" s="2">
        <v>2</v>
      </c>
    </row>
    <row r="708" spans="1:30" ht="30" x14ac:dyDescent="0.25">
      <c r="A708" s="2">
        <v>12</v>
      </c>
      <c r="B708" s="2" t="s">
        <v>2265</v>
      </c>
      <c r="C708" s="2">
        <v>12931</v>
      </c>
      <c r="D708" s="3">
        <v>43281</v>
      </c>
      <c r="E708" s="2" t="s">
        <v>3249</v>
      </c>
      <c r="F708" s="2"/>
      <c r="G708" s="2" t="s">
        <v>502</v>
      </c>
      <c r="H708" s="2" t="s">
        <v>3250</v>
      </c>
      <c r="I708" s="2" t="s">
        <v>41</v>
      </c>
      <c r="J708" s="3">
        <v>38315</v>
      </c>
      <c r="K708" s="2"/>
      <c r="L708" s="2"/>
      <c r="M708" s="2">
        <v>23</v>
      </c>
      <c r="N708" s="2">
        <v>10</v>
      </c>
      <c r="O708" s="2" t="s">
        <v>53</v>
      </c>
      <c r="P708" s="2" t="s">
        <v>43</v>
      </c>
      <c r="Q708" s="2"/>
      <c r="R708" s="2" t="s">
        <v>44</v>
      </c>
      <c r="S708" s="2">
        <v>8250215703</v>
      </c>
      <c r="T708" s="2" t="s">
        <v>3251</v>
      </c>
      <c r="U708" s="2" t="s">
        <v>3252</v>
      </c>
      <c r="V708" s="2">
        <v>9636157290</v>
      </c>
      <c r="W708" s="2" t="s">
        <v>3253</v>
      </c>
      <c r="X708" s="2">
        <v>30000</v>
      </c>
      <c r="Y708" s="2" t="s">
        <v>46</v>
      </c>
      <c r="Z708" s="2" t="s">
        <v>46</v>
      </c>
      <c r="AA708" s="2" t="s">
        <v>47</v>
      </c>
      <c r="AB708" s="2">
        <v>17</v>
      </c>
      <c r="AC708" s="2" t="s">
        <v>48</v>
      </c>
      <c r="AD708" s="2">
        <v>10</v>
      </c>
    </row>
    <row r="709" spans="1:30" ht="30" x14ac:dyDescent="0.25">
      <c r="A709" s="2">
        <v>12</v>
      </c>
      <c r="B709" s="2" t="s">
        <v>2265</v>
      </c>
      <c r="C709" s="2">
        <v>13553</v>
      </c>
      <c r="D709" s="3">
        <v>44085</v>
      </c>
      <c r="E709" s="2" t="s">
        <v>3254</v>
      </c>
      <c r="F709" s="2"/>
      <c r="G709" s="2" t="s">
        <v>3255</v>
      </c>
      <c r="H709" s="2" t="s">
        <v>1229</v>
      </c>
      <c r="I709" s="2" t="s">
        <v>41</v>
      </c>
      <c r="J709" s="3">
        <v>38569</v>
      </c>
      <c r="K709" s="2"/>
      <c r="L709" s="2"/>
      <c r="M709" s="2">
        <v>23</v>
      </c>
      <c r="N709" s="2">
        <v>8</v>
      </c>
      <c r="O709" s="2" t="s">
        <v>53</v>
      </c>
      <c r="P709" s="2" t="s">
        <v>43</v>
      </c>
      <c r="Q709" s="2"/>
      <c r="R709" s="2" t="s">
        <v>44</v>
      </c>
      <c r="S709" s="2">
        <v>8250215703</v>
      </c>
      <c r="T709" s="2" t="s">
        <v>3256</v>
      </c>
      <c r="U709" s="2" t="s">
        <v>3257</v>
      </c>
      <c r="V709" s="2">
        <v>9784304267</v>
      </c>
      <c r="W709" s="2" t="s">
        <v>3258</v>
      </c>
      <c r="X709" s="2">
        <v>60000</v>
      </c>
      <c r="Y709" s="2" t="s">
        <v>46</v>
      </c>
      <c r="Z709" s="2" t="s">
        <v>46</v>
      </c>
      <c r="AA709" s="2" t="s">
        <v>47</v>
      </c>
      <c r="AB709" s="2">
        <v>16</v>
      </c>
      <c r="AC709" s="2" t="s">
        <v>48</v>
      </c>
      <c r="AD709" s="2">
        <v>2</v>
      </c>
    </row>
    <row r="710" spans="1:30" ht="30" x14ac:dyDescent="0.25">
      <c r="A710" s="2">
        <v>12</v>
      </c>
      <c r="B710" s="2" t="s">
        <v>2265</v>
      </c>
      <c r="C710" s="2">
        <v>12998</v>
      </c>
      <c r="D710" s="3">
        <v>43283</v>
      </c>
      <c r="E710" s="2" t="s">
        <v>1701</v>
      </c>
      <c r="F710" s="2"/>
      <c r="G710" s="2" t="s">
        <v>1528</v>
      </c>
      <c r="H710" s="2" t="s">
        <v>3259</v>
      </c>
      <c r="I710" s="2" t="s">
        <v>41</v>
      </c>
      <c r="J710" s="3">
        <v>37260</v>
      </c>
      <c r="K710" s="2"/>
      <c r="L710" s="2"/>
      <c r="M710" s="2">
        <v>23</v>
      </c>
      <c r="N710" s="2">
        <v>10</v>
      </c>
      <c r="O710" s="2" t="s">
        <v>53</v>
      </c>
      <c r="P710" s="2" t="s">
        <v>43</v>
      </c>
      <c r="Q710" s="2"/>
      <c r="R710" s="2" t="s">
        <v>44</v>
      </c>
      <c r="S710" s="2">
        <v>8250215703</v>
      </c>
      <c r="T710" s="2" t="s">
        <v>3260</v>
      </c>
      <c r="U710" s="2" t="s">
        <v>1531</v>
      </c>
      <c r="V710" s="2">
        <v>7742480922</v>
      </c>
      <c r="W710" s="2" t="s">
        <v>3261</v>
      </c>
      <c r="X710" s="2">
        <v>35000</v>
      </c>
      <c r="Y710" s="2" t="s">
        <v>46</v>
      </c>
      <c r="Z710" s="2" t="s">
        <v>46</v>
      </c>
      <c r="AA710" s="2" t="s">
        <v>47</v>
      </c>
      <c r="AB710" s="2">
        <v>19</v>
      </c>
      <c r="AC710" s="2" t="s">
        <v>48</v>
      </c>
      <c r="AD710" s="2">
        <v>10</v>
      </c>
    </row>
    <row r="711" spans="1:30" ht="30" x14ac:dyDescent="0.25">
      <c r="A711" s="2">
        <v>12</v>
      </c>
      <c r="B711" s="2" t="s">
        <v>2265</v>
      </c>
      <c r="C711" s="2">
        <v>13478</v>
      </c>
      <c r="D711" s="3">
        <v>44063</v>
      </c>
      <c r="E711" s="2" t="s">
        <v>3262</v>
      </c>
      <c r="F711" s="2"/>
      <c r="G711" s="2" t="s">
        <v>3263</v>
      </c>
      <c r="H711" s="2" t="s">
        <v>724</v>
      </c>
      <c r="I711" s="2" t="s">
        <v>41</v>
      </c>
      <c r="J711" s="3">
        <v>37975</v>
      </c>
      <c r="K711" s="2"/>
      <c r="L711" s="2"/>
      <c r="M711" s="2">
        <v>23</v>
      </c>
      <c r="N711" s="2">
        <v>10</v>
      </c>
      <c r="O711" s="2" t="s">
        <v>78</v>
      </c>
      <c r="P711" s="2" t="s">
        <v>43</v>
      </c>
      <c r="Q711" s="2"/>
      <c r="R711" s="2" t="s">
        <v>44</v>
      </c>
      <c r="S711" s="2">
        <v>8250215703</v>
      </c>
      <c r="T711" s="2" t="s">
        <v>3264</v>
      </c>
      <c r="U711" s="2" t="s">
        <v>3265</v>
      </c>
      <c r="V711" s="2">
        <v>9001388159</v>
      </c>
      <c r="W711" s="2" t="s">
        <v>3266</v>
      </c>
      <c r="X711" s="2">
        <v>36000</v>
      </c>
      <c r="Y711" s="2" t="s">
        <v>46</v>
      </c>
      <c r="Z711" s="2" t="s">
        <v>46</v>
      </c>
      <c r="AA711" s="2" t="s">
        <v>47</v>
      </c>
      <c r="AB711" s="2">
        <v>18</v>
      </c>
      <c r="AC711" s="2" t="s">
        <v>48</v>
      </c>
      <c r="AD711" s="2">
        <v>5</v>
      </c>
    </row>
    <row r="712" spans="1:30" ht="30" x14ac:dyDescent="0.25">
      <c r="A712" s="2">
        <v>12</v>
      </c>
      <c r="B712" s="2" t="s">
        <v>2265</v>
      </c>
      <c r="C712" s="2">
        <v>13502</v>
      </c>
      <c r="D712" s="3">
        <v>44069</v>
      </c>
      <c r="E712" s="2" t="s">
        <v>3267</v>
      </c>
      <c r="F712" s="2"/>
      <c r="G712" s="2" t="s">
        <v>3268</v>
      </c>
      <c r="H712" s="2" t="s">
        <v>3269</v>
      </c>
      <c r="I712" s="2" t="s">
        <v>41</v>
      </c>
      <c r="J712" s="3">
        <v>38390</v>
      </c>
      <c r="K712" s="2"/>
      <c r="L712" s="2"/>
      <c r="M712" s="2">
        <v>23</v>
      </c>
      <c r="N712" s="2">
        <v>12</v>
      </c>
      <c r="O712" s="2" t="s">
        <v>42</v>
      </c>
      <c r="P712" s="2" t="s">
        <v>43</v>
      </c>
      <c r="Q712" s="2"/>
      <c r="R712" s="2" t="s">
        <v>44</v>
      </c>
      <c r="S712" s="2">
        <v>8250215703</v>
      </c>
      <c r="T712" s="2" t="s">
        <v>3270</v>
      </c>
      <c r="U712" s="2" t="s">
        <v>3271</v>
      </c>
      <c r="V712" s="2">
        <v>9636148067</v>
      </c>
      <c r="W712" s="2" t="s">
        <v>3272</v>
      </c>
      <c r="X712" s="2">
        <v>60000</v>
      </c>
      <c r="Y712" s="2" t="s">
        <v>46</v>
      </c>
      <c r="Z712" s="2" t="s">
        <v>46</v>
      </c>
      <c r="AA712" s="2" t="s">
        <v>47</v>
      </c>
      <c r="AB712" s="2">
        <v>16</v>
      </c>
      <c r="AC712" s="2" t="s">
        <v>48</v>
      </c>
      <c r="AD712" s="2">
        <v>2</v>
      </c>
    </row>
    <row r="713" spans="1:30" ht="30" x14ac:dyDescent="0.25">
      <c r="A713" s="2">
        <v>12</v>
      </c>
      <c r="B713" s="2" t="s">
        <v>2265</v>
      </c>
      <c r="C713" s="2">
        <v>13506</v>
      </c>
      <c r="D713" s="3">
        <v>44069</v>
      </c>
      <c r="E713" s="2" t="s">
        <v>3273</v>
      </c>
      <c r="F713" s="2"/>
      <c r="G713" s="2" t="s">
        <v>3274</v>
      </c>
      <c r="H713" s="2" t="s">
        <v>3275</v>
      </c>
      <c r="I713" s="2" t="s">
        <v>41</v>
      </c>
      <c r="J713" s="3">
        <v>39154</v>
      </c>
      <c r="K713" s="2"/>
      <c r="L713" s="2"/>
      <c r="M713" s="2">
        <v>23</v>
      </c>
      <c r="N713" s="2">
        <v>12</v>
      </c>
      <c r="O713" s="2" t="s">
        <v>53</v>
      </c>
      <c r="P713" s="2" t="s">
        <v>43</v>
      </c>
      <c r="Q713" s="2"/>
      <c r="R713" s="2" t="s">
        <v>44</v>
      </c>
      <c r="S713" s="2">
        <v>8250215703</v>
      </c>
      <c r="T713" s="2" t="s">
        <v>3276</v>
      </c>
      <c r="U713" s="2" t="s">
        <v>3277</v>
      </c>
      <c r="V713" s="2">
        <v>8829900441</v>
      </c>
      <c r="W713" s="2" t="s">
        <v>3278</v>
      </c>
      <c r="X713" s="2">
        <v>25000</v>
      </c>
      <c r="Y713" s="2" t="s">
        <v>46</v>
      </c>
      <c r="Z713" s="2" t="s">
        <v>46</v>
      </c>
      <c r="AA713" s="2" t="s">
        <v>47</v>
      </c>
      <c r="AB713" s="2">
        <v>14</v>
      </c>
      <c r="AC713" s="2" t="s">
        <v>48</v>
      </c>
      <c r="AD713" s="2">
        <v>13</v>
      </c>
    </row>
    <row r="714" spans="1:30" ht="30" x14ac:dyDescent="0.25">
      <c r="A714" s="2">
        <v>12</v>
      </c>
      <c r="B714" s="2" t="s">
        <v>2265</v>
      </c>
      <c r="C714" s="2">
        <v>13666</v>
      </c>
      <c r="D714" s="3">
        <v>44173</v>
      </c>
      <c r="E714" s="2" t="s">
        <v>3279</v>
      </c>
      <c r="F714" s="2"/>
      <c r="G714" s="2" t="s">
        <v>3280</v>
      </c>
      <c r="H714" s="2" t="s">
        <v>3281</v>
      </c>
      <c r="I714" s="2" t="s">
        <v>41</v>
      </c>
      <c r="J714" s="3">
        <v>38462</v>
      </c>
      <c r="K714" s="2"/>
      <c r="L714" s="2"/>
      <c r="M714" s="2">
        <v>23</v>
      </c>
      <c r="N714" s="2">
        <v>10</v>
      </c>
      <c r="O714" s="2" t="s">
        <v>42</v>
      </c>
      <c r="P714" s="2" t="s">
        <v>43</v>
      </c>
      <c r="Q714" s="2"/>
      <c r="R714" s="2" t="s">
        <v>44</v>
      </c>
      <c r="S714" s="2">
        <v>8250215703</v>
      </c>
      <c r="T714" s="2" t="s">
        <v>3282</v>
      </c>
      <c r="U714" s="2" t="s">
        <v>3283</v>
      </c>
      <c r="V714" s="2">
        <v>9414658899</v>
      </c>
      <c r="W714" s="2" t="s">
        <v>3284</v>
      </c>
      <c r="X714" s="2">
        <v>36000</v>
      </c>
      <c r="Y714" s="2" t="s">
        <v>46</v>
      </c>
      <c r="Z714" s="2" t="s">
        <v>46</v>
      </c>
      <c r="AA714" s="2" t="s">
        <v>47</v>
      </c>
      <c r="AB714" s="2">
        <v>16</v>
      </c>
      <c r="AC714" s="2" t="s">
        <v>48</v>
      </c>
      <c r="AD714" s="2">
        <v>2</v>
      </c>
    </row>
    <row r="715" spans="1:30" ht="30" x14ac:dyDescent="0.25">
      <c r="A715" s="2">
        <v>12</v>
      </c>
      <c r="B715" s="2" t="s">
        <v>2265</v>
      </c>
      <c r="C715" s="2">
        <v>12993</v>
      </c>
      <c r="D715" s="3">
        <v>43283</v>
      </c>
      <c r="E715" s="2" t="s">
        <v>3285</v>
      </c>
      <c r="F715" s="2"/>
      <c r="G715" s="2" t="s">
        <v>3286</v>
      </c>
      <c r="H715" s="2" t="s">
        <v>3287</v>
      </c>
      <c r="I715" s="2" t="s">
        <v>41</v>
      </c>
      <c r="J715" s="3">
        <v>38568</v>
      </c>
      <c r="K715" s="2"/>
      <c r="L715" s="2"/>
      <c r="M715" s="2">
        <v>23</v>
      </c>
      <c r="N715" s="2">
        <v>0</v>
      </c>
      <c r="O715" s="2" t="s">
        <v>53</v>
      </c>
      <c r="P715" s="2" t="s">
        <v>54</v>
      </c>
      <c r="Q715" s="2"/>
      <c r="R715" s="2" t="s">
        <v>44</v>
      </c>
      <c r="S715" s="2">
        <v>8250215703</v>
      </c>
      <c r="T715" s="2" t="s">
        <v>3288</v>
      </c>
      <c r="U715" s="2" t="s">
        <v>3289</v>
      </c>
      <c r="V715" s="2">
        <v>9799215975</v>
      </c>
      <c r="W715" s="2" t="s">
        <v>3290</v>
      </c>
      <c r="X715" s="2">
        <v>36000</v>
      </c>
      <c r="Y715" s="2" t="s">
        <v>46</v>
      </c>
      <c r="Z715" s="2" t="s">
        <v>46</v>
      </c>
      <c r="AA715" s="2" t="s">
        <v>57</v>
      </c>
      <c r="AB715" s="2">
        <v>16</v>
      </c>
      <c r="AC715" s="2" t="s">
        <v>48</v>
      </c>
      <c r="AD715" s="2">
        <v>2</v>
      </c>
    </row>
    <row r="716" spans="1:30" ht="30" x14ac:dyDescent="0.25">
      <c r="A716" s="2">
        <v>12</v>
      </c>
      <c r="B716" s="2" t="s">
        <v>2265</v>
      </c>
      <c r="C716" s="2">
        <v>13007</v>
      </c>
      <c r="D716" s="3">
        <v>43283</v>
      </c>
      <c r="E716" s="2" t="s">
        <v>3291</v>
      </c>
      <c r="F716" s="2"/>
      <c r="G716" s="2" t="s">
        <v>3292</v>
      </c>
      <c r="H716" s="2" t="s">
        <v>3293</v>
      </c>
      <c r="I716" s="2" t="s">
        <v>41</v>
      </c>
      <c r="J716" s="3">
        <v>37970</v>
      </c>
      <c r="K716" s="2"/>
      <c r="L716" s="2"/>
      <c r="M716" s="2">
        <v>23</v>
      </c>
      <c r="N716" s="2">
        <v>12</v>
      </c>
      <c r="O716" s="2" t="s">
        <v>53</v>
      </c>
      <c r="P716" s="2" t="s">
        <v>43</v>
      </c>
      <c r="Q716" s="2"/>
      <c r="R716" s="2" t="s">
        <v>44</v>
      </c>
      <c r="S716" s="2">
        <v>8250215703</v>
      </c>
      <c r="T716" s="2" t="s">
        <v>1473</v>
      </c>
      <c r="U716" s="2" t="s">
        <v>3294</v>
      </c>
      <c r="V716" s="2">
        <v>7568094775</v>
      </c>
      <c r="W716" s="2" t="s">
        <v>1606</v>
      </c>
      <c r="X716" s="2">
        <v>36000</v>
      </c>
      <c r="Y716" s="2" t="s">
        <v>46</v>
      </c>
      <c r="Z716" s="2" t="s">
        <v>46</v>
      </c>
      <c r="AA716" s="2" t="s">
        <v>47</v>
      </c>
      <c r="AB716" s="2">
        <v>18</v>
      </c>
      <c r="AC716" s="2" t="s">
        <v>48</v>
      </c>
      <c r="AD716" s="2">
        <v>5</v>
      </c>
    </row>
    <row r="717" spans="1:30" ht="30" x14ac:dyDescent="0.25">
      <c r="A717" s="2">
        <v>12</v>
      </c>
      <c r="B717" s="2" t="s">
        <v>2265</v>
      </c>
      <c r="C717" s="2">
        <v>13543</v>
      </c>
      <c r="D717" s="3">
        <v>44083</v>
      </c>
      <c r="E717" s="2" t="s">
        <v>3295</v>
      </c>
      <c r="F717" s="2"/>
      <c r="G717" s="2" t="s">
        <v>3296</v>
      </c>
      <c r="H717" s="2" t="s">
        <v>3297</v>
      </c>
      <c r="I717" s="2" t="s">
        <v>41</v>
      </c>
      <c r="J717" s="3">
        <v>38518</v>
      </c>
      <c r="K717" s="2"/>
      <c r="L717" s="2"/>
      <c r="M717" s="2">
        <v>23</v>
      </c>
      <c r="N717" s="2">
        <v>10</v>
      </c>
      <c r="O717" s="2" t="s">
        <v>53</v>
      </c>
      <c r="P717" s="2" t="s">
        <v>43</v>
      </c>
      <c r="Q717" s="2"/>
      <c r="R717" s="2" t="s">
        <v>44</v>
      </c>
      <c r="S717" s="2">
        <v>8250215703</v>
      </c>
      <c r="T717" s="2" t="s">
        <v>3298</v>
      </c>
      <c r="U717" s="2"/>
      <c r="V717" s="2">
        <v>9982903892</v>
      </c>
      <c r="W717" s="2" t="s">
        <v>3299</v>
      </c>
      <c r="X717" s="2">
        <v>36000</v>
      </c>
      <c r="Y717" s="2" t="s">
        <v>46</v>
      </c>
      <c r="Z717" s="2" t="s">
        <v>46</v>
      </c>
      <c r="AA717" s="2" t="s">
        <v>47</v>
      </c>
      <c r="AB717" s="2">
        <v>16</v>
      </c>
      <c r="AC717" s="2" t="s">
        <v>48</v>
      </c>
      <c r="AD717" s="2">
        <v>2</v>
      </c>
    </row>
    <row r="718" spans="1:30" ht="45" x14ac:dyDescent="0.25">
      <c r="A718" s="2">
        <v>12</v>
      </c>
      <c r="B718" s="2" t="s">
        <v>2265</v>
      </c>
      <c r="C718" s="2">
        <v>13510</v>
      </c>
      <c r="D718" s="3">
        <v>44069</v>
      </c>
      <c r="E718" s="2" t="s">
        <v>3274</v>
      </c>
      <c r="F718" s="2"/>
      <c r="G718" s="2" t="s">
        <v>3300</v>
      </c>
      <c r="H718" s="2" t="s">
        <v>3301</v>
      </c>
      <c r="I718" s="2" t="s">
        <v>41</v>
      </c>
      <c r="J718" s="3">
        <v>38365</v>
      </c>
      <c r="K718" s="2"/>
      <c r="L718" s="2"/>
      <c r="M718" s="2">
        <v>23</v>
      </c>
      <c r="N718" s="2">
        <v>5</v>
      </c>
      <c r="O718" s="2" t="s">
        <v>78</v>
      </c>
      <c r="P718" s="2" t="s">
        <v>43</v>
      </c>
      <c r="Q718" s="2"/>
      <c r="R718" s="2" t="s">
        <v>44</v>
      </c>
      <c r="S718" s="2">
        <v>8250215703</v>
      </c>
      <c r="T718" s="2" t="s">
        <v>3302</v>
      </c>
      <c r="U718" s="2" t="s">
        <v>3303</v>
      </c>
      <c r="V718" s="2">
        <v>8824327419</v>
      </c>
      <c r="W718" s="2" t="s">
        <v>3304</v>
      </c>
      <c r="X718" s="2">
        <v>30000</v>
      </c>
      <c r="Y718" s="2" t="s">
        <v>46</v>
      </c>
      <c r="Z718" s="2" t="s">
        <v>46</v>
      </c>
      <c r="AA718" s="2" t="s">
        <v>47</v>
      </c>
      <c r="AB718" s="2">
        <v>16</v>
      </c>
      <c r="AC718" s="2" t="s">
        <v>48</v>
      </c>
      <c r="AD718" s="2">
        <v>12</v>
      </c>
    </row>
    <row r="719" spans="1:30" ht="30" x14ac:dyDescent="0.25">
      <c r="A719" s="2">
        <v>12</v>
      </c>
      <c r="B719" s="2" t="s">
        <v>2265</v>
      </c>
      <c r="C719" s="2">
        <v>13001</v>
      </c>
      <c r="D719" s="3">
        <v>43283</v>
      </c>
      <c r="E719" s="2" t="s">
        <v>597</v>
      </c>
      <c r="F719" s="2"/>
      <c r="G719" s="2" t="s">
        <v>835</v>
      </c>
      <c r="H719" s="2" t="s">
        <v>836</v>
      </c>
      <c r="I719" s="2" t="s">
        <v>41</v>
      </c>
      <c r="J719" s="3">
        <v>38092</v>
      </c>
      <c r="K719" s="2"/>
      <c r="L719" s="2"/>
      <c r="M719" s="2">
        <v>23</v>
      </c>
      <c r="N719" s="2">
        <v>8</v>
      </c>
      <c r="O719" s="2" t="s">
        <v>53</v>
      </c>
      <c r="P719" s="2" t="s">
        <v>43</v>
      </c>
      <c r="Q719" s="2"/>
      <c r="R719" s="2" t="s">
        <v>44</v>
      </c>
      <c r="S719" s="2">
        <v>8250215703</v>
      </c>
      <c r="T719" s="2" t="s">
        <v>3305</v>
      </c>
      <c r="U719" s="2" t="s">
        <v>3306</v>
      </c>
      <c r="V719" s="2">
        <v>7568934679</v>
      </c>
      <c r="W719" s="2" t="s">
        <v>3307</v>
      </c>
      <c r="X719" s="2">
        <v>36000</v>
      </c>
      <c r="Y719" s="2" t="s">
        <v>46</v>
      </c>
      <c r="Z719" s="2" t="s">
        <v>46</v>
      </c>
      <c r="AA719" s="2" t="s">
        <v>47</v>
      </c>
      <c r="AB719" s="2">
        <v>17</v>
      </c>
      <c r="AC719" s="2" t="s">
        <v>48</v>
      </c>
      <c r="AD719" s="2">
        <v>5</v>
      </c>
    </row>
    <row r="720" spans="1:30" ht="30" x14ac:dyDescent="0.25">
      <c r="A720" s="2">
        <v>12</v>
      </c>
      <c r="B720" s="2" t="s">
        <v>2265</v>
      </c>
      <c r="C720" s="2">
        <v>13616</v>
      </c>
      <c r="D720" s="3">
        <v>44119</v>
      </c>
      <c r="E720" s="2" t="s">
        <v>3308</v>
      </c>
      <c r="F720" s="2"/>
      <c r="G720" s="2" t="s">
        <v>3309</v>
      </c>
      <c r="H720" s="2" t="s">
        <v>3310</v>
      </c>
      <c r="I720" s="2" t="s">
        <v>41</v>
      </c>
      <c r="J720" s="3">
        <v>37754</v>
      </c>
      <c r="K720" s="2"/>
      <c r="L720" s="2"/>
      <c r="M720" s="2">
        <v>23</v>
      </c>
      <c r="N720" s="2">
        <v>12</v>
      </c>
      <c r="O720" s="2" t="s">
        <v>53</v>
      </c>
      <c r="P720" s="2" t="s">
        <v>43</v>
      </c>
      <c r="Q720" s="2"/>
      <c r="R720" s="2" t="s">
        <v>44</v>
      </c>
      <c r="S720" s="2">
        <v>8250215703</v>
      </c>
      <c r="T720" s="2" t="s">
        <v>3311</v>
      </c>
      <c r="U720" s="2" t="s">
        <v>3312</v>
      </c>
      <c r="V720" s="2">
        <v>6375663600</v>
      </c>
      <c r="W720" s="2" t="s">
        <v>3313</v>
      </c>
      <c r="X720" s="2">
        <v>0</v>
      </c>
      <c r="Y720" s="2" t="s">
        <v>46</v>
      </c>
      <c r="Z720" s="2" t="s">
        <v>46</v>
      </c>
      <c r="AA720" s="2" t="s">
        <v>47</v>
      </c>
      <c r="AB720" s="2">
        <v>18</v>
      </c>
      <c r="AC720" s="2" t="s">
        <v>48</v>
      </c>
      <c r="AD720" s="2">
        <v>1</v>
      </c>
    </row>
    <row r="721" spans="1:30" ht="30" x14ac:dyDescent="0.25">
      <c r="A721" s="2">
        <v>12</v>
      </c>
      <c r="B721" s="2" t="s">
        <v>2265</v>
      </c>
      <c r="C721" s="2">
        <v>13102</v>
      </c>
      <c r="D721" s="3">
        <v>43286</v>
      </c>
      <c r="E721" s="2" t="s">
        <v>3314</v>
      </c>
      <c r="F721" s="2"/>
      <c r="G721" s="2" t="s">
        <v>3315</v>
      </c>
      <c r="H721" s="2" t="s">
        <v>2195</v>
      </c>
      <c r="I721" s="2" t="s">
        <v>41</v>
      </c>
      <c r="J721" s="3">
        <v>38275</v>
      </c>
      <c r="K721" s="2"/>
      <c r="L721" s="2"/>
      <c r="M721" s="2">
        <v>23</v>
      </c>
      <c r="N721" s="2">
        <v>12</v>
      </c>
      <c r="O721" s="2" t="s">
        <v>78</v>
      </c>
      <c r="P721" s="2" t="s">
        <v>43</v>
      </c>
      <c r="Q721" s="2"/>
      <c r="R721" s="2" t="s">
        <v>44</v>
      </c>
      <c r="S721" s="2">
        <v>8250215703</v>
      </c>
      <c r="T721" s="2" t="s">
        <v>3316</v>
      </c>
      <c r="U721" s="2" t="s">
        <v>933</v>
      </c>
      <c r="V721" s="2">
        <v>8769930449</v>
      </c>
      <c r="W721" s="2" t="s">
        <v>2359</v>
      </c>
      <c r="X721" s="2">
        <v>36000</v>
      </c>
      <c r="Y721" s="2" t="s">
        <v>46</v>
      </c>
      <c r="Z721" s="2" t="s">
        <v>46</v>
      </c>
      <c r="AA721" s="2" t="s">
        <v>47</v>
      </c>
      <c r="AB721" s="2">
        <v>17</v>
      </c>
      <c r="AC721" s="2" t="s">
        <v>48</v>
      </c>
      <c r="AD721" s="2">
        <v>5</v>
      </c>
    </row>
    <row r="722" spans="1:30" ht="30" x14ac:dyDescent="0.25">
      <c r="A722" s="2">
        <v>12</v>
      </c>
      <c r="B722" s="2" t="s">
        <v>2265</v>
      </c>
      <c r="C722" s="2">
        <v>13761</v>
      </c>
      <c r="D722" s="3">
        <v>44396</v>
      </c>
      <c r="E722" s="2" t="s">
        <v>3317</v>
      </c>
      <c r="F722" s="2"/>
      <c r="G722" s="2" t="s">
        <v>3318</v>
      </c>
      <c r="H722" s="2" t="s">
        <v>599</v>
      </c>
      <c r="I722" s="2" t="s">
        <v>41</v>
      </c>
      <c r="J722" s="3">
        <v>38172</v>
      </c>
      <c r="K722" s="2"/>
      <c r="L722" s="2"/>
      <c r="M722" s="2">
        <v>23</v>
      </c>
      <c r="N722" s="2">
        <v>10</v>
      </c>
      <c r="O722" s="2" t="s">
        <v>53</v>
      </c>
      <c r="P722" s="2" t="s">
        <v>43</v>
      </c>
      <c r="Q722" s="2"/>
      <c r="R722" s="2" t="s">
        <v>44</v>
      </c>
      <c r="S722" s="2">
        <v>8250215703</v>
      </c>
      <c r="T722" s="2" t="s">
        <v>3319</v>
      </c>
      <c r="U722" s="2" t="s">
        <v>3320</v>
      </c>
      <c r="V722" s="2">
        <v>9929415611</v>
      </c>
      <c r="W722" s="2" t="s">
        <v>3321</v>
      </c>
      <c r="X722" s="2">
        <v>48000</v>
      </c>
      <c r="Y722" s="2" t="s">
        <v>46</v>
      </c>
      <c r="Z722" s="2" t="s">
        <v>46</v>
      </c>
      <c r="AA722" s="2" t="s">
        <v>47</v>
      </c>
      <c r="AB722" s="2">
        <v>17</v>
      </c>
      <c r="AC722" s="2" t="s">
        <v>48</v>
      </c>
      <c r="AD722" s="2">
        <v>5</v>
      </c>
    </row>
    <row r="723" spans="1:30" ht="30" x14ac:dyDescent="0.25">
      <c r="A723" s="2">
        <v>12</v>
      </c>
      <c r="B723" s="2" t="s">
        <v>2265</v>
      </c>
      <c r="C723" s="2">
        <v>13083</v>
      </c>
      <c r="D723" s="3">
        <v>43286</v>
      </c>
      <c r="E723" s="2" t="s">
        <v>3322</v>
      </c>
      <c r="F723" s="2"/>
      <c r="G723" s="2" t="s">
        <v>3323</v>
      </c>
      <c r="H723" s="2" t="s">
        <v>1858</v>
      </c>
      <c r="I723" s="2" t="s">
        <v>41</v>
      </c>
      <c r="J723" s="3">
        <v>38742</v>
      </c>
      <c r="K723" s="2"/>
      <c r="L723" s="2"/>
      <c r="M723" s="2">
        <v>23</v>
      </c>
      <c r="N723" s="2">
        <v>10</v>
      </c>
      <c r="O723" s="2" t="s">
        <v>42</v>
      </c>
      <c r="P723" s="2" t="s">
        <v>43</v>
      </c>
      <c r="Q723" s="2"/>
      <c r="R723" s="2" t="s">
        <v>44</v>
      </c>
      <c r="S723" s="2">
        <v>8250215703</v>
      </c>
      <c r="T723" s="2" t="s">
        <v>3324</v>
      </c>
      <c r="U723" s="2"/>
      <c r="V723" s="2">
        <v>9667052406</v>
      </c>
      <c r="W723" s="2" t="s">
        <v>1058</v>
      </c>
      <c r="X723" s="2">
        <v>60000</v>
      </c>
      <c r="Y723" s="2" t="s">
        <v>46</v>
      </c>
      <c r="Z723" s="2" t="s">
        <v>46</v>
      </c>
      <c r="AA723" s="2" t="s">
        <v>47</v>
      </c>
      <c r="AB723" s="2">
        <v>15</v>
      </c>
      <c r="AC723" s="2" t="s">
        <v>48</v>
      </c>
      <c r="AD723" s="2">
        <v>2</v>
      </c>
    </row>
    <row r="724" spans="1:30" ht="30" x14ac:dyDescent="0.25">
      <c r="A724" s="2">
        <v>12</v>
      </c>
      <c r="B724" s="2" t="s">
        <v>2265</v>
      </c>
      <c r="C724" s="2">
        <v>13230</v>
      </c>
      <c r="D724" s="3">
        <v>43649</v>
      </c>
      <c r="E724" s="2" t="s">
        <v>3325</v>
      </c>
      <c r="F724" s="2"/>
      <c r="G724" s="2" t="s">
        <v>3326</v>
      </c>
      <c r="H724" s="2" t="s">
        <v>3327</v>
      </c>
      <c r="I724" s="2" t="s">
        <v>41</v>
      </c>
      <c r="J724" s="3">
        <v>38252</v>
      </c>
      <c r="K724" s="2"/>
      <c r="L724" s="2"/>
      <c r="M724" s="2">
        <v>23</v>
      </c>
      <c r="N724" s="2">
        <v>0</v>
      </c>
      <c r="O724" s="2" t="s">
        <v>53</v>
      </c>
      <c r="P724" s="2" t="s">
        <v>54</v>
      </c>
      <c r="Q724" s="2"/>
      <c r="R724" s="2" t="s">
        <v>44</v>
      </c>
      <c r="S724" s="2">
        <v>8250215703</v>
      </c>
      <c r="T724" s="2" t="s">
        <v>3328</v>
      </c>
      <c r="U724" s="2" t="s">
        <v>3329</v>
      </c>
      <c r="V724" s="2">
        <v>9587794429</v>
      </c>
      <c r="W724" s="2" t="s">
        <v>326</v>
      </c>
      <c r="X724" s="2">
        <v>60000</v>
      </c>
      <c r="Y724" s="2" t="s">
        <v>46</v>
      </c>
      <c r="Z724" s="2" t="s">
        <v>46</v>
      </c>
      <c r="AA724" s="2" t="s">
        <v>57</v>
      </c>
      <c r="AB724" s="2">
        <v>17</v>
      </c>
      <c r="AC724" s="2" t="s">
        <v>48</v>
      </c>
      <c r="AD724" s="2">
        <v>1</v>
      </c>
    </row>
    <row r="725" spans="1:30" ht="45" x14ac:dyDescent="0.25">
      <c r="A725" s="2">
        <v>12</v>
      </c>
      <c r="B725" s="2" t="s">
        <v>2265</v>
      </c>
      <c r="C725" s="2">
        <v>13476</v>
      </c>
      <c r="D725" s="3">
        <v>44063</v>
      </c>
      <c r="E725" s="2" t="s">
        <v>3330</v>
      </c>
      <c r="F725" s="2"/>
      <c r="G725" s="2" t="s">
        <v>3331</v>
      </c>
      <c r="H725" s="2" t="s">
        <v>3332</v>
      </c>
      <c r="I725" s="2" t="s">
        <v>41</v>
      </c>
      <c r="J725" s="3">
        <v>38338</v>
      </c>
      <c r="K725" s="2"/>
      <c r="L725" s="2"/>
      <c r="M725" s="2">
        <v>23</v>
      </c>
      <c r="N725" s="2">
        <v>12</v>
      </c>
      <c r="O725" s="2" t="s">
        <v>53</v>
      </c>
      <c r="P725" s="2" t="s">
        <v>43</v>
      </c>
      <c r="Q725" s="2"/>
      <c r="R725" s="2" t="s">
        <v>44</v>
      </c>
      <c r="S725" s="2">
        <v>8250215703</v>
      </c>
      <c r="T725" s="2" t="s">
        <v>3333</v>
      </c>
      <c r="U725" s="2" t="s">
        <v>3334</v>
      </c>
      <c r="V725" s="2">
        <v>9928171721</v>
      </c>
      <c r="W725" s="2" t="s">
        <v>3335</v>
      </c>
      <c r="X725" s="2">
        <v>320000</v>
      </c>
      <c r="Y725" s="2" t="s">
        <v>46</v>
      </c>
      <c r="Z725" s="2" t="s">
        <v>46</v>
      </c>
      <c r="AA725" s="2" t="s">
        <v>47</v>
      </c>
      <c r="AB725" s="2">
        <v>17</v>
      </c>
      <c r="AC725" s="2" t="s">
        <v>48</v>
      </c>
      <c r="AD725" s="2">
        <v>2</v>
      </c>
    </row>
    <row r="726" spans="1:30" ht="30" x14ac:dyDescent="0.25">
      <c r="A726" s="2">
        <v>12</v>
      </c>
      <c r="B726" s="2" t="s">
        <v>2265</v>
      </c>
      <c r="C726" s="2">
        <v>13504</v>
      </c>
      <c r="D726" s="3">
        <v>44069</v>
      </c>
      <c r="E726" s="2" t="s">
        <v>3336</v>
      </c>
      <c r="F726" s="2"/>
      <c r="G726" s="2" t="s">
        <v>3337</v>
      </c>
      <c r="H726" s="2" t="s">
        <v>3338</v>
      </c>
      <c r="I726" s="2" t="s">
        <v>41</v>
      </c>
      <c r="J726" s="3">
        <v>37633</v>
      </c>
      <c r="K726" s="2"/>
      <c r="L726" s="2"/>
      <c r="M726" s="2">
        <v>23</v>
      </c>
      <c r="N726" s="2">
        <v>12</v>
      </c>
      <c r="O726" s="2" t="s">
        <v>78</v>
      </c>
      <c r="P726" s="2" t="s">
        <v>43</v>
      </c>
      <c r="Q726" s="2"/>
      <c r="R726" s="2" t="s">
        <v>44</v>
      </c>
      <c r="S726" s="2">
        <v>8250215703</v>
      </c>
      <c r="T726" s="2" t="s">
        <v>3339</v>
      </c>
      <c r="U726" s="2" t="s">
        <v>3340</v>
      </c>
      <c r="V726" s="2">
        <v>9499592870</v>
      </c>
      <c r="W726" s="2" t="s">
        <v>3341</v>
      </c>
      <c r="X726" s="2">
        <v>712896</v>
      </c>
      <c r="Y726" s="2" t="s">
        <v>46</v>
      </c>
      <c r="Z726" s="2" t="s">
        <v>46</v>
      </c>
      <c r="AA726" s="2" t="s">
        <v>47</v>
      </c>
      <c r="AB726" s="2">
        <v>18</v>
      </c>
      <c r="AC726" s="2" t="s">
        <v>48</v>
      </c>
      <c r="AD726" s="2">
        <v>2</v>
      </c>
    </row>
    <row r="727" spans="1:30" ht="30" x14ac:dyDescent="0.25">
      <c r="A727" s="2">
        <v>12</v>
      </c>
      <c r="B727" s="2" t="s">
        <v>2265</v>
      </c>
      <c r="C727" s="2">
        <v>13503</v>
      </c>
      <c r="D727" s="3">
        <v>44069</v>
      </c>
      <c r="E727" s="2" t="s">
        <v>3342</v>
      </c>
      <c r="F727" s="2"/>
      <c r="G727" s="2" t="s">
        <v>3343</v>
      </c>
      <c r="H727" s="2" t="s">
        <v>3344</v>
      </c>
      <c r="I727" s="2" t="s">
        <v>41</v>
      </c>
      <c r="J727" s="3">
        <v>37602</v>
      </c>
      <c r="K727" s="2"/>
      <c r="L727" s="2"/>
      <c r="M727" s="2">
        <v>23</v>
      </c>
      <c r="N727" s="2">
        <v>10</v>
      </c>
      <c r="O727" s="2" t="s">
        <v>78</v>
      </c>
      <c r="P727" s="2" t="s">
        <v>43</v>
      </c>
      <c r="Q727" s="2"/>
      <c r="R727" s="2" t="s">
        <v>44</v>
      </c>
      <c r="S727" s="2">
        <v>8250215703</v>
      </c>
      <c r="T727" s="2" t="s">
        <v>3345</v>
      </c>
      <c r="U727" s="2" t="s">
        <v>3346</v>
      </c>
      <c r="V727" s="2">
        <v>9024144816</v>
      </c>
      <c r="W727" s="2" t="s">
        <v>3347</v>
      </c>
      <c r="X727" s="2">
        <v>36000</v>
      </c>
      <c r="Y727" s="2" t="s">
        <v>46</v>
      </c>
      <c r="Z727" s="2" t="s">
        <v>46</v>
      </c>
      <c r="AA727" s="2" t="s">
        <v>47</v>
      </c>
      <c r="AB727" s="2">
        <v>19</v>
      </c>
      <c r="AC727" s="2" t="s">
        <v>48</v>
      </c>
      <c r="AD727" s="2">
        <v>2</v>
      </c>
    </row>
    <row r="728" spans="1:30" ht="30" x14ac:dyDescent="0.25">
      <c r="A728" s="2">
        <v>12</v>
      </c>
      <c r="B728" s="2" t="s">
        <v>2265</v>
      </c>
      <c r="C728" s="2">
        <v>13091</v>
      </c>
      <c r="D728" s="3">
        <v>43286</v>
      </c>
      <c r="E728" s="2" t="s">
        <v>2877</v>
      </c>
      <c r="F728" s="2"/>
      <c r="G728" s="2" t="s">
        <v>3348</v>
      </c>
      <c r="H728" s="2" t="s">
        <v>379</v>
      </c>
      <c r="I728" s="2" t="s">
        <v>41</v>
      </c>
      <c r="J728" s="3">
        <v>38475</v>
      </c>
      <c r="K728" s="2"/>
      <c r="L728" s="2"/>
      <c r="M728" s="2">
        <v>23</v>
      </c>
      <c r="N728" s="2">
        <v>10</v>
      </c>
      <c r="O728" s="2" t="s">
        <v>53</v>
      </c>
      <c r="P728" s="2" t="s">
        <v>43</v>
      </c>
      <c r="Q728" s="2"/>
      <c r="R728" s="2" t="s">
        <v>44</v>
      </c>
      <c r="S728" s="2">
        <v>8250215703</v>
      </c>
      <c r="T728" s="2" t="s">
        <v>3349</v>
      </c>
      <c r="U728" s="2" t="s">
        <v>3350</v>
      </c>
      <c r="V728" s="2">
        <v>9602780671</v>
      </c>
      <c r="W728" s="2" t="s">
        <v>3351</v>
      </c>
      <c r="X728" s="2">
        <v>36000</v>
      </c>
      <c r="Y728" s="2" t="s">
        <v>46</v>
      </c>
      <c r="Z728" s="2" t="s">
        <v>46</v>
      </c>
      <c r="AA728" s="2" t="s">
        <v>47</v>
      </c>
      <c r="AB728" s="2">
        <v>16</v>
      </c>
      <c r="AC728" s="2" t="s">
        <v>48</v>
      </c>
      <c r="AD728" s="2">
        <v>9</v>
      </c>
    </row>
    <row r="729" spans="1:30" ht="30" x14ac:dyDescent="0.25">
      <c r="A729" s="2">
        <v>12</v>
      </c>
      <c r="B729" s="2" t="s">
        <v>2265</v>
      </c>
      <c r="C729" s="2">
        <v>12999</v>
      </c>
      <c r="D729" s="3">
        <v>43283</v>
      </c>
      <c r="E729" s="2" t="s">
        <v>3352</v>
      </c>
      <c r="F729" s="2"/>
      <c r="G729" s="2" t="s">
        <v>1413</v>
      </c>
      <c r="H729" s="2" t="s">
        <v>2261</v>
      </c>
      <c r="I729" s="2" t="s">
        <v>41</v>
      </c>
      <c r="J729" s="3">
        <v>38500</v>
      </c>
      <c r="K729" s="2"/>
      <c r="L729" s="2"/>
      <c r="M729" s="2">
        <v>23</v>
      </c>
      <c r="N729" s="2">
        <v>12</v>
      </c>
      <c r="O729" s="2" t="s">
        <v>53</v>
      </c>
      <c r="P729" s="2" t="s">
        <v>43</v>
      </c>
      <c r="Q729" s="2"/>
      <c r="R729" s="2" t="s">
        <v>44</v>
      </c>
      <c r="S729" s="2">
        <v>8250215703</v>
      </c>
      <c r="T729" s="2" t="s">
        <v>3353</v>
      </c>
      <c r="U729" s="2" t="s">
        <v>2263</v>
      </c>
      <c r="V729" s="2">
        <v>9024766062</v>
      </c>
      <c r="W729" s="2" t="s">
        <v>3354</v>
      </c>
      <c r="X729" s="2">
        <v>50000</v>
      </c>
      <c r="Y729" s="2" t="s">
        <v>46</v>
      </c>
      <c r="Z729" s="2" t="s">
        <v>46</v>
      </c>
      <c r="AA729" s="2" t="s">
        <v>47</v>
      </c>
      <c r="AB729" s="2">
        <v>16</v>
      </c>
      <c r="AC729" s="2" t="s">
        <v>48</v>
      </c>
      <c r="AD729" s="2">
        <v>12</v>
      </c>
    </row>
    <row r="730" spans="1:30" ht="30" x14ac:dyDescent="0.25">
      <c r="A730" s="2">
        <v>12</v>
      </c>
      <c r="B730" s="2" t="s">
        <v>2265</v>
      </c>
      <c r="C730" s="2">
        <v>12994</v>
      </c>
      <c r="D730" s="3">
        <v>43283</v>
      </c>
      <c r="E730" s="2" t="s">
        <v>3355</v>
      </c>
      <c r="F730" s="2"/>
      <c r="G730" s="2" t="s">
        <v>3356</v>
      </c>
      <c r="H730" s="2" t="s">
        <v>2058</v>
      </c>
      <c r="I730" s="2" t="s">
        <v>41</v>
      </c>
      <c r="J730" s="3">
        <v>38261</v>
      </c>
      <c r="K730" s="2"/>
      <c r="L730" s="2"/>
      <c r="M730" s="2">
        <v>23</v>
      </c>
      <c r="N730" s="2">
        <v>10</v>
      </c>
      <c r="O730" s="2" t="s">
        <v>53</v>
      </c>
      <c r="P730" s="2" t="s">
        <v>43</v>
      </c>
      <c r="Q730" s="2"/>
      <c r="R730" s="2" t="s">
        <v>44</v>
      </c>
      <c r="S730" s="2">
        <v>8250215703</v>
      </c>
      <c r="T730" s="2" t="s">
        <v>3357</v>
      </c>
      <c r="U730" s="2" t="s">
        <v>3358</v>
      </c>
      <c r="V730" s="2">
        <v>9001340915</v>
      </c>
      <c r="W730" s="2" t="s">
        <v>3359</v>
      </c>
      <c r="X730" s="2">
        <v>40000</v>
      </c>
      <c r="Y730" s="2" t="s">
        <v>46</v>
      </c>
      <c r="Z730" s="2" t="s">
        <v>46</v>
      </c>
      <c r="AA730" s="2" t="s">
        <v>47</v>
      </c>
      <c r="AB730" s="2">
        <v>17</v>
      </c>
      <c r="AC730" s="2" t="s">
        <v>48</v>
      </c>
      <c r="AD730" s="2">
        <v>7</v>
      </c>
    </row>
    <row r="731" spans="1:30" ht="30" x14ac:dyDescent="0.25">
      <c r="A731" s="2">
        <v>12</v>
      </c>
      <c r="B731" s="2" t="s">
        <v>2265</v>
      </c>
      <c r="C731" s="2">
        <v>12995</v>
      </c>
      <c r="D731" s="3">
        <v>43283</v>
      </c>
      <c r="E731" s="2" t="s">
        <v>1413</v>
      </c>
      <c r="F731" s="2"/>
      <c r="G731" s="2" t="s">
        <v>3360</v>
      </c>
      <c r="H731" s="2" t="s">
        <v>947</v>
      </c>
      <c r="I731" s="2" t="s">
        <v>41</v>
      </c>
      <c r="J731" s="3">
        <v>38481</v>
      </c>
      <c r="K731" s="2"/>
      <c r="L731" s="2"/>
      <c r="M731" s="2">
        <v>23</v>
      </c>
      <c r="N731" s="2">
        <v>10</v>
      </c>
      <c r="O731" s="2" t="s">
        <v>53</v>
      </c>
      <c r="P731" s="2" t="s">
        <v>43</v>
      </c>
      <c r="Q731" s="2"/>
      <c r="R731" s="2" t="s">
        <v>44</v>
      </c>
      <c r="S731" s="2">
        <v>8250215703</v>
      </c>
      <c r="T731" s="2" t="s">
        <v>3361</v>
      </c>
      <c r="U731" s="2" t="s">
        <v>3362</v>
      </c>
      <c r="V731" s="2">
        <v>9461180366</v>
      </c>
      <c r="W731" s="2" t="s">
        <v>949</v>
      </c>
      <c r="X731" s="2">
        <v>35000</v>
      </c>
      <c r="Y731" s="2" t="s">
        <v>46</v>
      </c>
      <c r="Z731" s="2" t="s">
        <v>46</v>
      </c>
      <c r="AA731" s="2" t="s">
        <v>47</v>
      </c>
      <c r="AB731" s="2">
        <v>16</v>
      </c>
      <c r="AC731" s="2" t="s">
        <v>48</v>
      </c>
      <c r="AD731" s="2">
        <v>12</v>
      </c>
    </row>
    <row r="732" spans="1:30" ht="30" x14ac:dyDescent="0.25">
      <c r="A732" s="2">
        <v>12</v>
      </c>
      <c r="B732" s="2" t="s">
        <v>2265</v>
      </c>
      <c r="C732" s="2">
        <v>13508</v>
      </c>
      <c r="D732" s="3">
        <v>44069</v>
      </c>
      <c r="E732" s="2" t="s">
        <v>1413</v>
      </c>
      <c r="F732" s="2"/>
      <c r="G732" s="2" t="s">
        <v>3363</v>
      </c>
      <c r="H732" s="2" t="s">
        <v>2079</v>
      </c>
      <c r="I732" s="2" t="s">
        <v>41</v>
      </c>
      <c r="J732" s="3">
        <v>38702</v>
      </c>
      <c r="K732" s="2"/>
      <c r="L732" s="2"/>
      <c r="M732" s="2">
        <v>23</v>
      </c>
      <c r="N732" s="2">
        <v>10</v>
      </c>
      <c r="O732" s="2" t="s">
        <v>53</v>
      </c>
      <c r="P732" s="2" t="s">
        <v>43</v>
      </c>
      <c r="Q732" s="2"/>
      <c r="R732" s="2" t="s">
        <v>44</v>
      </c>
      <c r="S732" s="2">
        <v>8250215703</v>
      </c>
      <c r="T732" s="2" t="s">
        <v>3364</v>
      </c>
      <c r="U732" s="2"/>
      <c r="V732" s="2">
        <v>9610296940</v>
      </c>
      <c r="W732" s="2" t="s">
        <v>3365</v>
      </c>
      <c r="X732" s="2">
        <v>60000</v>
      </c>
      <c r="Y732" s="2" t="s">
        <v>46</v>
      </c>
      <c r="Z732" s="2" t="s">
        <v>46</v>
      </c>
      <c r="AA732" s="2" t="s">
        <v>47</v>
      </c>
      <c r="AB732" s="2">
        <v>16</v>
      </c>
      <c r="AC732" s="2" t="s">
        <v>48</v>
      </c>
      <c r="AD732" s="2">
        <v>3</v>
      </c>
    </row>
    <row r="733" spans="1:30" ht="30" x14ac:dyDescent="0.25">
      <c r="A733" s="2">
        <v>12</v>
      </c>
      <c r="B733" s="2" t="s">
        <v>2265</v>
      </c>
      <c r="C733" s="2">
        <v>13468</v>
      </c>
      <c r="D733" s="3">
        <v>44047</v>
      </c>
      <c r="E733" s="2" t="s">
        <v>3366</v>
      </c>
      <c r="F733" s="2"/>
      <c r="G733" s="2" t="s">
        <v>3367</v>
      </c>
      <c r="H733" s="2" t="s">
        <v>419</v>
      </c>
      <c r="I733" s="2" t="s">
        <v>41</v>
      </c>
      <c r="J733" s="3">
        <v>38538</v>
      </c>
      <c r="K733" s="2"/>
      <c r="L733" s="2"/>
      <c r="M733" s="2">
        <v>23</v>
      </c>
      <c r="N733" s="2">
        <v>5</v>
      </c>
      <c r="O733" s="2" t="s">
        <v>53</v>
      </c>
      <c r="P733" s="2" t="s">
        <v>43</v>
      </c>
      <c r="Q733" s="2"/>
      <c r="R733" s="2" t="s">
        <v>44</v>
      </c>
      <c r="S733" s="2">
        <v>8250215703</v>
      </c>
      <c r="T733" s="2" t="s">
        <v>3368</v>
      </c>
      <c r="U733" s="2" t="s">
        <v>3369</v>
      </c>
      <c r="V733" s="2">
        <v>8003802925</v>
      </c>
      <c r="W733" s="2" t="s">
        <v>3370</v>
      </c>
      <c r="X733" s="2">
        <v>40000</v>
      </c>
      <c r="Y733" s="2" t="s">
        <v>46</v>
      </c>
      <c r="Z733" s="2" t="s">
        <v>46</v>
      </c>
      <c r="AA733" s="2" t="s">
        <v>47</v>
      </c>
      <c r="AB733" s="2">
        <v>16</v>
      </c>
      <c r="AC733" s="2" t="s">
        <v>48</v>
      </c>
      <c r="AD733" s="2">
        <v>2</v>
      </c>
    </row>
    <row r="734" spans="1:30" ht="30" x14ac:dyDescent="0.25">
      <c r="A734" s="2">
        <v>12</v>
      </c>
      <c r="B734" s="2" t="s">
        <v>2265</v>
      </c>
      <c r="C734" s="2">
        <v>13564</v>
      </c>
      <c r="D734" s="3">
        <v>44089</v>
      </c>
      <c r="E734" s="2" t="s">
        <v>3371</v>
      </c>
      <c r="F734" s="2"/>
      <c r="G734" s="2" t="s">
        <v>3372</v>
      </c>
      <c r="H734" s="2" t="s">
        <v>2569</v>
      </c>
      <c r="I734" s="2" t="s">
        <v>41</v>
      </c>
      <c r="J734" s="3">
        <v>37609</v>
      </c>
      <c r="K734" s="2"/>
      <c r="L734" s="2"/>
      <c r="M734" s="2">
        <v>23</v>
      </c>
      <c r="N734" s="2">
        <v>12</v>
      </c>
      <c r="O734" s="2" t="s">
        <v>42</v>
      </c>
      <c r="P734" s="2" t="s">
        <v>43</v>
      </c>
      <c r="Q734" s="2"/>
      <c r="R734" s="2" t="s">
        <v>44</v>
      </c>
      <c r="S734" s="2">
        <v>8250215703</v>
      </c>
      <c r="T734" s="2" t="s">
        <v>3373</v>
      </c>
      <c r="U734" s="2"/>
      <c r="V734" s="2">
        <v>9414823069</v>
      </c>
      <c r="W734" s="2" t="s">
        <v>1015</v>
      </c>
      <c r="X734" s="2">
        <v>60000</v>
      </c>
      <c r="Y734" s="2" t="s">
        <v>46</v>
      </c>
      <c r="Z734" s="2" t="s">
        <v>46</v>
      </c>
      <c r="AA734" s="2" t="s">
        <v>47</v>
      </c>
      <c r="AB734" s="2">
        <v>19</v>
      </c>
      <c r="AC734" s="2" t="s">
        <v>48</v>
      </c>
      <c r="AD734" s="2">
        <v>3</v>
      </c>
    </row>
    <row r="735" spans="1:30" ht="30" x14ac:dyDescent="0.25">
      <c r="A735" s="2">
        <v>12</v>
      </c>
      <c r="B735" s="2" t="s">
        <v>2265</v>
      </c>
      <c r="C735" s="2">
        <v>13095</v>
      </c>
      <c r="D735" s="3">
        <v>43286</v>
      </c>
      <c r="E735" s="2" t="s">
        <v>3374</v>
      </c>
      <c r="F735" s="2" t="s">
        <v>229</v>
      </c>
      <c r="G735" s="2" t="s">
        <v>3375</v>
      </c>
      <c r="H735" s="2" t="s">
        <v>379</v>
      </c>
      <c r="I735" s="2" t="s">
        <v>41</v>
      </c>
      <c r="J735" s="3">
        <v>37969</v>
      </c>
      <c r="K735" s="2"/>
      <c r="L735" s="2"/>
      <c r="M735" s="2">
        <v>23</v>
      </c>
      <c r="N735" s="2">
        <v>10</v>
      </c>
      <c r="O735" s="2" t="s">
        <v>78</v>
      </c>
      <c r="P735" s="2" t="s">
        <v>43</v>
      </c>
      <c r="Q735" s="2"/>
      <c r="R735" s="2" t="s">
        <v>44</v>
      </c>
      <c r="S735" s="2">
        <v>8250215703</v>
      </c>
      <c r="T735" s="2" t="s">
        <v>3376</v>
      </c>
      <c r="U735" s="2" t="s">
        <v>3377</v>
      </c>
      <c r="V735" s="2">
        <v>9024766062</v>
      </c>
      <c r="W735" s="2" t="s">
        <v>3378</v>
      </c>
      <c r="X735" s="2">
        <v>0</v>
      </c>
      <c r="Y735" s="2" t="s">
        <v>46</v>
      </c>
      <c r="Z735" s="2" t="s">
        <v>46</v>
      </c>
      <c r="AA735" s="2" t="s">
        <v>47</v>
      </c>
      <c r="AB735" s="2">
        <v>18</v>
      </c>
      <c r="AC735" s="2" t="s">
        <v>48</v>
      </c>
      <c r="AD735" s="2">
        <v>5</v>
      </c>
    </row>
    <row r="736" spans="1:30" ht="45" x14ac:dyDescent="0.25">
      <c r="A736" s="2">
        <v>12</v>
      </c>
      <c r="B736" s="2" t="s">
        <v>2265</v>
      </c>
      <c r="C736" s="2">
        <v>13566</v>
      </c>
      <c r="D736" s="3">
        <v>44089</v>
      </c>
      <c r="E736" s="2" t="s">
        <v>3379</v>
      </c>
      <c r="F736" s="2"/>
      <c r="G736" s="2" t="s">
        <v>3200</v>
      </c>
      <c r="H736" s="2" t="s">
        <v>3201</v>
      </c>
      <c r="I736" s="2" t="s">
        <v>41</v>
      </c>
      <c r="J736" s="3">
        <v>38411</v>
      </c>
      <c r="K736" s="2"/>
      <c r="L736" s="2"/>
      <c r="M736" s="2">
        <v>23</v>
      </c>
      <c r="N736" s="2">
        <v>10</v>
      </c>
      <c r="O736" s="2" t="s">
        <v>78</v>
      </c>
      <c r="P736" s="2" t="s">
        <v>43</v>
      </c>
      <c r="Q736" s="2"/>
      <c r="R736" s="2" t="s">
        <v>44</v>
      </c>
      <c r="S736" s="2">
        <v>8250215703</v>
      </c>
      <c r="T736" s="2" t="s">
        <v>3380</v>
      </c>
      <c r="U736" s="2" t="s">
        <v>3203</v>
      </c>
      <c r="V736" s="2">
        <v>7014655349</v>
      </c>
      <c r="W736" s="2" t="s">
        <v>3381</v>
      </c>
      <c r="X736" s="2">
        <v>40000</v>
      </c>
      <c r="Y736" s="2" t="s">
        <v>46</v>
      </c>
      <c r="Z736" s="2" t="s">
        <v>46</v>
      </c>
      <c r="AA736" s="2" t="s">
        <v>47</v>
      </c>
      <c r="AB736" s="2">
        <v>16</v>
      </c>
      <c r="AC736" s="2" t="s">
        <v>48</v>
      </c>
      <c r="AD736" s="2">
        <v>1</v>
      </c>
    </row>
    <row r="737" spans="1:30" ht="30" x14ac:dyDescent="0.25">
      <c r="A737" s="2">
        <v>12</v>
      </c>
      <c r="B737" s="2" t="s">
        <v>2265</v>
      </c>
      <c r="C737" s="2">
        <v>13509</v>
      </c>
      <c r="D737" s="3">
        <v>44069</v>
      </c>
      <c r="E737" s="2" t="s">
        <v>2607</v>
      </c>
      <c r="F737" s="2"/>
      <c r="G737" s="2" t="s">
        <v>3382</v>
      </c>
      <c r="H737" s="2" t="s">
        <v>1572</v>
      </c>
      <c r="I737" s="2" t="s">
        <v>41</v>
      </c>
      <c r="J737" s="3">
        <v>38541</v>
      </c>
      <c r="K737" s="2"/>
      <c r="L737" s="2"/>
      <c r="M737" s="2">
        <v>23</v>
      </c>
      <c r="N737" s="2">
        <v>0</v>
      </c>
      <c r="O737" s="2" t="s">
        <v>78</v>
      </c>
      <c r="P737" s="2" t="s">
        <v>43</v>
      </c>
      <c r="Q737" s="2"/>
      <c r="R737" s="2" t="s">
        <v>44</v>
      </c>
      <c r="S737" s="2">
        <v>8250215703</v>
      </c>
      <c r="T737" s="2" t="s">
        <v>1184</v>
      </c>
      <c r="U737" s="2" t="s">
        <v>3383</v>
      </c>
      <c r="V737" s="2">
        <v>9784334826</v>
      </c>
      <c r="W737" s="2" t="s">
        <v>3384</v>
      </c>
      <c r="X737" s="2">
        <v>30000</v>
      </c>
      <c r="Y737" s="2" t="s">
        <v>46</v>
      </c>
      <c r="Z737" s="2" t="s">
        <v>46</v>
      </c>
      <c r="AA737" s="2" t="s">
        <v>47</v>
      </c>
      <c r="AB737" s="2">
        <v>16</v>
      </c>
      <c r="AC737" s="2" t="s">
        <v>48</v>
      </c>
      <c r="AD737" s="2">
        <v>5</v>
      </c>
    </row>
    <row r="738" spans="1:30" ht="30" x14ac:dyDescent="0.25">
      <c r="A738" s="2">
        <v>12</v>
      </c>
      <c r="B738" s="2" t="s">
        <v>2265</v>
      </c>
      <c r="C738" s="2">
        <v>13511</v>
      </c>
      <c r="D738" s="3">
        <v>44069</v>
      </c>
      <c r="E738" s="2" t="s">
        <v>3385</v>
      </c>
      <c r="F738" s="2"/>
      <c r="G738" s="2" t="s">
        <v>3386</v>
      </c>
      <c r="H738" s="2" t="s">
        <v>3387</v>
      </c>
      <c r="I738" s="2" t="s">
        <v>41</v>
      </c>
      <c r="J738" s="3">
        <v>38346</v>
      </c>
      <c r="K738" s="2"/>
      <c r="L738" s="2"/>
      <c r="M738" s="2">
        <v>23</v>
      </c>
      <c r="N738" s="2">
        <v>12</v>
      </c>
      <c r="O738" s="2" t="s">
        <v>53</v>
      </c>
      <c r="P738" s="2" t="s">
        <v>43</v>
      </c>
      <c r="Q738" s="2"/>
      <c r="R738" s="2" t="s">
        <v>44</v>
      </c>
      <c r="S738" s="2">
        <v>8250215703</v>
      </c>
      <c r="T738" s="2" t="s">
        <v>3388</v>
      </c>
      <c r="U738" s="2" t="s">
        <v>3389</v>
      </c>
      <c r="V738" s="2">
        <v>9789034653</v>
      </c>
      <c r="W738" s="2" t="s">
        <v>3390</v>
      </c>
      <c r="X738" s="2">
        <v>604669</v>
      </c>
      <c r="Y738" s="2" t="s">
        <v>46</v>
      </c>
      <c r="Z738" s="2" t="s">
        <v>46</v>
      </c>
      <c r="AA738" s="2" t="s">
        <v>47</v>
      </c>
      <c r="AB738" s="2">
        <v>17</v>
      </c>
      <c r="AC738" s="2" t="s">
        <v>48</v>
      </c>
      <c r="AD738" s="2">
        <v>2</v>
      </c>
    </row>
    <row r="739" spans="1:30" ht="30" x14ac:dyDescent="0.25">
      <c r="A739" s="2">
        <v>12</v>
      </c>
      <c r="B739" s="2" t="s">
        <v>2265</v>
      </c>
      <c r="C739" s="2">
        <v>13552</v>
      </c>
      <c r="D739" s="3">
        <v>44085</v>
      </c>
      <c r="E739" s="2" t="s">
        <v>3391</v>
      </c>
      <c r="F739" s="2"/>
      <c r="G739" s="2" t="s">
        <v>515</v>
      </c>
      <c r="H739" s="2" t="s">
        <v>516</v>
      </c>
      <c r="I739" s="2" t="s">
        <v>41</v>
      </c>
      <c r="J739" s="3">
        <v>37800</v>
      </c>
      <c r="K739" s="2"/>
      <c r="L739" s="2"/>
      <c r="M739" s="2">
        <v>23</v>
      </c>
      <c r="N739" s="2">
        <v>10</v>
      </c>
      <c r="O739" s="2" t="s">
        <v>53</v>
      </c>
      <c r="P739" s="2" t="s">
        <v>43</v>
      </c>
      <c r="Q739" s="2"/>
      <c r="R739" s="2" t="s">
        <v>44</v>
      </c>
      <c r="S739" s="2">
        <v>8250215703</v>
      </c>
      <c r="T739" s="2" t="s">
        <v>3392</v>
      </c>
      <c r="U739" s="2" t="s">
        <v>3393</v>
      </c>
      <c r="V739" s="2">
        <v>8278620992</v>
      </c>
      <c r="W739" s="2" t="s">
        <v>3394</v>
      </c>
      <c r="X739" s="2">
        <v>60000</v>
      </c>
      <c r="Y739" s="2" t="s">
        <v>46</v>
      </c>
      <c r="Z739" s="2" t="s">
        <v>46</v>
      </c>
      <c r="AA739" s="2" t="s">
        <v>47</v>
      </c>
      <c r="AB739" s="2">
        <v>18</v>
      </c>
      <c r="AC739" s="2" t="s">
        <v>48</v>
      </c>
      <c r="AD739" s="2">
        <v>1</v>
      </c>
    </row>
    <row r="740" spans="1:30" ht="45" x14ac:dyDescent="0.25">
      <c r="A740" s="2">
        <v>12</v>
      </c>
      <c r="B740" s="2" t="s">
        <v>2265</v>
      </c>
      <c r="C740" s="2">
        <v>13037</v>
      </c>
      <c r="D740" s="3">
        <v>43285</v>
      </c>
      <c r="E740" s="2" t="s">
        <v>3395</v>
      </c>
      <c r="F740" s="2"/>
      <c r="G740" s="2" t="s">
        <v>3396</v>
      </c>
      <c r="H740" s="2" t="s">
        <v>3397</v>
      </c>
      <c r="I740" s="2" t="s">
        <v>41</v>
      </c>
      <c r="J740" s="3">
        <v>38322</v>
      </c>
      <c r="K740" s="2"/>
      <c r="L740" s="2"/>
      <c r="M740" s="2">
        <v>23</v>
      </c>
      <c r="N740" s="2">
        <v>10</v>
      </c>
      <c r="O740" s="2" t="s">
        <v>53</v>
      </c>
      <c r="P740" s="2" t="s">
        <v>43</v>
      </c>
      <c r="Q740" s="2"/>
      <c r="R740" s="2" t="s">
        <v>44</v>
      </c>
      <c r="S740" s="2">
        <v>8250215703</v>
      </c>
      <c r="T740" s="2" t="s">
        <v>3398</v>
      </c>
      <c r="U740" s="2"/>
      <c r="V740" s="2">
        <v>9001048453</v>
      </c>
      <c r="W740" s="2" t="s">
        <v>3399</v>
      </c>
      <c r="X740" s="2">
        <v>36000</v>
      </c>
      <c r="Y740" s="2" t="s">
        <v>46</v>
      </c>
      <c r="Z740" s="2" t="s">
        <v>46</v>
      </c>
      <c r="AA740" s="2" t="s">
        <v>47</v>
      </c>
      <c r="AB740" s="2">
        <v>17</v>
      </c>
      <c r="AC740" s="2" t="s">
        <v>48</v>
      </c>
      <c r="AD740" s="2">
        <v>1</v>
      </c>
    </row>
    <row r="741" spans="1:30" ht="30" x14ac:dyDescent="0.25">
      <c r="A741" s="2">
        <v>12</v>
      </c>
      <c r="B741" s="2" t="s">
        <v>2265</v>
      </c>
      <c r="C741" s="2">
        <v>13598</v>
      </c>
      <c r="D741" s="3">
        <v>44114</v>
      </c>
      <c r="E741" s="2" t="s">
        <v>3400</v>
      </c>
      <c r="F741" s="2"/>
      <c r="G741" s="2" t="s">
        <v>3401</v>
      </c>
      <c r="H741" s="2" t="s">
        <v>3402</v>
      </c>
      <c r="I741" s="2" t="s">
        <v>41</v>
      </c>
      <c r="J741" s="3">
        <v>37829</v>
      </c>
      <c r="K741" s="2"/>
      <c r="L741" s="2"/>
      <c r="M741" s="2">
        <v>23</v>
      </c>
      <c r="N741" s="2">
        <v>12</v>
      </c>
      <c r="O741" s="2" t="s">
        <v>53</v>
      </c>
      <c r="P741" s="2" t="s">
        <v>54</v>
      </c>
      <c r="Q741" s="2"/>
      <c r="R741" s="2" t="s">
        <v>44</v>
      </c>
      <c r="S741" s="2">
        <v>8250215703</v>
      </c>
      <c r="T741" s="2" t="s">
        <v>3403</v>
      </c>
      <c r="U741" s="2"/>
      <c r="V741" s="2">
        <v>9414786560</v>
      </c>
      <c r="W741" s="2" t="s">
        <v>1917</v>
      </c>
      <c r="X741" s="2">
        <v>36000</v>
      </c>
      <c r="Y741" s="2" t="s">
        <v>46</v>
      </c>
      <c r="Z741" s="2" t="s">
        <v>46</v>
      </c>
      <c r="AA741" s="2" t="s">
        <v>57</v>
      </c>
      <c r="AB741" s="2">
        <v>18</v>
      </c>
      <c r="AC741" s="2" t="s">
        <v>48</v>
      </c>
      <c r="AD741" s="2">
        <v>1</v>
      </c>
    </row>
    <row r="742" spans="1:30" ht="30" x14ac:dyDescent="0.25">
      <c r="A742" s="2">
        <v>12</v>
      </c>
      <c r="B742" s="2" t="s">
        <v>2616</v>
      </c>
      <c r="C742" s="2">
        <v>13671</v>
      </c>
      <c r="D742" s="3">
        <v>44181</v>
      </c>
      <c r="E742" s="2" t="s">
        <v>3404</v>
      </c>
      <c r="F742" s="2"/>
      <c r="G742" s="2" t="s">
        <v>3405</v>
      </c>
      <c r="H742" s="2" t="s">
        <v>3406</v>
      </c>
      <c r="I742" s="2" t="s">
        <v>41</v>
      </c>
      <c r="J742" s="3">
        <v>38260</v>
      </c>
      <c r="K742" s="2"/>
      <c r="L742" s="2"/>
      <c r="M742" s="2">
        <v>23</v>
      </c>
      <c r="N742" s="2">
        <v>19</v>
      </c>
      <c r="O742" s="2" t="s">
        <v>773</v>
      </c>
      <c r="P742" s="2" t="s">
        <v>43</v>
      </c>
      <c r="Q742" s="2"/>
      <c r="R742" s="2" t="s">
        <v>44</v>
      </c>
      <c r="S742" s="2">
        <v>8250215703</v>
      </c>
      <c r="T742" s="2" t="s">
        <v>3407</v>
      </c>
      <c r="U742" s="2"/>
      <c r="V742" s="2">
        <v>8094843249</v>
      </c>
      <c r="W742" s="2" t="s">
        <v>2622</v>
      </c>
      <c r="X742" s="2">
        <v>36000</v>
      </c>
      <c r="Y742" s="2" t="s">
        <v>46</v>
      </c>
      <c r="Z742" s="2" t="s">
        <v>46</v>
      </c>
      <c r="AA742" s="2" t="s">
        <v>47</v>
      </c>
      <c r="AB742" s="2">
        <v>17</v>
      </c>
      <c r="AC742" s="2" t="s">
        <v>48</v>
      </c>
      <c r="AD742" s="2">
        <v>2</v>
      </c>
    </row>
    <row r="743" spans="1:30" ht="30" x14ac:dyDescent="0.25">
      <c r="A743" s="2">
        <v>12</v>
      </c>
      <c r="B743" s="2" t="s">
        <v>2616</v>
      </c>
      <c r="C743" s="2">
        <v>12355</v>
      </c>
      <c r="D743" s="3">
        <v>42548</v>
      </c>
      <c r="E743" s="2" t="s">
        <v>3408</v>
      </c>
      <c r="F743" s="2"/>
      <c r="G743" s="2" t="s">
        <v>3409</v>
      </c>
      <c r="H743" s="2" t="s">
        <v>3410</v>
      </c>
      <c r="I743" s="2" t="s">
        <v>41</v>
      </c>
      <c r="J743" s="3">
        <v>38356</v>
      </c>
      <c r="K743" s="2"/>
      <c r="L743" s="2"/>
      <c r="M743" s="2">
        <v>23</v>
      </c>
      <c r="N743" s="2">
        <v>19</v>
      </c>
      <c r="O743" s="2" t="s">
        <v>53</v>
      </c>
      <c r="P743" s="2" t="s">
        <v>43</v>
      </c>
      <c r="Q743" s="2"/>
      <c r="R743" s="2" t="s">
        <v>44</v>
      </c>
      <c r="S743" s="2">
        <v>8250215703</v>
      </c>
      <c r="T743" s="2" t="s">
        <v>3411</v>
      </c>
      <c r="U743" s="2" t="s">
        <v>3412</v>
      </c>
      <c r="V743" s="2">
        <v>9828858021</v>
      </c>
      <c r="W743" s="2" t="s">
        <v>2689</v>
      </c>
      <c r="X743" s="2">
        <v>60000</v>
      </c>
      <c r="Y743" s="2" t="s">
        <v>46</v>
      </c>
      <c r="Z743" s="2" t="s">
        <v>46</v>
      </c>
      <c r="AA743" s="2" t="s">
        <v>47</v>
      </c>
      <c r="AB743" s="2">
        <v>16</v>
      </c>
      <c r="AC743" s="2" t="s">
        <v>48</v>
      </c>
      <c r="AD743" s="2">
        <v>1</v>
      </c>
    </row>
    <row r="744" spans="1:30" ht="30" x14ac:dyDescent="0.25">
      <c r="A744" s="2">
        <v>12</v>
      </c>
      <c r="B744" s="2" t="s">
        <v>2616</v>
      </c>
      <c r="C744" s="2">
        <v>13031</v>
      </c>
      <c r="D744" s="3">
        <v>43285</v>
      </c>
      <c r="E744" s="2" t="s">
        <v>3413</v>
      </c>
      <c r="F744" s="2"/>
      <c r="G744" s="2" t="s">
        <v>3414</v>
      </c>
      <c r="H744" s="2" t="s">
        <v>3415</v>
      </c>
      <c r="I744" s="2" t="s">
        <v>41</v>
      </c>
      <c r="J744" s="3">
        <v>38040</v>
      </c>
      <c r="K744" s="2"/>
      <c r="L744" s="2"/>
      <c r="M744" s="2">
        <v>23</v>
      </c>
      <c r="N744" s="2">
        <v>15</v>
      </c>
      <c r="O744" s="2" t="s">
        <v>53</v>
      </c>
      <c r="P744" s="2" t="s">
        <v>43</v>
      </c>
      <c r="Q744" s="2"/>
      <c r="R744" s="2" t="s">
        <v>44</v>
      </c>
      <c r="S744" s="2">
        <v>8250215703</v>
      </c>
      <c r="T744" s="2" t="s">
        <v>3416</v>
      </c>
      <c r="U744" s="2"/>
      <c r="V744" s="2">
        <v>7023978486</v>
      </c>
      <c r="W744" s="2" t="s">
        <v>3417</v>
      </c>
      <c r="X744" s="2">
        <v>36000</v>
      </c>
      <c r="Y744" s="2" t="s">
        <v>46</v>
      </c>
      <c r="Z744" s="2" t="s">
        <v>46</v>
      </c>
      <c r="AA744" s="2" t="s">
        <v>47</v>
      </c>
      <c r="AB744" s="2">
        <v>17</v>
      </c>
      <c r="AC744" s="2" t="s">
        <v>48</v>
      </c>
      <c r="AD744" s="2">
        <v>1</v>
      </c>
    </row>
    <row r="745" spans="1:30" ht="30" x14ac:dyDescent="0.25">
      <c r="A745" s="2">
        <v>12</v>
      </c>
      <c r="B745" s="2" t="s">
        <v>2616</v>
      </c>
      <c r="C745" s="2">
        <v>13260</v>
      </c>
      <c r="D745" s="3">
        <v>43654</v>
      </c>
      <c r="E745" s="2" t="s">
        <v>3418</v>
      </c>
      <c r="F745" s="2"/>
      <c r="G745" s="2" t="s">
        <v>3419</v>
      </c>
      <c r="H745" s="2" t="s">
        <v>3420</v>
      </c>
      <c r="I745" s="2" t="s">
        <v>41</v>
      </c>
      <c r="J745" s="3">
        <v>38405</v>
      </c>
      <c r="K745" s="2"/>
      <c r="L745" s="2"/>
      <c r="M745" s="2">
        <v>23</v>
      </c>
      <c r="N745" s="2">
        <v>8</v>
      </c>
      <c r="O745" s="2" t="s">
        <v>42</v>
      </c>
      <c r="P745" s="2" t="s">
        <v>43</v>
      </c>
      <c r="Q745" s="2"/>
      <c r="R745" s="2" t="s">
        <v>44</v>
      </c>
      <c r="S745" s="2">
        <v>8250215703</v>
      </c>
      <c r="T745" s="2" t="s">
        <v>3421</v>
      </c>
      <c r="U745" s="2"/>
      <c r="V745" s="2">
        <v>7665962172</v>
      </c>
      <c r="W745" s="2" t="s">
        <v>3422</v>
      </c>
      <c r="X745" s="2">
        <v>36000</v>
      </c>
      <c r="Y745" s="2" t="s">
        <v>46</v>
      </c>
      <c r="Z745" s="2" t="s">
        <v>46</v>
      </c>
      <c r="AA745" s="2" t="s">
        <v>47</v>
      </c>
      <c r="AB745" s="2">
        <v>16</v>
      </c>
      <c r="AC745" s="2" t="s">
        <v>48</v>
      </c>
      <c r="AD745" s="2">
        <v>12</v>
      </c>
    </row>
    <row r="746" spans="1:30" ht="30" x14ac:dyDescent="0.25">
      <c r="A746" s="2">
        <v>12</v>
      </c>
      <c r="B746" s="2" t="s">
        <v>2616</v>
      </c>
      <c r="C746" s="2">
        <v>12951</v>
      </c>
      <c r="D746" s="3">
        <v>43281</v>
      </c>
      <c r="E746" s="2" t="s">
        <v>3423</v>
      </c>
      <c r="F746" s="2"/>
      <c r="G746" s="2" t="s">
        <v>3424</v>
      </c>
      <c r="H746" s="2" t="s">
        <v>3425</v>
      </c>
      <c r="I746" s="2" t="s">
        <v>41</v>
      </c>
      <c r="J746" s="3">
        <v>37880</v>
      </c>
      <c r="K746" s="2"/>
      <c r="L746" s="2"/>
      <c r="M746" s="2">
        <v>23</v>
      </c>
      <c r="N746" s="2">
        <v>3</v>
      </c>
      <c r="O746" s="2" t="s">
        <v>773</v>
      </c>
      <c r="P746" s="2" t="s">
        <v>43</v>
      </c>
      <c r="Q746" s="2"/>
      <c r="R746" s="2" t="s">
        <v>44</v>
      </c>
      <c r="S746" s="2">
        <v>8250215703</v>
      </c>
      <c r="T746" s="2" t="s">
        <v>3426</v>
      </c>
      <c r="U746" s="2" t="s">
        <v>3427</v>
      </c>
      <c r="V746" s="2">
        <v>9024766062</v>
      </c>
      <c r="W746" s="2" t="s">
        <v>679</v>
      </c>
      <c r="X746" s="2">
        <v>36000</v>
      </c>
      <c r="Y746" s="2" t="s">
        <v>46</v>
      </c>
      <c r="Z746" s="2" t="s">
        <v>46</v>
      </c>
      <c r="AA746" s="2" t="s">
        <v>47</v>
      </c>
      <c r="AB746" s="2">
        <v>18</v>
      </c>
      <c r="AC746" s="2" t="s">
        <v>48</v>
      </c>
      <c r="AD746" s="2">
        <v>1</v>
      </c>
    </row>
    <row r="747" spans="1:30" ht="30" x14ac:dyDescent="0.25">
      <c r="A747" s="2">
        <v>12</v>
      </c>
      <c r="B747" s="2" t="s">
        <v>2616</v>
      </c>
      <c r="C747" s="2">
        <v>13645</v>
      </c>
      <c r="D747" s="3">
        <v>44120</v>
      </c>
      <c r="E747" s="2" t="s">
        <v>3428</v>
      </c>
      <c r="F747" s="2"/>
      <c r="G747" s="2" t="s">
        <v>3429</v>
      </c>
      <c r="H747" s="2" t="s">
        <v>3430</v>
      </c>
      <c r="I747" s="2" t="s">
        <v>41</v>
      </c>
      <c r="J747" s="3">
        <v>38322</v>
      </c>
      <c r="K747" s="2"/>
      <c r="L747" s="2"/>
      <c r="M747" s="2">
        <v>23</v>
      </c>
      <c r="N747" s="2">
        <v>14</v>
      </c>
      <c r="O747" s="2" t="s">
        <v>53</v>
      </c>
      <c r="P747" s="2" t="s">
        <v>43</v>
      </c>
      <c r="Q747" s="2"/>
      <c r="R747" s="2" t="s">
        <v>44</v>
      </c>
      <c r="S747" s="2">
        <v>8250215703</v>
      </c>
      <c r="T747" s="2" t="s">
        <v>3431</v>
      </c>
      <c r="U747" s="2"/>
      <c r="V747" s="2">
        <v>9928199568</v>
      </c>
      <c r="W747" s="2" t="s">
        <v>3432</v>
      </c>
      <c r="X747" s="2">
        <v>40000</v>
      </c>
      <c r="Y747" s="2" t="s">
        <v>46</v>
      </c>
      <c r="Z747" s="2" t="s">
        <v>46</v>
      </c>
      <c r="AA747" s="2" t="s">
        <v>47</v>
      </c>
      <c r="AB747" s="2">
        <v>17</v>
      </c>
      <c r="AC747" s="2" t="s">
        <v>48</v>
      </c>
      <c r="AD747" s="2">
        <v>3</v>
      </c>
    </row>
    <row r="748" spans="1:30" ht="30" x14ac:dyDescent="0.25">
      <c r="A748" s="2">
        <v>12</v>
      </c>
      <c r="B748" s="2" t="s">
        <v>2616</v>
      </c>
      <c r="C748" s="2">
        <v>13226</v>
      </c>
      <c r="D748" s="3">
        <v>43649</v>
      </c>
      <c r="E748" s="2" t="s">
        <v>3433</v>
      </c>
      <c r="F748" s="2"/>
      <c r="G748" s="2" t="s">
        <v>1778</v>
      </c>
      <c r="H748" s="2" t="s">
        <v>1779</v>
      </c>
      <c r="I748" s="2" t="s">
        <v>41</v>
      </c>
      <c r="J748" s="3">
        <v>38378</v>
      </c>
      <c r="K748" s="2"/>
      <c r="L748" s="2"/>
      <c r="M748" s="2">
        <v>23</v>
      </c>
      <c r="N748" s="2">
        <v>10</v>
      </c>
      <c r="O748" s="2" t="s">
        <v>53</v>
      </c>
      <c r="P748" s="2" t="s">
        <v>43</v>
      </c>
      <c r="Q748" s="2"/>
      <c r="R748" s="2" t="s">
        <v>44</v>
      </c>
      <c r="S748" s="2">
        <v>8250215703</v>
      </c>
      <c r="T748" s="2" t="s">
        <v>3434</v>
      </c>
      <c r="U748" s="2" t="s">
        <v>3435</v>
      </c>
      <c r="V748" s="2">
        <v>8107317247</v>
      </c>
      <c r="W748" s="2" t="s">
        <v>3436</v>
      </c>
      <c r="X748" s="2">
        <v>60000</v>
      </c>
      <c r="Y748" s="2" t="s">
        <v>46</v>
      </c>
      <c r="Z748" s="2" t="s">
        <v>46</v>
      </c>
      <c r="AA748" s="2" t="s">
        <v>47</v>
      </c>
      <c r="AB748" s="2">
        <v>16</v>
      </c>
      <c r="AC748" s="2" t="s">
        <v>48</v>
      </c>
      <c r="AD748" s="2">
        <v>1</v>
      </c>
    </row>
    <row r="749" spans="1:30" ht="30" x14ac:dyDescent="0.25">
      <c r="A749" s="2">
        <v>12</v>
      </c>
      <c r="B749" s="2" t="s">
        <v>2616</v>
      </c>
      <c r="C749" s="2">
        <v>12953</v>
      </c>
      <c r="D749" s="3">
        <v>43281</v>
      </c>
      <c r="E749" s="2" t="s">
        <v>3437</v>
      </c>
      <c r="F749" s="2"/>
      <c r="G749" s="2" t="s">
        <v>3438</v>
      </c>
      <c r="H749" s="2" t="s">
        <v>306</v>
      </c>
      <c r="I749" s="2" t="s">
        <v>41</v>
      </c>
      <c r="J749" s="3">
        <v>38664</v>
      </c>
      <c r="K749" s="2"/>
      <c r="L749" s="2"/>
      <c r="M749" s="2">
        <v>23</v>
      </c>
      <c r="N749" s="2">
        <v>19</v>
      </c>
      <c r="O749" s="2" t="s">
        <v>53</v>
      </c>
      <c r="P749" s="2" t="s">
        <v>43</v>
      </c>
      <c r="Q749" s="2"/>
      <c r="R749" s="2" t="s">
        <v>44</v>
      </c>
      <c r="S749" s="2">
        <v>8250215703</v>
      </c>
      <c r="T749" s="2" t="s">
        <v>3439</v>
      </c>
      <c r="U749" s="2" t="s">
        <v>3440</v>
      </c>
      <c r="V749" s="2">
        <v>9680960686</v>
      </c>
      <c r="W749" s="2" t="s">
        <v>3441</v>
      </c>
      <c r="X749" s="2">
        <v>37000</v>
      </c>
      <c r="Y749" s="2" t="s">
        <v>46</v>
      </c>
      <c r="Z749" s="2" t="s">
        <v>46</v>
      </c>
      <c r="AA749" s="2" t="s">
        <v>47</v>
      </c>
      <c r="AB749" s="2">
        <v>16</v>
      </c>
      <c r="AC749" s="2" t="s">
        <v>48</v>
      </c>
      <c r="AD749" s="2">
        <v>2</v>
      </c>
    </row>
    <row r="750" spans="1:30" ht="30" x14ac:dyDescent="0.25">
      <c r="A750" s="2">
        <v>12</v>
      </c>
      <c r="B750" s="2" t="s">
        <v>2616</v>
      </c>
      <c r="C750" s="2">
        <v>12945</v>
      </c>
      <c r="D750" s="3">
        <v>43281</v>
      </c>
      <c r="E750" s="2" t="s">
        <v>3442</v>
      </c>
      <c r="F750" s="2"/>
      <c r="G750" s="2" t="s">
        <v>3443</v>
      </c>
      <c r="H750" s="2" t="s">
        <v>3444</v>
      </c>
      <c r="I750" s="2" t="s">
        <v>41</v>
      </c>
      <c r="J750" s="3">
        <v>37967</v>
      </c>
      <c r="K750" s="2"/>
      <c r="L750" s="2"/>
      <c r="M750" s="2">
        <v>23</v>
      </c>
      <c r="N750" s="2">
        <v>15</v>
      </c>
      <c r="O750" s="2" t="s">
        <v>773</v>
      </c>
      <c r="P750" s="2" t="s">
        <v>43</v>
      </c>
      <c r="Q750" s="2"/>
      <c r="R750" s="2" t="s">
        <v>44</v>
      </c>
      <c r="S750" s="2">
        <v>8250215703</v>
      </c>
      <c r="T750" s="2" t="s">
        <v>3445</v>
      </c>
      <c r="U750" s="2" t="s">
        <v>3446</v>
      </c>
      <c r="V750" s="2">
        <v>9950399071</v>
      </c>
      <c r="W750" s="2" t="s">
        <v>3447</v>
      </c>
      <c r="X750" s="2">
        <v>36000</v>
      </c>
      <c r="Y750" s="2" t="s">
        <v>46</v>
      </c>
      <c r="Z750" s="2" t="s">
        <v>46</v>
      </c>
      <c r="AA750" s="2" t="s">
        <v>47</v>
      </c>
      <c r="AB750" s="2">
        <v>18</v>
      </c>
      <c r="AC750" s="2" t="s">
        <v>48</v>
      </c>
      <c r="AD750" s="2">
        <v>2</v>
      </c>
    </row>
    <row r="751" spans="1:30" ht="45" x14ac:dyDescent="0.25">
      <c r="A751" s="2">
        <v>12</v>
      </c>
      <c r="B751" s="2" t="s">
        <v>2616</v>
      </c>
      <c r="C751" s="2">
        <v>12343</v>
      </c>
      <c r="D751" s="3">
        <v>42548</v>
      </c>
      <c r="E751" s="2" t="s">
        <v>3448</v>
      </c>
      <c r="F751" s="2"/>
      <c r="G751" s="2" t="s">
        <v>3449</v>
      </c>
      <c r="H751" s="2" t="s">
        <v>2209</v>
      </c>
      <c r="I751" s="2" t="s">
        <v>41</v>
      </c>
      <c r="J751" s="3">
        <v>38117</v>
      </c>
      <c r="K751" s="2"/>
      <c r="L751" s="2"/>
      <c r="M751" s="2">
        <v>23</v>
      </c>
      <c r="N751" s="2">
        <v>19</v>
      </c>
      <c r="O751" s="2" t="s">
        <v>78</v>
      </c>
      <c r="P751" s="2" t="s">
        <v>43</v>
      </c>
      <c r="Q751" s="2"/>
      <c r="R751" s="2" t="s">
        <v>44</v>
      </c>
      <c r="S751" s="2">
        <v>8250215703</v>
      </c>
      <c r="T751" s="2" t="s">
        <v>3450</v>
      </c>
      <c r="U751" s="2" t="s">
        <v>3451</v>
      </c>
      <c r="V751" s="2">
        <v>9876530836</v>
      </c>
      <c r="W751" s="2" t="s">
        <v>3452</v>
      </c>
      <c r="X751" s="2">
        <v>40000</v>
      </c>
      <c r="Y751" s="2" t="s">
        <v>46</v>
      </c>
      <c r="Z751" s="2" t="s">
        <v>46</v>
      </c>
      <c r="AA751" s="2" t="s">
        <v>47</v>
      </c>
      <c r="AB751" s="2">
        <v>17</v>
      </c>
      <c r="AC751" s="2" t="s">
        <v>48</v>
      </c>
      <c r="AD751" s="2">
        <v>1</v>
      </c>
    </row>
    <row r="752" spans="1:30" ht="30" x14ac:dyDescent="0.25">
      <c r="A752" s="2">
        <v>12</v>
      </c>
      <c r="B752" s="2" t="s">
        <v>2616</v>
      </c>
      <c r="C752" s="2">
        <v>13593</v>
      </c>
      <c r="D752" s="3">
        <v>44109</v>
      </c>
      <c r="E752" s="2" t="s">
        <v>3453</v>
      </c>
      <c r="F752" s="2"/>
      <c r="G752" s="2" t="s">
        <v>3454</v>
      </c>
      <c r="H752" s="2" t="s">
        <v>3040</v>
      </c>
      <c r="I752" s="2" t="s">
        <v>41</v>
      </c>
      <c r="J752" s="3">
        <v>37770</v>
      </c>
      <c r="K752" s="2"/>
      <c r="L752" s="2"/>
      <c r="M752" s="2">
        <v>23</v>
      </c>
      <c r="N752" s="2">
        <v>15</v>
      </c>
      <c r="O752" s="2" t="s">
        <v>78</v>
      </c>
      <c r="P752" s="2" t="s">
        <v>43</v>
      </c>
      <c r="Q752" s="2"/>
      <c r="R752" s="2" t="s">
        <v>44</v>
      </c>
      <c r="S752" s="2">
        <v>8250215703</v>
      </c>
      <c r="T752" s="2" t="s">
        <v>3455</v>
      </c>
      <c r="U752" s="2" t="s">
        <v>3456</v>
      </c>
      <c r="V752" s="2">
        <v>9784126762</v>
      </c>
      <c r="W752" s="2" t="s">
        <v>975</v>
      </c>
      <c r="X752" s="2">
        <v>30000</v>
      </c>
      <c r="Y752" s="2" t="s">
        <v>46</v>
      </c>
      <c r="Z752" s="2" t="s">
        <v>46</v>
      </c>
      <c r="AA752" s="2" t="s">
        <v>47</v>
      </c>
      <c r="AB752" s="2">
        <v>18</v>
      </c>
      <c r="AC752" s="2" t="s">
        <v>48</v>
      </c>
      <c r="AD752" s="2">
        <v>3</v>
      </c>
    </row>
    <row r="753" spans="1:30" ht="30" x14ac:dyDescent="0.25">
      <c r="A753" s="2">
        <v>12</v>
      </c>
      <c r="B753" s="2" t="s">
        <v>2616</v>
      </c>
      <c r="C753" s="2">
        <v>12363</v>
      </c>
      <c r="D753" s="3">
        <v>42548</v>
      </c>
      <c r="E753" s="2" t="s">
        <v>3457</v>
      </c>
      <c r="F753" s="2"/>
      <c r="G753" s="2" t="s">
        <v>3458</v>
      </c>
      <c r="H753" s="2" t="s">
        <v>1718</v>
      </c>
      <c r="I753" s="2" t="s">
        <v>41</v>
      </c>
      <c r="J753" s="3">
        <v>38373</v>
      </c>
      <c r="K753" s="2"/>
      <c r="L753" s="2"/>
      <c r="M753" s="2">
        <v>23</v>
      </c>
      <c r="N753" s="2">
        <v>11</v>
      </c>
      <c r="O753" s="2" t="s">
        <v>53</v>
      </c>
      <c r="P753" s="2" t="s">
        <v>54</v>
      </c>
      <c r="Q753" s="2"/>
      <c r="R753" s="2" t="s">
        <v>44</v>
      </c>
      <c r="S753" s="2">
        <v>8250215703</v>
      </c>
      <c r="T753" s="2" t="s">
        <v>3459</v>
      </c>
      <c r="U753" s="2"/>
      <c r="V753" s="2">
        <v>8696025799</v>
      </c>
      <c r="W753" s="2" t="s">
        <v>3460</v>
      </c>
      <c r="X753" s="2">
        <v>40000</v>
      </c>
      <c r="Y753" s="2" t="s">
        <v>46</v>
      </c>
      <c r="Z753" s="2" t="s">
        <v>46</v>
      </c>
      <c r="AA753" s="2" t="s">
        <v>57</v>
      </c>
      <c r="AB753" s="2">
        <v>16</v>
      </c>
      <c r="AC753" s="2" t="s">
        <v>48</v>
      </c>
      <c r="AD753" s="2">
        <v>1</v>
      </c>
    </row>
    <row r="754" spans="1:30" ht="30" x14ac:dyDescent="0.25">
      <c r="A754" s="2">
        <v>12</v>
      </c>
      <c r="B754" s="2" t="s">
        <v>2616</v>
      </c>
      <c r="C754" s="2">
        <v>13270</v>
      </c>
      <c r="D754" s="3">
        <v>43655</v>
      </c>
      <c r="E754" s="2" t="s">
        <v>3461</v>
      </c>
      <c r="F754" s="2"/>
      <c r="G754" s="2" t="s">
        <v>3462</v>
      </c>
      <c r="H754" s="2" t="s">
        <v>3463</v>
      </c>
      <c r="I754" s="2" t="s">
        <v>41</v>
      </c>
      <c r="J754" s="3">
        <v>38397</v>
      </c>
      <c r="K754" s="2"/>
      <c r="L754" s="2"/>
      <c r="M754" s="2">
        <v>23</v>
      </c>
      <c r="N754" s="2">
        <v>20</v>
      </c>
      <c r="O754" s="2" t="s">
        <v>42</v>
      </c>
      <c r="P754" s="2" t="s">
        <v>43</v>
      </c>
      <c r="Q754" s="2"/>
      <c r="R754" s="2" t="s">
        <v>44</v>
      </c>
      <c r="S754" s="2">
        <v>8250215703</v>
      </c>
      <c r="T754" s="2" t="s">
        <v>3464</v>
      </c>
      <c r="U754" s="2" t="s">
        <v>3465</v>
      </c>
      <c r="V754" s="2">
        <v>9414565579</v>
      </c>
      <c r="W754" s="2" t="s">
        <v>3466</v>
      </c>
      <c r="X754" s="2">
        <v>40000</v>
      </c>
      <c r="Y754" s="2" t="s">
        <v>46</v>
      </c>
      <c r="Z754" s="2" t="s">
        <v>46</v>
      </c>
      <c r="AA754" s="2" t="s">
        <v>47</v>
      </c>
      <c r="AB754" s="2">
        <v>16</v>
      </c>
      <c r="AC754" s="2" t="s">
        <v>48</v>
      </c>
      <c r="AD754" s="2">
        <v>1</v>
      </c>
    </row>
    <row r="755" spans="1:30" ht="30" x14ac:dyDescent="0.25">
      <c r="A755" s="2">
        <v>12</v>
      </c>
      <c r="B755" s="2" t="s">
        <v>2616</v>
      </c>
      <c r="C755" s="2">
        <v>12350</v>
      </c>
      <c r="D755" s="3">
        <v>42548</v>
      </c>
      <c r="E755" s="2" t="s">
        <v>1189</v>
      </c>
      <c r="F755" s="2"/>
      <c r="G755" s="2" t="s">
        <v>3467</v>
      </c>
      <c r="H755" s="2" t="s">
        <v>2587</v>
      </c>
      <c r="I755" s="2" t="s">
        <v>41</v>
      </c>
      <c r="J755" s="3">
        <v>37787</v>
      </c>
      <c r="K755" s="2"/>
      <c r="L755" s="2"/>
      <c r="M755" s="2">
        <v>23</v>
      </c>
      <c r="N755" s="2">
        <v>2</v>
      </c>
      <c r="O755" s="2" t="s">
        <v>773</v>
      </c>
      <c r="P755" s="2" t="s">
        <v>43</v>
      </c>
      <c r="Q755" s="2"/>
      <c r="R755" s="2" t="s">
        <v>44</v>
      </c>
      <c r="S755" s="2">
        <v>8250215703</v>
      </c>
      <c r="T755" s="2" t="s">
        <v>3468</v>
      </c>
      <c r="U755" s="2"/>
      <c r="V755" s="2">
        <v>9782854698</v>
      </c>
      <c r="W755" s="2" t="s">
        <v>371</v>
      </c>
      <c r="X755" s="2">
        <v>40000</v>
      </c>
      <c r="Y755" s="2" t="s">
        <v>46</v>
      </c>
      <c r="Z755" s="2" t="s">
        <v>46</v>
      </c>
      <c r="AA755" s="2" t="s">
        <v>47</v>
      </c>
      <c r="AB755" s="2">
        <v>18</v>
      </c>
      <c r="AC755" s="2" t="s">
        <v>48</v>
      </c>
      <c r="AD755" s="2">
        <v>1</v>
      </c>
    </row>
    <row r="756" spans="1:30" ht="30" x14ac:dyDescent="0.25">
      <c r="A756" s="2">
        <v>12</v>
      </c>
      <c r="B756" s="2" t="s">
        <v>2616</v>
      </c>
      <c r="C756" s="2">
        <v>13684</v>
      </c>
      <c r="D756" s="3">
        <v>44226</v>
      </c>
      <c r="E756" s="2" t="s">
        <v>2502</v>
      </c>
      <c r="F756" s="2"/>
      <c r="G756" s="2" t="s">
        <v>153</v>
      </c>
      <c r="H756" s="2" t="s">
        <v>3469</v>
      </c>
      <c r="I756" s="2" t="s">
        <v>41</v>
      </c>
      <c r="J756" s="3">
        <v>38200</v>
      </c>
      <c r="K756" s="2"/>
      <c r="L756" s="2"/>
      <c r="M756" s="2">
        <v>23</v>
      </c>
      <c r="N756" s="2">
        <v>0</v>
      </c>
      <c r="O756" s="2" t="s">
        <v>53</v>
      </c>
      <c r="P756" s="2" t="s">
        <v>43</v>
      </c>
      <c r="Q756" s="2"/>
      <c r="R756" s="2" t="s">
        <v>44</v>
      </c>
      <c r="S756" s="2">
        <v>8250215703</v>
      </c>
      <c r="T756" s="2" t="s">
        <v>3470</v>
      </c>
      <c r="U756" s="2"/>
      <c r="V756" s="2">
        <v>7742186882</v>
      </c>
      <c r="W756" s="2" t="s">
        <v>3471</v>
      </c>
      <c r="X756" s="2">
        <v>36000</v>
      </c>
      <c r="Y756" s="2" t="s">
        <v>46</v>
      </c>
      <c r="Z756" s="2" t="s">
        <v>46</v>
      </c>
      <c r="AA756" s="2" t="s">
        <v>47</v>
      </c>
      <c r="AB756" s="2">
        <v>17</v>
      </c>
      <c r="AC756" s="2" t="s">
        <v>48</v>
      </c>
      <c r="AD756" s="2">
        <v>2</v>
      </c>
    </row>
    <row r="757" spans="1:30" ht="30" x14ac:dyDescent="0.25">
      <c r="A757" s="2">
        <v>12</v>
      </c>
      <c r="B757" s="2" t="s">
        <v>2616</v>
      </c>
      <c r="C757" s="2">
        <v>13351</v>
      </c>
      <c r="D757" s="3">
        <v>43661</v>
      </c>
      <c r="E757" s="2" t="s">
        <v>3472</v>
      </c>
      <c r="F757" s="2"/>
      <c r="G757" s="2" t="s">
        <v>3473</v>
      </c>
      <c r="H757" s="2" t="s">
        <v>1544</v>
      </c>
      <c r="I757" s="2" t="s">
        <v>41</v>
      </c>
      <c r="J757" s="3">
        <v>37724</v>
      </c>
      <c r="K757" s="2"/>
      <c r="L757" s="2"/>
      <c r="M757" s="2">
        <v>23</v>
      </c>
      <c r="N757" s="2">
        <v>14</v>
      </c>
      <c r="O757" s="2" t="s">
        <v>53</v>
      </c>
      <c r="P757" s="2" t="s">
        <v>43</v>
      </c>
      <c r="Q757" s="2"/>
      <c r="R757" s="2" t="s">
        <v>44</v>
      </c>
      <c r="S757" s="2">
        <v>8250215703</v>
      </c>
      <c r="T757" s="2" t="s">
        <v>3474</v>
      </c>
      <c r="U757" s="2" t="s">
        <v>431</v>
      </c>
      <c r="V757" s="2">
        <v>9587679880</v>
      </c>
      <c r="W757" s="2" t="s">
        <v>3475</v>
      </c>
      <c r="X757" s="2">
        <v>120000</v>
      </c>
      <c r="Y757" s="2" t="s">
        <v>46</v>
      </c>
      <c r="Z757" s="2" t="s">
        <v>46</v>
      </c>
      <c r="AA757" s="2" t="s">
        <v>47</v>
      </c>
      <c r="AB757" s="2">
        <v>18</v>
      </c>
      <c r="AC757" s="2" t="s">
        <v>48</v>
      </c>
      <c r="AD757" s="2">
        <v>1</v>
      </c>
    </row>
    <row r="758" spans="1:30" ht="45" x14ac:dyDescent="0.25">
      <c r="A758" s="2">
        <v>12</v>
      </c>
      <c r="B758" s="2" t="s">
        <v>2616</v>
      </c>
      <c r="C758" s="2">
        <v>13617</v>
      </c>
      <c r="D758" s="3">
        <v>44119</v>
      </c>
      <c r="E758" s="2" t="s">
        <v>3476</v>
      </c>
      <c r="F758" s="2"/>
      <c r="G758" s="2" t="s">
        <v>1863</v>
      </c>
      <c r="H758" s="2" t="s">
        <v>2308</v>
      </c>
      <c r="I758" s="2" t="s">
        <v>41</v>
      </c>
      <c r="J758" s="3">
        <v>38499</v>
      </c>
      <c r="K758" s="2"/>
      <c r="L758" s="2"/>
      <c r="M758" s="2">
        <v>23</v>
      </c>
      <c r="N758" s="2">
        <v>14</v>
      </c>
      <c r="O758" s="2" t="s">
        <v>53</v>
      </c>
      <c r="P758" s="2" t="s">
        <v>43</v>
      </c>
      <c r="Q758" s="2"/>
      <c r="R758" s="2" t="s">
        <v>44</v>
      </c>
      <c r="S758" s="2">
        <v>8250215703</v>
      </c>
      <c r="T758" s="2" t="s">
        <v>3477</v>
      </c>
      <c r="U758" s="2"/>
      <c r="V758" s="2">
        <v>9588274557</v>
      </c>
      <c r="W758" s="2" t="s">
        <v>3478</v>
      </c>
      <c r="X758" s="2">
        <v>60000</v>
      </c>
      <c r="Y758" s="2" t="s">
        <v>46</v>
      </c>
      <c r="Z758" s="2" t="s">
        <v>46</v>
      </c>
      <c r="AA758" s="2" t="s">
        <v>47</v>
      </c>
      <c r="AB758" s="2">
        <v>16</v>
      </c>
      <c r="AC758" s="2" t="s">
        <v>48</v>
      </c>
      <c r="AD758" s="2">
        <v>2</v>
      </c>
    </row>
    <row r="759" spans="1:30" ht="45" x14ac:dyDescent="0.25">
      <c r="A759" s="2">
        <v>12</v>
      </c>
      <c r="B759" s="2" t="s">
        <v>2616</v>
      </c>
      <c r="C759" s="2">
        <v>13004</v>
      </c>
      <c r="D759" s="3">
        <v>43283</v>
      </c>
      <c r="E759" s="2" t="s">
        <v>3479</v>
      </c>
      <c r="F759" s="2"/>
      <c r="G759" s="2" t="s">
        <v>3480</v>
      </c>
      <c r="H759" s="2" t="s">
        <v>3481</v>
      </c>
      <c r="I759" s="2" t="s">
        <v>41</v>
      </c>
      <c r="J759" s="3">
        <v>38599</v>
      </c>
      <c r="K759" s="2"/>
      <c r="L759" s="2"/>
      <c r="M759" s="2">
        <v>23</v>
      </c>
      <c r="N759" s="2">
        <v>19</v>
      </c>
      <c r="O759" s="2" t="s">
        <v>53</v>
      </c>
      <c r="P759" s="2" t="s">
        <v>43</v>
      </c>
      <c r="Q759" s="2"/>
      <c r="R759" s="2" t="s">
        <v>44</v>
      </c>
      <c r="S759" s="2">
        <v>8250215703</v>
      </c>
      <c r="T759" s="2" t="s">
        <v>3482</v>
      </c>
      <c r="U759" s="2" t="s">
        <v>3483</v>
      </c>
      <c r="V759" s="2">
        <v>8003074968</v>
      </c>
      <c r="W759" s="2" t="s">
        <v>3484</v>
      </c>
      <c r="X759" s="2">
        <v>40000</v>
      </c>
      <c r="Y759" s="2" t="s">
        <v>46</v>
      </c>
      <c r="Z759" s="2" t="s">
        <v>46</v>
      </c>
      <c r="AA759" s="2" t="s">
        <v>47</v>
      </c>
      <c r="AB759" s="2">
        <v>16</v>
      </c>
      <c r="AC759" s="2" t="s">
        <v>48</v>
      </c>
      <c r="AD759" s="2">
        <v>1</v>
      </c>
    </row>
    <row r="760" spans="1:30" ht="30" x14ac:dyDescent="0.25">
      <c r="A760" s="2">
        <v>12</v>
      </c>
      <c r="B760" s="2" t="s">
        <v>2616</v>
      </c>
      <c r="C760" s="2">
        <v>13227</v>
      </c>
      <c r="D760" s="3">
        <v>43649</v>
      </c>
      <c r="E760" s="2" t="s">
        <v>3485</v>
      </c>
      <c r="F760" s="2"/>
      <c r="G760" s="2" t="s">
        <v>3486</v>
      </c>
      <c r="H760" s="2" t="s">
        <v>1919</v>
      </c>
      <c r="I760" s="2" t="s">
        <v>41</v>
      </c>
      <c r="J760" s="3">
        <v>38029</v>
      </c>
      <c r="K760" s="2"/>
      <c r="L760" s="2"/>
      <c r="M760" s="2">
        <v>23</v>
      </c>
      <c r="N760" s="2">
        <v>12</v>
      </c>
      <c r="O760" s="2" t="s">
        <v>78</v>
      </c>
      <c r="P760" s="2" t="s">
        <v>43</v>
      </c>
      <c r="Q760" s="2"/>
      <c r="R760" s="2" t="s">
        <v>44</v>
      </c>
      <c r="S760" s="2">
        <v>8250215703</v>
      </c>
      <c r="T760" s="2" t="s">
        <v>3487</v>
      </c>
      <c r="U760" s="2" t="s">
        <v>3488</v>
      </c>
      <c r="V760" s="2">
        <v>9982208988</v>
      </c>
      <c r="W760" s="2" t="s">
        <v>3489</v>
      </c>
      <c r="X760" s="2">
        <v>36000</v>
      </c>
      <c r="Y760" s="2" t="s">
        <v>46</v>
      </c>
      <c r="Z760" s="2" t="s">
        <v>46</v>
      </c>
      <c r="AA760" s="2" t="s">
        <v>47</v>
      </c>
      <c r="AB760" s="2">
        <v>17</v>
      </c>
      <c r="AC760" s="2" t="s">
        <v>48</v>
      </c>
      <c r="AD760" s="2">
        <v>3</v>
      </c>
    </row>
    <row r="761" spans="1:30" ht="30" x14ac:dyDescent="0.25">
      <c r="A761" s="2">
        <v>12</v>
      </c>
      <c r="B761" s="2" t="s">
        <v>2616</v>
      </c>
      <c r="C761" s="2">
        <v>13146</v>
      </c>
      <c r="D761" s="3">
        <v>43309</v>
      </c>
      <c r="E761" s="2" t="s">
        <v>1414</v>
      </c>
      <c r="F761" s="2"/>
      <c r="G761" s="2" t="s">
        <v>971</v>
      </c>
      <c r="H761" s="2" t="s">
        <v>845</v>
      </c>
      <c r="I761" s="2" t="s">
        <v>41</v>
      </c>
      <c r="J761" s="3">
        <v>38353</v>
      </c>
      <c r="K761" s="2"/>
      <c r="L761" s="2"/>
      <c r="M761" s="2">
        <v>23</v>
      </c>
      <c r="N761" s="2">
        <v>21</v>
      </c>
      <c r="O761" s="2" t="s">
        <v>53</v>
      </c>
      <c r="P761" s="2" t="s">
        <v>43</v>
      </c>
      <c r="Q761" s="2"/>
      <c r="R761" s="2" t="s">
        <v>44</v>
      </c>
      <c r="S761" s="2">
        <v>8250215703</v>
      </c>
      <c r="T761" s="2" t="s">
        <v>3490</v>
      </c>
      <c r="U761" s="2" t="s">
        <v>3491</v>
      </c>
      <c r="V761" s="2">
        <v>9636149153</v>
      </c>
      <c r="W761" s="2" t="s">
        <v>3492</v>
      </c>
      <c r="X761" s="2">
        <v>36000</v>
      </c>
      <c r="Y761" s="2" t="s">
        <v>46</v>
      </c>
      <c r="Z761" s="2" t="s">
        <v>46</v>
      </c>
      <c r="AA761" s="2" t="s">
        <v>47</v>
      </c>
      <c r="AB761" s="2">
        <v>16</v>
      </c>
      <c r="AC761" s="2" t="s">
        <v>48</v>
      </c>
      <c r="AD761" s="2">
        <v>1</v>
      </c>
    </row>
    <row r="762" spans="1:30" ht="30" x14ac:dyDescent="0.25">
      <c r="A762" s="2">
        <v>12</v>
      </c>
      <c r="B762" s="2" t="s">
        <v>2616</v>
      </c>
      <c r="C762" s="2">
        <v>13353</v>
      </c>
      <c r="D762" s="3">
        <v>43661</v>
      </c>
      <c r="E762" s="2" t="s">
        <v>3493</v>
      </c>
      <c r="F762" s="2"/>
      <c r="G762" s="2" t="s">
        <v>3494</v>
      </c>
      <c r="H762" s="2" t="s">
        <v>358</v>
      </c>
      <c r="I762" s="2" t="s">
        <v>41</v>
      </c>
      <c r="J762" s="3">
        <v>38592</v>
      </c>
      <c r="K762" s="2"/>
      <c r="L762" s="2"/>
      <c r="M762" s="2">
        <v>23</v>
      </c>
      <c r="N762" s="2">
        <v>19</v>
      </c>
      <c r="O762" s="2" t="s">
        <v>53</v>
      </c>
      <c r="P762" s="2" t="s">
        <v>43</v>
      </c>
      <c r="Q762" s="2"/>
      <c r="R762" s="2" t="s">
        <v>44</v>
      </c>
      <c r="S762" s="2">
        <v>8250215703</v>
      </c>
      <c r="T762" s="2" t="s">
        <v>3495</v>
      </c>
      <c r="U762" s="2" t="s">
        <v>3496</v>
      </c>
      <c r="V762" s="2">
        <v>7427829948</v>
      </c>
      <c r="W762" s="2" t="s">
        <v>3497</v>
      </c>
      <c r="X762" s="2">
        <v>50000</v>
      </c>
      <c r="Y762" s="2" t="s">
        <v>46</v>
      </c>
      <c r="Z762" s="2" t="s">
        <v>46</v>
      </c>
      <c r="AA762" s="2" t="s">
        <v>47</v>
      </c>
      <c r="AB762" s="2">
        <v>16</v>
      </c>
      <c r="AC762" s="2" t="s">
        <v>48</v>
      </c>
      <c r="AD762" s="2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251"/>
  <sheetViews>
    <sheetView view="pageBreakPreview" zoomScaleNormal="100" zoomScaleSheetLayoutView="100" workbookViewId="0">
      <selection activeCell="J6" sqref="J6"/>
    </sheetView>
  </sheetViews>
  <sheetFormatPr defaultRowHeight="30" customHeight="1" x14ac:dyDescent="0.25"/>
  <cols>
    <col min="1" max="1" width="5.7109375" style="23" customWidth="1"/>
    <col min="2" max="2" width="6" style="23" customWidth="1"/>
    <col min="3" max="3" width="5.42578125" style="23" customWidth="1"/>
    <col min="4" max="4" width="9.140625" style="23"/>
    <col min="5" max="7" width="25.7109375" style="23" customWidth="1"/>
    <col min="8" max="8" width="7" style="23" customWidth="1"/>
    <col min="9" max="9" width="10.85546875" style="23" customWidth="1"/>
    <col min="10" max="10" width="10.140625" style="23" bestFit="1" customWidth="1"/>
    <col min="11" max="11" width="7.140625" style="23" customWidth="1"/>
    <col min="12" max="16384" width="9.140625" style="23"/>
  </cols>
  <sheetData>
    <row r="1" spans="1:11" ht="30" customHeight="1" x14ac:dyDescent="0.25">
      <c r="A1" s="161" t="str">
        <f>'Sch Name'!A1</f>
        <v>Government Senior Secondary School, Deograh (Rajsamand)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30" customHeight="1" x14ac:dyDescent="0.25">
      <c r="A2" s="162" t="str">
        <f>'Sch Name'!A2</f>
        <v>Result Program For Class 11th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4" customFormat="1" ht="30" customHeight="1" x14ac:dyDescent="0.25">
      <c r="A4" s="30" t="s">
        <v>3498</v>
      </c>
      <c r="B4" s="31" t="s">
        <v>3</v>
      </c>
      <c r="C4" s="31" t="s">
        <v>8</v>
      </c>
      <c r="D4" s="31" t="s">
        <v>9</v>
      </c>
      <c r="E4" s="31" t="s">
        <v>3501</v>
      </c>
      <c r="F4" s="31" t="s">
        <v>3499</v>
      </c>
      <c r="G4" s="31" t="s">
        <v>3500</v>
      </c>
      <c r="H4" s="31" t="s">
        <v>15</v>
      </c>
      <c r="I4" s="31" t="s">
        <v>16</v>
      </c>
      <c r="J4" s="31" t="s">
        <v>3502</v>
      </c>
      <c r="K4" s="31" t="s">
        <v>21</v>
      </c>
    </row>
    <row r="5" spans="1:11" ht="30" customHeight="1" x14ac:dyDescent="0.25">
      <c r="A5" s="25">
        <f>IF(Table1[[#This Row],[Name of Student]]="","",ROWS($A$1:A1))</f>
        <v>1</v>
      </c>
      <c r="B5" s="26">
        <f>IF('Paste SD Data'!A2="","",'Paste SD Data'!A2)</f>
        <v>1</v>
      </c>
      <c r="C5" s="26" t="str">
        <f>IF('Paste SD Data'!B2="","",'Paste SD Data'!B2)</f>
        <v>A</v>
      </c>
      <c r="D5" s="26">
        <f>IF('Paste SD Data'!C2="","",'Paste SD Data'!C2)</f>
        <v>13740</v>
      </c>
      <c r="E5" s="27" t="str">
        <f>IF('Paste SD Data'!E2="","",UPPER('Paste SD Data'!E2))</f>
        <v>AARAV BAPANA</v>
      </c>
      <c r="F5" s="27" t="str">
        <f>IF('Paste SD Data'!G2="","",UPPER('Paste SD Data'!G2))</f>
        <v>PANKAJ BAPANA</v>
      </c>
      <c r="G5" s="27" t="str">
        <f>IF('Paste SD Data'!H2="","",UPPER('Paste SD Data'!H2))</f>
        <v>SUMAN BAPANA</v>
      </c>
      <c r="H5" s="26" t="str">
        <f>IF('Paste SD Data'!I2="","",IF('Paste SD Data'!I2="M","BOY","GIRL"))</f>
        <v>BOY</v>
      </c>
      <c r="I5" s="28">
        <f>IF('Paste SD Data'!J2="","",'Paste SD Data'!J2)</f>
        <v>42468</v>
      </c>
      <c r="J5" s="33">
        <v>101</v>
      </c>
      <c r="K5" s="26" t="str">
        <f>IF('Paste SD Data'!O2="","",'Paste SD Data'!O2)</f>
        <v>GEN</v>
      </c>
    </row>
    <row r="6" spans="1:11" ht="30" customHeight="1" x14ac:dyDescent="0.25">
      <c r="A6" s="25">
        <f>IF(Table1[[#This Row],[Name of Student]]="","",ROWS($A$1:A2))</f>
        <v>2</v>
      </c>
      <c r="B6" s="26">
        <f>IF('Paste SD Data'!A3="","",'Paste SD Data'!A3)</f>
        <v>1</v>
      </c>
      <c r="C6" s="26" t="str">
        <f>IF('Paste SD Data'!B3="","",'Paste SD Data'!B3)</f>
        <v>A</v>
      </c>
      <c r="D6" s="26">
        <f>IF('Paste SD Data'!C3="","",'Paste SD Data'!C3)</f>
        <v>13939</v>
      </c>
      <c r="E6" s="27" t="str">
        <f>IF('Paste SD Data'!E3="","",UPPER('Paste SD Data'!E3))</f>
        <v>ALMIRA DAYER</v>
      </c>
      <c r="F6" s="27" t="str">
        <f>IF('Paste SD Data'!G3="","",UPPER('Paste SD Data'!G3))</f>
        <v>DILDAR MOHAMMED</v>
      </c>
      <c r="G6" s="27" t="str">
        <f>IF('Paste SD Data'!H3="","",UPPER('Paste SD Data'!H3))</f>
        <v>SAYANA</v>
      </c>
      <c r="H6" s="26" t="str">
        <f>IF('Paste SD Data'!I3="","",IF('Paste SD Data'!I3="M","BOY","GIRL"))</f>
        <v>GIRL</v>
      </c>
      <c r="I6" s="28">
        <f>IF('Paste SD Data'!J3="","",'Paste SD Data'!J3)</f>
        <v>42371</v>
      </c>
      <c r="J6" s="34">
        <f>J5+1</f>
        <v>102</v>
      </c>
      <c r="K6" s="29" t="str">
        <f>IF('Paste SD Data'!O3="","",'Paste SD Data'!O3)</f>
        <v>OBC</v>
      </c>
    </row>
    <row r="7" spans="1:11" ht="30" customHeight="1" x14ac:dyDescent="0.25">
      <c r="A7" s="25">
        <f>IF(Table1[[#This Row],[Name of Student]]="","",ROWS($A$1:A3))</f>
        <v>3</v>
      </c>
      <c r="B7" s="26">
        <f>IF('Paste SD Data'!A4="","",'Paste SD Data'!A4)</f>
        <v>1</v>
      </c>
      <c r="C7" s="26" t="str">
        <f>IF('Paste SD Data'!B4="","",'Paste SD Data'!B4)</f>
        <v>A</v>
      </c>
      <c r="D7" s="26">
        <f>IF('Paste SD Data'!C4="","",'Paste SD Data'!C4)</f>
        <v>13909</v>
      </c>
      <c r="E7" s="27" t="str">
        <f>IF('Paste SD Data'!E4="","",UPPER('Paste SD Data'!E4))</f>
        <v>DIVYANSH PURI GOSWAMI</v>
      </c>
      <c r="F7" s="27" t="str">
        <f>IF('Paste SD Data'!G4="","",UPPER('Paste SD Data'!G4))</f>
        <v>JASWANT PURI GOSWAMI</v>
      </c>
      <c r="G7" s="27" t="str">
        <f>IF('Paste SD Data'!H4="","",UPPER('Paste SD Data'!H4))</f>
        <v>NUTAN GOSWAMI</v>
      </c>
      <c r="H7" s="26" t="str">
        <f>IF('Paste SD Data'!I4="","",IF('Paste SD Data'!I4="M","BOY","GIRL"))</f>
        <v>BOY</v>
      </c>
      <c r="I7" s="28">
        <f>IF('Paste SD Data'!J4="","",'Paste SD Data'!J4)</f>
        <v>42511</v>
      </c>
      <c r="J7" s="34">
        <f t="shared" ref="J7:J70" si="0">J6+1</f>
        <v>103</v>
      </c>
      <c r="K7" s="29" t="str">
        <f>IF('Paste SD Data'!O4="","",'Paste SD Data'!O4)</f>
        <v>OBC</v>
      </c>
    </row>
    <row r="8" spans="1:11" ht="30" customHeight="1" x14ac:dyDescent="0.25">
      <c r="A8" s="25">
        <f>IF(Table1[[#This Row],[Name of Student]]="","",ROWS($A$1:A4))</f>
        <v>4</v>
      </c>
      <c r="B8" s="26">
        <f>IF('Paste SD Data'!A5="","",'Paste SD Data'!A5)</f>
        <v>1</v>
      </c>
      <c r="C8" s="26" t="str">
        <f>IF('Paste SD Data'!B5="","",'Paste SD Data'!B5)</f>
        <v>A</v>
      </c>
      <c r="D8" s="26">
        <f>IF('Paste SD Data'!C5="","",'Paste SD Data'!C5)</f>
        <v>13942</v>
      </c>
      <c r="E8" s="27" t="str">
        <f>IF('Paste SD Data'!E5="","",UPPER('Paste SD Data'!E5))</f>
        <v>GARIMA TAILOR</v>
      </c>
      <c r="F8" s="27" t="str">
        <f>IF('Paste SD Data'!G5="","",UPPER('Paste SD Data'!G5))</f>
        <v>DEVI LAL</v>
      </c>
      <c r="G8" s="27" t="str">
        <f>IF('Paste SD Data'!H5="","",UPPER('Paste SD Data'!H5))</f>
        <v>MEERA TAILOR</v>
      </c>
      <c r="H8" s="26" t="str">
        <f>IF('Paste SD Data'!I5="","",IF('Paste SD Data'!I5="M","BOY","GIRL"))</f>
        <v>GIRL</v>
      </c>
      <c r="I8" s="28">
        <f>IF('Paste SD Data'!J5="","",'Paste SD Data'!J5)</f>
        <v>42593</v>
      </c>
      <c r="J8" s="34">
        <f t="shared" si="0"/>
        <v>104</v>
      </c>
      <c r="K8" s="29" t="str">
        <f>IF('Paste SD Data'!O5="","",'Paste SD Data'!O5)</f>
        <v>OBC</v>
      </c>
    </row>
    <row r="9" spans="1:11" ht="30" customHeight="1" x14ac:dyDescent="0.25">
      <c r="A9" s="25">
        <f>IF(Table1[[#This Row],[Name of Student]]="","",ROWS($A$1:A5))</f>
        <v>5</v>
      </c>
      <c r="B9" s="26">
        <f>IF('Paste SD Data'!A6="","",'Paste SD Data'!A6)</f>
        <v>1</v>
      </c>
      <c r="C9" s="26" t="str">
        <f>IF('Paste SD Data'!B6="","",'Paste SD Data'!B6)</f>
        <v>A</v>
      </c>
      <c r="D9" s="26">
        <f>IF('Paste SD Data'!C6="","",'Paste SD Data'!C6)</f>
        <v>13944</v>
      </c>
      <c r="E9" s="27" t="str">
        <f>IF('Paste SD Data'!E6="","",UPPER('Paste SD Data'!E6))</f>
        <v>GOURAV KUMAR SUTHAR</v>
      </c>
      <c r="F9" s="27" t="str">
        <f>IF('Paste SD Data'!G6="","",UPPER('Paste SD Data'!G6))</f>
        <v>DHANRAJ SUTHAR</v>
      </c>
      <c r="G9" s="27" t="str">
        <f>IF('Paste SD Data'!H6="","",UPPER('Paste SD Data'!H6))</f>
        <v>SUMITRA SUTHAR</v>
      </c>
      <c r="H9" s="26" t="str">
        <f>IF('Paste SD Data'!I6="","",IF('Paste SD Data'!I6="M","BOY","GIRL"))</f>
        <v>BOY</v>
      </c>
      <c r="I9" s="28">
        <f>IF('Paste SD Data'!J6="","",'Paste SD Data'!J6)</f>
        <v>42709</v>
      </c>
      <c r="J9" s="34">
        <f t="shared" si="0"/>
        <v>105</v>
      </c>
      <c r="K9" s="29" t="str">
        <f>IF('Paste SD Data'!O6="","",'Paste SD Data'!O6)</f>
        <v>OBC</v>
      </c>
    </row>
    <row r="10" spans="1:11" ht="30" customHeight="1" x14ac:dyDescent="0.25">
      <c r="A10" s="25">
        <f>IF(Table1[[#This Row],[Name of Student]]="","",ROWS($A$1:A6))</f>
        <v>6</v>
      </c>
      <c r="B10" s="26">
        <f>IF('Paste SD Data'!A7="","",'Paste SD Data'!A7)</f>
        <v>1</v>
      </c>
      <c r="C10" s="26" t="str">
        <f>IF('Paste SD Data'!B7="","",'Paste SD Data'!B7)</f>
        <v>A</v>
      </c>
      <c r="D10" s="26">
        <f>IF('Paste SD Data'!C7="","",'Paste SD Data'!C7)</f>
        <v>13697</v>
      </c>
      <c r="E10" s="27" t="str">
        <f>IF('Paste SD Data'!E7="","",UPPER('Paste SD Data'!E7))</f>
        <v>NAJMIN BANO</v>
      </c>
      <c r="F10" s="27" t="str">
        <f>IF('Paste SD Data'!G7="","",UPPER('Paste SD Data'!G7))</f>
        <v>SADIK MOHAMMAD LUHAR</v>
      </c>
      <c r="G10" s="27" t="str">
        <f>IF('Paste SD Data'!H7="","",UPPER('Paste SD Data'!H7))</f>
        <v>NAJMA BANO</v>
      </c>
      <c r="H10" s="26" t="str">
        <f>IF('Paste SD Data'!I7="","",IF('Paste SD Data'!I7="M","BOY","GIRL"))</f>
        <v>GIRL</v>
      </c>
      <c r="I10" s="28">
        <f>IF('Paste SD Data'!J7="","",'Paste SD Data'!J7)</f>
        <v>42521</v>
      </c>
      <c r="J10" s="34">
        <f t="shared" si="0"/>
        <v>106</v>
      </c>
      <c r="K10" s="29" t="str">
        <f>IF('Paste SD Data'!O7="","",'Paste SD Data'!O7)</f>
        <v>OBC</v>
      </c>
    </row>
    <row r="11" spans="1:11" ht="30" customHeight="1" x14ac:dyDescent="0.25">
      <c r="A11" s="25">
        <f>IF(Table1[[#This Row],[Name of Student]]="","",ROWS($A$1:A7))</f>
        <v>7</v>
      </c>
      <c r="B11" s="26">
        <f>IF('Paste SD Data'!A8="","",'Paste SD Data'!A8)</f>
        <v>1</v>
      </c>
      <c r="C11" s="26" t="str">
        <f>IF('Paste SD Data'!B8="","",'Paste SD Data'!B8)</f>
        <v>A</v>
      </c>
      <c r="D11" s="26">
        <f>IF('Paste SD Data'!C8="","",'Paste SD Data'!C8)</f>
        <v>13791</v>
      </c>
      <c r="E11" s="27" t="str">
        <f>IF('Paste SD Data'!E8="","",UPPER('Paste SD Data'!E8))</f>
        <v>NISHA REGAR</v>
      </c>
      <c r="F11" s="27" t="str">
        <f>IF('Paste SD Data'!G8="","",UPPER('Paste SD Data'!G8))</f>
        <v>RAMLAL REGAR</v>
      </c>
      <c r="G11" s="27" t="str">
        <f>IF('Paste SD Data'!H8="","",UPPER('Paste SD Data'!H8))</f>
        <v>SHANTA REGAR</v>
      </c>
      <c r="H11" s="26" t="str">
        <f>IF('Paste SD Data'!I8="","",IF('Paste SD Data'!I8="M","BOY","GIRL"))</f>
        <v>GIRL</v>
      </c>
      <c r="I11" s="28">
        <f>IF('Paste SD Data'!J8="","",'Paste SD Data'!J8)</f>
        <v>41419</v>
      </c>
      <c r="J11" s="34">
        <f t="shared" si="0"/>
        <v>107</v>
      </c>
      <c r="K11" s="29" t="str">
        <f>IF('Paste SD Data'!O8="","",'Paste SD Data'!O8)</f>
        <v>SC</v>
      </c>
    </row>
    <row r="12" spans="1:11" ht="30" customHeight="1" x14ac:dyDescent="0.25">
      <c r="A12" s="25">
        <f>IF(Table1[[#This Row],[Name of Student]]="","",ROWS($A$1:A8))</f>
        <v>8</v>
      </c>
      <c r="B12" s="26">
        <f>IF('Paste SD Data'!A9="","",'Paste SD Data'!A9)</f>
        <v>1</v>
      </c>
      <c r="C12" s="26" t="str">
        <f>IF('Paste SD Data'!B9="","",'Paste SD Data'!B9)</f>
        <v>A</v>
      </c>
      <c r="D12" s="26">
        <f>IF('Paste SD Data'!C9="","",'Paste SD Data'!C9)</f>
        <v>13696</v>
      </c>
      <c r="E12" s="27" t="str">
        <f>IF('Paste SD Data'!E9="","",UPPER('Paste SD Data'!E9))</f>
        <v>PANKAJ MALI</v>
      </c>
      <c r="F12" s="27" t="str">
        <f>IF('Paste SD Data'!G9="","",UPPER('Paste SD Data'!G9))</f>
        <v>MUKESH MALI</v>
      </c>
      <c r="G12" s="27" t="str">
        <f>IF('Paste SD Data'!H9="","",UPPER('Paste SD Data'!H9))</f>
        <v>REKHA MALI</v>
      </c>
      <c r="H12" s="26" t="str">
        <f>IF('Paste SD Data'!I9="","",IF('Paste SD Data'!I9="M","BOY","GIRL"))</f>
        <v>BOY</v>
      </c>
      <c r="I12" s="28">
        <f>IF('Paste SD Data'!J9="","",'Paste SD Data'!J9)</f>
        <v>41578</v>
      </c>
      <c r="J12" s="34">
        <f t="shared" si="0"/>
        <v>108</v>
      </c>
      <c r="K12" s="29" t="str">
        <f>IF('Paste SD Data'!O9="","",'Paste SD Data'!O9)</f>
        <v>OBC</v>
      </c>
    </row>
    <row r="13" spans="1:11" ht="30" customHeight="1" x14ac:dyDescent="0.25">
      <c r="A13" s="25">
        <f>IF(Table1[[#This Row],[Name of Student]]="","",ROWS($A$1:A9))</f>
        <v>9</v>
      </c>
      <c r="B13" s="26">
        <f>IF('Paste SD Data'!A10="","",'Paste SD Data'!A10)</f>
        <v>1</v>
      </c>
      <c r="C13" s="26" t="str">
        <f>IF('Paste SD Data'!B10="","",'Paste SD Data'!B10)</f>
        <v>A</v>
      </c>
      <c r="D13" s="26">
        <f>IF('Paste SD Data'!C10="","",'Paste SD Data'!C10)</f>
        <v>13941</v>
      </c>
      <c r="E13" s="27" t="str">
        <f>IF('Paste SD Data'!E10="","",UPPER('Paste SD Data'!E10))</f>
        <v>PRAHLAD</v>
      </c>
      <c r="F13" s="27" t="str">
        <f>IF('Paste SD Data'!G10="","",UPPER('Paste SD Data'!G10))</f>
        <v>SHANTI LAL</v>
      </c>
      <c r="G13" s="27" t="str">
        <f>IF('Paste SD Data'!H10="","",UPPER('Paste SD Data'!H10))</f>
        <v>LEELA DEVI</v>
      </c>
      <c r="H13" s="26" t="str">
        <f>IF('Paste SD Data'!I10="","",IF('Paste SD Data'!I10="M","BOY","GIRL"))</f>
        <v>BOY</v>
      </c>
      <c r="I13" s="28">
        <f>IF('Paste SD Data'!J10="","",'Paste SD Data'!J10)</f>
        <v>40923</v>
      </c>
      <c r="J13" s="34">
        <f t="shared" si="0"/>
        <v>109</v>
      </c>
      <c r="K13" s="29" t="str">
        <f>IF('Paste SD Data'!O10="","",'Paste SD Data'!O10)</f>
        <v>OBC</v>
      </c>
    </row>
    <row r="14" spans="1:11" ht="30" customHeight="1" x14ac:dyDescent="0.25">
      <c r="A14" s="25">
        <f>IF(Table1[[#This Row],[Name of Student]]="","",ROWS($A$1:A10))</f>
        <v>10</v>
      </c>
      <c r="B14" s="26">
        <f>IF('Paste SD Data'!A11="","",'Paste SD Data'!A11)</f>
        <v>1</v>
      </c>
      <c r="C14" s="26" t="str">
        <f>IF('Paste SD Data'!B11="","",'Paste SD Data'!B11)</f>
        <v>A</v>
      </c>
      <c r="D14" s="26">
        <f>IF('Paste SD Data'!C11="","",'Paste SD Data'!C11)</f>
        <v>13971</v>
      </c>
      <c r="E14" s="27" t="str">
        <f>IF('Paste SD Data'!E11="","",UPPER('Paste SD Data'!E11))</f>
        <v>PRATYAKSHA PALIWAL</v>
      </c>
      <c r="F14" s="27" t="str">
        <f>IF('Paste SD Data'!G11="","",UPPER('Paste SD Data'!G11))</f>
        <v>VISHVESH PALIWAL</v>
      </c>
      <c r="G14" s="27" t="str">
        <f>IF('Paste SD Data'!H11="","",UPPER('Paste SD Data'!H11))</f>
        <v>POOJA BAGORA</v>
      </c>
      <c r="H14" s="26" t="str">
        <f>IF('Paste SD Data'!I11="","",IF('Paste SD Data'!I11="M","BOY","GIRL"))</f>
        <v>GIRL</v>
      </c>
      <c r="I14" s="28">
        <f>IF('Paste SD Data'!J11="","",'Paste SD Data'!J11)</f>
        <v>42615</v>
      </c>
      <c r="J14" s="34">
        <f t="shared" si="0"/>
        <v>110</v>
      </c>
      <c r="K14" s="29" t="str">
        <f>IF('Paste SD Data'!O11="","",'Paste SD Data'!O11)</f>
        <v>GEN</v>
      </c>
    </row>
    <row r="15" spans="1:11" ht="30" customHeight="1" x14ac:dyDescent="0.25">
      <c r="A15" s="25">
        <f>IF(Table1[[#This Row],[Name of Student]]="","",ROWS($A$1:A11))</f>
        <v>11</v>
      </c>
      <c r="B15" s="26">
        <f>IF('Paste SD Data'!A12="","",'Paste SD Data'!A12)</f>
        <v>1</v>
      </c>
      <c r="C15" s="26" t="str">
        <f>IF('Paste SD Data'!B12="","",'Paste SD Data'!B12)</f>
        <v>A</v>
      </c>
      <c r="D15" s="26">
        <f>IF('Paste SD Data'!C12="","",'Paste SD Data'!C12)</f>
        <v>13993</v>
      </c>
      <c r="E15" s="27" t="str">
        <f>IF('Paste SD Data'!E12="","",UPPER('Paste SD Data'!E12))</f>
        <v>TAMANNA BANU</v>
      </c>
      <c r="F15" s="27" t="str">
        <f>IF('Paste SD Data'!G12="","",UPPER('Paste SD Data'!G12))</f>
        <v>SAJJAD</v>
      </c>
      <c r="G15" s="27" t="str">
        <f>IF('Paste SD Data'!H12="","",UPPER('Paste SD Data'!H12))</f>
        <v>AKLIMUNNUSHA</v>
      </c>
      <c r="H15" s="26" t="str">
        <f>IF('Paste SD Data'!I12="","",IF('Paste SD Data'!I12="M","BOY","GIRL"))</f>
        <v>GIRL</v>
      </c>
      <c r="I15" s="28">
        <f>IF('Paste SD Data'!J12="","",'Paste SD Data'!J12)</f>
        <v>42343</v>
      </c>
      <c r="J15" s="34">
        <f t="shared" si="0"/>
        <v>111</v>
      </c>
      <c r="K15" s="29" t="str">
        <f>IF('Paste SD Data'!O12="","",'Paste SD Data'!O12)</f>
        <v>OBC</v>
      </c>
    </row>
    <row r="16" spans="1:11" ht="30" customHeight="1" x14ac:dyDescent="0.25">
      <c r="A16" s="25">
        <f>IF(Table1[[#This Row],[Name of Student]]="","",ROWS($A$1:A12))</f>
        <v>12</v>
      </c>
      <c r="B16" s="26">
        <f>IF('Paste SD Data'!A13="","",'Paste SD Data'!A13)</f>
        <v>1</v>
      </c>
      <c r="C16" s="26" t="str">
        <f>IF('Paste SD Data'!B13="","",'Paste SD Data'!B13)</f>
        <v>A</v>
      </c>
      <c r="D16" s="26">
        <f>IF('Paste SD Data'!C13="","",'Paste SD Data'!C13)</f>
        <v>13860</v>
      </c>
      <c r="E16" s="27" t="str">
        <f>IF('Paste SD Data'!E13="","",UPPER('Paste SD Data'!E13))</f>
        <v>VIJAY KUMAR MALI</v>
      </c>
      <c r="F16" s="27" t="str">
        <f>IF('Paste SD Data'!G13="","",UPPER('Paste SD Data'!G13))</f>
        <v>VANNA LAL MALI</v>
      </c>
      <c r="G16" s="27" t="str">
        <f>IF('Paste SD Data'!H13="","",UPPER('Paste SD Data'!H13))</f>
        <v>MANJU DEVI</v>
      </c>
      <c r="H16" s="26" t="str">
        <f>IF('Paste SD Data'!I13="","",IF('Paste SD Data'!I13="M","BOY","GIRL"))</f>
        <v>BOY</v>
      </c>
      <c r="I16" s="28">
        <f>IF('Paste SD Data'!J13="","",'Paste SD Data'!J13)</f>
        <v>42690</v>
      </c>
      <c r="J16" s="34">
        <f t="shared" si="0"/>
        <v>112</v>
      </c>
      <c r="K16" s="29" t="str">
        <f>IF('Paste SD Data'!O13="","",'Paste SD Data'!O13)</f>
        <v>OBC</v>
      </c>
    </row>
    <row r="17" spans="1:11" ht="30" customHeight="1" x14ac:dyDescent="0.25">
      <c r="A17" s="25">
        <f>IF(Table1[[#This Row],[Name of Student]]="","",ROWS($A$1:A13))</f>
        <v>13</v>
      </c>
      <c r="B17" s="26">
        <f>IF('Paste SD Data'!A14="","",'Paste SD Data'!A14)</f>
        <v>1</v>
      </c>
      <c r="C17" s="26" t="str">
        <f>IF('Paste SD Data'!B14="","",'Paste SD Data'!B14)</f>
        <v>A</v>
      </c>
      <c r="D17" s="26">
        <f>IF('Paste SD Data'!C14="","",'Paste SD Data'!C14)</f>
        <v>13695</v>
      </c>
      <c r="E17" s="27" t="str">
        <f>IF('Paste SD Data'!E14="","",UPPER('Paste SD Data'!E14))</f>
        <v>VISHAL MALI</v>
      </c>
      <c r="F17" s="27" t="str">
        <f>IF('Paste SD Data'!G14="","",UPPER('Paste SD Data'!G14))</f>
        <v>RADHESHYAM MALI</v>
      </c>
      <c r="G17" s="27" t="str">
        <f>IF('Paste SD Data'!H14="","",UPPER('Paste SD Data'!H14))</f>
        <v>VARDI MALI</v>
      </c>
      <c r="H17" s="26" t="str">
        <f>IF('Paste SD Data'!I14="","",IF('Paste SD Data'!I14="M","BOY","GIRL"))</f>
        <v>BOY</v>
      </c>
      <c r="I17" s="28">
        <f>IF('Paste SD Data'!J14="","",'Paste SD Data'!J14)</f>
        <v>41379</v>
      </c>
      <c r="J17" s="34">
        <f t="shared" si="0"/>
        <v>113</v>
      </c>
      <c r="K17" s="29" t="str">
        <f>IF('Paste SD Data'!O14="","",'Paste SD Data'!O14)</f>
        <v>OBC</v>
      </c>
    </row>
    <row r="18" spans="1:11" ht="30" customHeight="1" x14ac:dyDescent="0.25">
      <c r="A18" s="25">
        <f>IF(Table1[[#This Row],[Name of Student]]="","",ROWS($A$1:A14))</f>
        <v>14</v>
      </c>
      <c r="B18" s="26">
        <f>IF('Paste SD Data'!A15="","",'Paste SD Data'!A15)</f>
        <v>1</v>
      </c>
      <c r="C18" s="26" t="str">
        <f>IF('Paste SD Data'!B15="","",'Paste SD Data'!B15)</f>
        <v>A</v>
      </c>
      <c r="D18" s="26">
        <f>IF('Paste SD Data'!C15="","",'Paste SD Data'!C15)</f>
        <v>13859</v>
      </c>
      <c r="E18" s="27" t="str">
        <f>IF('Paste SD Data'!E15="","",UPPER('Paste SD Data'!E15))</f>
        <v>YUVAN MALI</v>
      </c>
      <c r="F18" s="27" t="str">
        <f>IF('Paste SD Data'!G15="","",UPPER('Paste SD Data'!G15))</f>
        <v>MAHENDRA MALI</v>
      </c>
      <c r="G18" s="27" t="str">
        <f>IF('Paste SD Data'!H15="","",UPPER('Paste SD Data'!H15))</f>
        <v>NEELAM</v>
      </c>
      <c r="H18" s="26" t="str">
        <f>IF('Paste SD Data'!I15="","",IF('Paste SD Data'!I15="M","BOY","GIRL"))</f>
        <v>BOY</v>
      </c>
      <c r="I18" s="28">
        <f>IF('Paste SD Data'!J15="","",'Paste SD Data'!J15)</f>
        <v>42431</v>
      </c>
      <c r="J18" s="34">
        <f t="shared" si="0"/>
        <v>114</v>
      </c>
      <c r="K18" s="29" t="str">
        <f>IF('Paste SD Data'!O15="","",'Paste SD Data'!O15)</f>
        <v>OBC</v>
      </c>
    </row>
    <row r="19" spans="1:11" ht="30" customHeight="1" x14ac:dyDescent="0.25">
      <c r="A19" s="25">
        <f>IF(Table1[[#This Row],[Name of Student]]="","",ROWS($A$1:A15))</f>
        <v>15</v>
      </c>
      <c r="B19" s="26">
        <f>IF('Paste SD Data'!A16="","",'Paste SD Data'!A16)</f>
        <v>2</v>
      </c>
      <c r="C19" s="26" t="str">
        <f>IF('Paste SD Data'!B16="","",'Paste SD Data'!B16)</f>
        <v>A</v>
      </c>
      <c r="D19" s="26">
        <f>IF('Paste SD Data'!C16="","",'Paste SD Data'!C16)</f>
        <v>13548</v>
      </c>
      <c r="E19" s="27" t="str">
        <f>IF('Paste SD Data'!E16="","",UPPER('Paste SD Data'!E16))</f>
        <v>ANIL MALI</v>
      </c>
      <c r="F19" s="27" t="str">
        <f>IF('Paste SD Data'!G16="","",UPPER('Paste SD Data'!G16))</f>
        <v>GANPAT LAL MALI</v>
      </c>
      <c r="G19" s="27" t="str">
        <f>IF('Paste SD Data'!H16="","",UPPER('Paste SD Data'!H16))</f>
        <v>SANTU DEVI MALI</v>
      </c>
      <c r="H19" s="26" t="str">
        <f>IF('Paste SD Data'!I16="","",IF('Paste SD Data'!I16="M","BOY","GIRL"))</f>
        <v>BOY</v>
      </c>
      <c r="I19" s="28">
        <f>IF('Paste SD Data'!J16="","",'Paste SD Data'!J16)</f>
        <v>41622</v>
      </c>
      <c r="J19" s="34">
        <v>201</v>
      </c>
      <c r="K19" s="29" t="str">
        <f>IF('Paste SD Data'!O16="","",'Paste SD Data'!O16)</f>
        <v>OBC</v>
      </c>
    </row>
    <row r="20" spans="1:11" ht="30" customHeight="1" x14ac:dyDescent="0.25">
      <c r="A20" s="25">
        <f>IF(Table1[[#This Row],[Name of Student]]="","",ROWS($A$1:A16))</f>
        <v>16</v>
      </c>
      <c r="B20" s="26">
        <f>IF('Paste SD Data'!A17="","",'Paste SD Data'!A17)</f>
        <v>2</v>
      </c>
      <c r="C20" s="26" t="str">
        <f>IF('Paste SD Data'!B17="","",'Paste SD Data'!B17)</f>
        <v>A</v>
      </c>
      <c r="D20" s="26">
        <f>IF('Paste SD Data'!C17="","",'Paste SD Data'!C17)</f>
        <v>13612</v>
      </c>
      <c r="E20" s="27" t="str">
        <f>IF('Paste SD Data'!E17="","",UPPER('Paste SD Data'!E17))</f>
        <v>BHUPENDRA MALI</v>
      </c>
      <c r="F20" s="27" t="str">
        <f>IF('Paste SD Data'!G17="","",UPPER('Paste SD Data'!G17))</f>
        <v>LADU LAL MALI</v>
      </c>
      <c r="G20" s="27" t="str">
        <f>IF('Paste SD Data'!H17="","",UPPER('Paste SD Data'!H17))</f>
        <v>SEEMA MALI</v>
      </c>
      <c r="H20" s="26" t="str">
        <f>IF('Paste SD Data'!I17="","",IF('Paste SD Data'!I17="M","BOY","GIRL"))</f>
        <v>BOY</v>
      </c>
      <c r="I20" s="28">
        <f>IF('Paste SD Data'!J17="","",'Paste SD Data'!J17)</f>
        <v>41351</v>
      </c>
      <c r="J20" s="34">
        <f t="shared" si="0"/>
        <v>202</v>
      </c>
      <c r="K20" s="29" t="str">
        <f>IF('Paste SD Data'!O17="","",'Paste SD Data'!O17)</f>
        <v>OBC</v>
      </c>
    </row>
    <row r="21" spans="1:11" ht="30" customHeight="1" x14ac:dyDescent="0.25">
      <c r="A21" s="25">
        <f>IF(Table1[[#This Row],[Name of Student]]="","",ROWS($A$1:A17))</f>
        <v>17</v>
      </c>
      <c r="B21" s="26">
        <f>IF('Paste SD Data'!A18="","",'Paste SD Data'!A18)</f>
        <v>2</v>
      </c>
      <c r="C21" s="26" t="str">
        <f>IF('Paste SD Data'!B18="","",'Paste SD Data'!B18)</f>
        <v>A</v>
      </c>
      <c r="D21" s="26">
        <f>IF('Paste SD Data'!C18="","",'Paste SD Data'!C18)</f>
        <v>13634</v>
      </c>
      <c r="E21" s="27" t="str">
        <f>IF('Paste SD Data'!E18="","",UPPER('Paste SD Data'!E18))</f>
        <v>CHANDRAPRAKASH MALI</v>
      </c>
      <c r="F21" s="27" t="str">
        <f>IF('Paste SD Data'!G18="","",UPPER('Paste SD Data'!G18))</f>
        <v>VINOD KUMAR MALI</v>
      </c>
      <c r="G21" s="27" t="str">
        <f>IF('Paste SD Data'!H18="","",UPPER('Paste SD Data'!H18))</f>
        <v>MAMTA</v>
      </c>
      <c r="H21" s="26" t="str">
        <f>IF('Paste SD Data'!I18="","",IF('Paste SD Data'!I18="M","BOY","GIRL"))</f>
        <v>BOY</v>
      </c>
      <c r="I21" s="28">
        <f>IF('Paste SD Data'!J18="","",'Paste SD Data'!J18)</f>
        <v>42239</v>
      </c>
      <c r="J21" s="34">
        <f t="shared" si="0"/>
        <v>203</v>
      </c>
      <c r="K21" s="29" t="str">
        <f>IF('Paste SD Data'!O18="","",'Paste SD Data'!O18)</f>
        <v>OBC</v>
      </c>
    </row>
    <row r="22" spans="1:11" ht="30" customHeight="1" x14ac:dyDescent="0.25">
      <c r="A22" s="25">
        <f>IF(Table1[[#This Row],[Name of Student]]="","",ROWS($A$1:A18))</f>
        <v>18</v>
      </c>
      <c r="B22" s="26">
        <f>IF('Paste SD Data'!A19="","",'Paste SD Data'!A19)</f>
        <v>2</v>
      </c>
      <c r="C22" s="26" t="str">
        <f>IF('Paste SD Data'!B19="","",'Paste SD Data'!B19)</f>
        <v>A</v>
      </c>
      <c r="D22" s="26">
        <f>IF('Paste SD Data'!C19="","",'Paste SD Data'!C19)</f>
        <v>13622</v>
      </c>
      <c r="E22" s="27" t="str">
        <f>IF('Paste SD Data'!E19="","",UPPER('Paste SD Data'!E19))</f>
        <v>DIVYA</v>
      </c>
      <c r="F22" s="27" t="str">
        <f>IF('Paste SD Data'!G19="","",UPPER('Paste SD Data'!G19))</f>
        <v>ROSHAN LAL</v>
      </c>
      <c r="G22" s="27" t="str">
        <f>IF('Paste SD Data'!H19="","",UPPER('Paste SD Data'!H19))</f>
        <v>PUSHPA</v>
      </c>
      <c r="H22" s="26" t="str">
        <f>IF('Paste SD Data'!I19="","",IF('Paste SD Data'!I19="M","BOY","GIRL"))</f>
        <v>GIRL</v>
      </c>
      <c r="I22" s="28">
        <f>IF('Paste SD Data'!J19="","",'Paste SD Data'!J19)</f>
        <v>41255</v>
      </c>
      <c r="J22" s="34">
        <f t="shared" si="0"/>
        <v>204</v>
      </c>
      <c r="K22" s="29" t="str">
        <f>IF('Paste SD Data'!O19="","",'Paste SD Data'!O19)</f>
        <v>OBC</v>
      </c>
    </row>
    <row r="23" spans="1:11" ht="30" customHeight="1" x14ac:dyDescent="0.25">
      <c r="A23" s="25">
        <f>IF(Table1[[#This Row],[Name of Student]]="","",ROWS($A$1:A19))</f>
        <v>19</v>
      </c>
      <c r="B23" s="26">
        <f>IF('Paste SD Data'!A20="","",'Paste SD Data'!A20)</f>
        <v>2</v>
      </c>
      <c r="C23" s="26" t="str">
        <f>IF('Paste SD Data'!B20="","",'Paste SD Data'!B20)</f>
        <v>A</v>
      </c>
      <c r="D23" s="26">
        <f>IF('Paste SD Data'!C20="","",'Paste SD Data'!C20)</f>
        <v>13648</v>
      </c>
      <c r="E23" s="27" t="str">
        <f>IF('Paste SD Data'!E20="","",UPPER('Paste SD Data'!E20))</f>
        <v>HARSH MALI</v>
      </c>
      <c r="F23" s="27" t="str">
        <f>IF('Paste SD Data'!G20="","",UPPER('Paste SD Data'!G20))</f>
        <v>KANHAIYA LAL MALI</v>
      </c>
      <c r="G23" s="27" t="str">
        <f>IF('Paste SD Data'!H20="","",UPPER('Paste SD Data'!H20))</f>
        <v>SUSHILA DEVI</v>
      </c>
      <c r="H23" s="26" t="str">
        <f>IF('Paste SD Data'!I20="","",IF('Paste SD Data'!I20="M","BOY","GIRL"))</f>
        <v>BOY</v>
      </c>
      <c r="I23" s="28">
        <f>IF('Paste SD Data'!J20="","",'Paste SD Data'!J20)</f>
        <v>41191</v>
      </c>
      <c r="J23" s="34">
        <f t="shared" si="0"/>
        <v>205</v>
      </c>
      <c r="K23" s="29" t="str">
        <f>IF('Paste SD Data'!O20="","",'Paste SD Data'!O20)</f>
        <v>OBC</v>
      </c>
    </row>
    <row r="24" spans="1:11" ht="30" customHeight="1" x14ac:dyDescent="0.25">
      <c r="A24" s="25">
        <f>IF(Table1[[#This Row],[Name of Student]]="","",ROWS($A$1:A20))</f>
        <v>20</v>
      </c>
      <c r="B24" s="26">
        <f>IF('Paste SD Data'!A21="","",'Paste SD Data'!A21)</f>
        <v>2</v>
      </c>
      <c r="C24" s="26" t="str">
        <f>IF('Paste SD Data'!B21="","",'Paste SD Data'!B21)</f>
        <v>A</v>
      </c>
      <c r="D24" s="26">
        <f>IF('Paste SD Data'!C21="","",'Paste SD Data'!C21)</f>
        <v>13943</v>
      </c>
      <c r="E24" s="27" t="str">
        <f>IF('Paste SD Data'!E21="","",UPPER('Paste SD Data'!E21))</f>
        <v>HARSHITA</v>
      </c>
      <c r="F24" s="27" t="str">
        <f>IF('Paste SD Data'!G21="","",UPPER('Paste SD Data'!G21))</f>
        <v>PANNA LAL SUTHAR</v>
      </c>
      <c r="G24" s="27" t="str">
        <f>IF('Paste SD Data'!H21="","",UPPER('Paste SD Data'!H21))</f>
        <v>MEENA DEVI</v>
      </c>
      <c r="H24" s="26" t="str">
        <f>IF('Paste SD Data'!I21="","",IF('Paste SD Data'!I21="M","BOY","GIRL"))</f>
        <v>GIRL</v>
      </c>
      <c r="I24" s="28">
        <f>IF('Paste SD Data'!J21="","",'Paste SD Data'!J21)</f>
        <v>41547</v>
      </c>
      <c r="J24" s="34">
        <f t="shared" si="0"/>
        <v>206</v>
      </c>
      <c r="K24" s="29" t="str">
        <f>IF('Paste SD Data'!O21="","",'Paste SD Data'!O21)</f>
        <v>OBC</v>
      </c>
    </row>
    <row r="25" spans="1:11" ht="30" customHeight="1" x14ac:dyDescent="0.25">
      <c r="A25" s="25">
        <f>IF(Table1[[#This Row],[Name of Student]]="","",ROWS($A$1:A21))</f>
        <v>21</v>
      </c>
      <c r="B25" s="26">
        <f>IF('Paste SD Data'!A22="","",'Paste SD Data'!A22)</f>
        <v>2</v>
      </c>
      <c r="C25" s="26" t="str">
        <f>IF('Paste SD Data'!B22="","",'Paste SD Data'!B22)</f>
        <v>A</v>
      </c>
      <c r="D25" s="26">
        <f>IF('Paste SD Data'!C22="","",'Paste SD Data'!C22)</f>
        <v>13575</v>
      </c>
      <c r="E25" s="27" t="str">
        <f>IF('Paste SD Data'!E22="","",UPPER('Paste SD Data'!E22))</f>
        <v>IRSHAD</v>
      </c>
      <c r="F25" s="27" t="str">
        <f>IF('Paste SD Data'!G22="","",UPPER('Paste SD Data'!G22))</f>
        <v>TAHIR MOHAMMAD</v>
      </c>
      <c r="G25" s="27" t="str">
        <f>IF('Paste SD Data'!H22="","",UPPER('Paste SD Data'!H22))</f>
        <v>SMA BANU SHEKH</v>
      </c>
      <c r="H25" s="26" t="str">
        <f>IF('Paste SD Data'!I22="","",IF('Paste SD Data'!I22="M","BOY","GIRL"))</f>
        <v>BOY</v>
      </c>
      <c r="I25" s="28">
        <f>IF('Paste SD Data'!J22="","",'Paste SD Data'!J22)</f>
        <v>42037</v>
      </c>
      <c r="J25" s="34">
        <f t="shared" si="0"/>
        <v>207</v>
      </c>
      <c r="K25" s="29" t="str">
        <f>IF('Paste SD Data'!O22="","",'Paste SD Data'!O22)</f>
        <v>GEN</v>
      </c>
    </row>
    <row r="26" spans="1:11" ht="30" customHeight="1" x14ac:dyDescent="0.25">
      <c r="A26" s="25">
        <f>IF(Table1[[#This Row],[Name of Student]]="","",ROWS($A$1:A22))</f>
        <v>22</v>
      </c>
      <c r="B26" s="26">
        <f>IF('Paste SD Data'!A23="","",'Paste SD Data'!A23)</f>
        <v>2</v>
      </c>
      <c r="C26" s="26" t="str">
        <f>IF('Paste SD Data'!B23="","",'Paste SD Data'!B23)</f>
        <v>A</v>
      </c>
      <c r="D26" s="26">
        <f>IF('Paste SD Data'!C23="","",'Paste SD Data'!C23)</f>
        <v>13602</v>
      </c>
      <c r="E26" s="27" t="str">
        <f>IF('Paste SD Data'!E23="","",UPPER('Paste SD Data'!E23))</f>
        <v>KAMAL MALI</v>
      </c>
      <c r="F26" s="27" t="str">
        <f>IF('Paste SD Data'!G23="","",UPPER('Paste SD Data'!G23))</f>
        <v>KALU LAL MALI</v>
      </c>
      <c r="G26" s="27" t="str">
        <f>IF('Paste SD Data'!H23="","",UPPER('Paste SD Data'!H23))</f>
        <v>SUSHILA DEVI MALI</v>
      </c>
      <c r="H26" s="26" t="str">
        <f>IF('Paste SD Data'!I23="","",IF('Paste SD Data'!I23="M","BOY","GIRL"))</f>
        <v>BOY</v>
      </c>
      <c r="I26" s="28">
        <f>IF('Paste SD Data'!J23="","",'Paste SD Data'!J23)</f>
        <v>41724</v>
      </c>
      <c r="J26" s="34">
        <f t="shared" si="0"/>
        <v>208</v>
      </c>
      <c r="K26" s="29" t="str">
        <f>IF('Paste SD Data'!O23="","",'Paste SD Data'!O23)</f>
        <v>OBC</v>
      </c>
    </row>
    <row r="27" spans="1:11" ht="30" customHeight="1" x14ac:dyDescent="0.25">
      <c r="A27" s="25">
        <f>IF(Table1[[#This Row],[Name of Student]]="","",ROWS($A$1:A23))</f>
        <v>23</v>
      </c>
      <c r="B27" s="26">
        <f>IF('Paste SD Data'!A24="","",'Paste SD Data'!A24)</f>
        <v>2</v>
      </c>
      <c r="C27" s="26" t="str">
        <f>IF('Paste SD Data'!B24="","",'Paste SD Data'!B24)</f>
        <v>A</v>
      </c>
      <c r="D27" s="26">
        <f>IF('Paste SD Data'!C24="","",'Paste SD Data'!C24)</f>
        <v>13633</v>
      </c>
      <c r="E27" s="27" t="str">
        <f>IF('Paste SD Data'!E24="","",UPPER('Paste SD Data'!E24))</f>
        <v>MUKESH MALI</v>
      </c>
      <c r="F27" s="27" t="str">
        <f>IF('Paste SD Data'!G24="","",UPPER('Paste SD Data'!G24))</f>
        <v>JAGDISH MALI</v>
      </c>
      <c r="G27" s="27" t="str">
        <f>IF('Paste SD Data'!H24="","",UPPER('Paste SD Data'!H24))</f>
        <v>SONA MALI</v>
      </c>
      <c r="H27" s="26" t="str">
        <f>IF('Paste SD Data'!I24="","",IF('Paste SD Data'!I24="M","BOY","GIRL"))</f>
        <v>BOY</v>
      </c>
      <c r="I27" s="28">
        <f>IF('Paste SD Data'!J24="","",'Paste SD Data'!J24)</f>
        <v>42138</v>
      </c>
      <c r="J27" s="34">
        <f t="shared" si="0"/>
        <v>209</v>
      </c>
      <c r="K27" s="29" t="str">
        <f>IF('Paste SD Data'!O24="","",'Paste SD Data'!O24)</f>
        <v>OBC</v>
      </c>
    </row>
    <row r="28" spans="1:11" ht="30" customHeight="1" x14ac:dyDescent="0.25">
      <c r="A28" s="25">
        <f>IF(Table1[[#This Row],[Name of Student]]="","",ROWS($A$1:A24))</f>
        <v>24</v>
      </c>
      <c r="B28" s="26">
        <f>IF('Paste SD Data'!A25="","",'Paste SD Data'!A25)</f>
        <v>2</v>
      </c>
      <c r="C28" s="26" t="str">
        <f>IF('Paste SD Data'!B25="","",'Paste SD Data'!B25)</f>
        <v>A</v>
      </c>
      <c r="D28" s="26">
        <f>IF('Paste SD Data'!C25="","",'Paste SD Data'!C25)</f>
        <v>13594</v>
      </c>
      <c r="E28" s="27" t="str">
        <f>IF('Paste SD Data'!E25="","",UPPER('Paste SD Data'!E25))</f>
        <v>PANKAJ REGAR</v>
      </c>
      <c r="F28" s="27" t="str">
        <f>IF('Paste SD Data'!G25="","",UPPER('Paste SD Data'!G25))</f>
        <v>LAXMAN LAL REGAR</v>
      </c>
      <c r="G28" s="27" t="str">
        <f>IF('Paste SD Data'!H25="","",UPPER('Paste SD Data'!H25))</f>
        <v>KAMLA DEVI</v>
      </c>
      <c r="H28" s="26" t="str">
        <f>IF('Paste SD Data'!I25="","",IF('Paste SD Data'!I25="M","BOY","GIRL"))</f>
        <v>BOY</v>
      </c>
      <c r="I28" s="28">
        <f>IF('Paste SD Data'!J25="","",'Paste SD Data'!J25)</f>
        <v>41791</v>
      </c>
      <c r="J28" s="34">
        <f t="shared" si="0"/>
        <v>210</v>
      </c>
      <c r="K28" s="29" t="str">
        <f>IF('Paste SD Data'!O25="","",'Paste SD Data'!O25)</f>
        <v>SC</v>
      </c>
    </row>
    <row r="29" spans="1:11" ht="30" customHeight="1" x14ac:dyDescent="0.25">
      <c r="A29" s="25">
        <f>IF(Table1[[#This Row],[Name of Student]]="","",ROWS($A$1:A25))</f>
        <v>25</v>
      </c>
      <c r="B29" s="26">
        <f>IF('Paste SD Data'!A26="","",'Paste SD Data'!A26)</f>
        <v>2</v>
      </c>
      <c r="C29" s="26" t="str">
        <f>IF('Paste SD Data'!B26="","",'Paste SD Data'!B26)</f>
        <v>A</v>
      </c>
      <c r="D29" s="26">
        <f>IF('Paste SD Data'!C26="","",'Paste SD Data'!C26)</f>
        <v>13590</v>
      </c>
      <c r="E29" s="27" t="str">
        <f>IF('Paste SD Data'!E26="","",UPPER('Paste SD Data'!E26))</f>
        <v>PIYUSH SEN</v>
      </c>
      <c r="F29" s="27" t="str">
        <f>IF('Paste SD Data'!G26="","",UPPER('Paste SD Data'!G26))</f>
        <v>MAHENDRA KUMAR SEN</v>
      </c>
      <c r="G29" s="27" t="str">
        <f>IF('Paste SD Data'!H26="","",UPPER('Paste SD Data'!H26))</f>
        <v>BHAGWATI DEVI</v>
      </c>
      <c r="H29" s="26" t="str">
        <f>IF('Paste SD Data'!I26="","",IF('Paste SD Data'!I26="M","BOY","GIRL"))</f>
        <v>BOY</v>
      </c>
      <c r="I29" s="28">
        <f>IF('Paste SD Data'!J26="","",'Paste SD Data'!J26)</f>
        <v>41360</v>
      </c>
      <c r="J29" s="34">
        <f t="shared" si="0"/>
        <v>211</v>
      </c>
      <c r="K29" s="29" t="str">
        <f>IF('Paste SD Data'!O26="","",'Paste SD Data'!O26)</f>
        <v>OBC</v>
      </c>
    </row>
    <row r="30" spans="1:11" ht="30" customHeight="1" x14ac:dyDescent="0.25">
      <c r="A30" s="25">
        <f>IF(Table1[[#This Row],[Name of Student]]="","",ROWS($A$1:A26))</f>
        <v>26</v>
      </c>
      <c r="B30" s="26">
        <f>IF('Paste SD Data'!A27="","",'Paste SD Data'!A27)</f>
        <v>2</v>
      </c>
      <c r="C30" s="26" t="str">
        <f>IF('Paste SD Data'!B27="","",'Paste SD Data'!B27)</f>
        <v>A</v>
      </c>
      <c r="D30" s="26">
        <f>IF('Paste SD Data'!C27="","",'Paste SD Data'!C27)</f>
        <v>13674</v>
      </c>
      <c r="E30" s="27" t="str">
        <f>IF('Paste SD Data'!E27="","",UPPER('Paste SD Data'!E27))</f>
        <v>POOJA MALI</v>
      </c>
      <c r="F30" s="27" t="str">
        <f>IF('Paste SD Data'!G27="","",UPPER('Paste SD Data'!G27))</f>
        <v>BABU LAL MALI</v>
      </c>
      <c r="G30" s="27" t="str">
        <f>IF('Paste SD Data'!H27="","",UPPER('Paste SD Data'!H27))</f>
        <v>LALI</v>
      </c>
      <c r="H30" s="26" t="str">
        <f>IF('Paste SD Data'!I27="","",IF('Paste SD Data'!I27="M","BOY","GIRL"))</f>
        <v>GIRL</v>
      </c>
      <c r="I30" s="28">
        <f>IF('Paste SD Data'!J27="","",'Paste SD Data'!J27)</f>
        <v>41722</v>
      </c>
      <c r="J30" s="34">
        <f t="shared" si="0"/>
        <v>212</v>
      </c>
      <c r="K30" s="29" t="str">
        <f>IF('Paste SD Data'!O27="","",'Paste SD Data'!O27)</f>
        <v>OBC</v>
      </c>
    </row>
    <row r="31" spans="1:11" ht="30" customHeight="1" x14ac:dyDescent="0.25">
      <c r="A31" s="25">
        <f>IF(Table1[[#This Row],[Name of Student]]="","",ROWS($A$1:A27))</f>
        <v>27</v>
      </c>
      <c r="B31" s="26">
        <f>IF('Paste SD Data'!A28="","",'Paste SD Data'!A28)</f>
        <v>2</v>
      </c>
      <c r="C31" s="26" t="str">
        <f>IF('Paste SD Data'!B28="","",'Paste SD Data'!B28)</f>
        <v>A</v>
      </c>
      <c r="D31" s="26">
        <f>IF('Paste SD Data'!C28="","",'Paste SD Data'!C28)</f>
        <v>13637</v>
      </c>
      <c r="E31" s="27" t="str">
        <f>IF('Paste SD Data'!E28="","",UPPER('Paste SD Data'!E28))</f>
        <v>PURNIMA MALI</v>
      </c>
      <c r="F31" s="27" t="str">
        <f>IF('Paste SD Data'!G28="","",UPPER('Paste SD Data'!G28))</f>
        <v>SUNIL MALI</v>
      </c>
      <c r="G31" s="27" t="str">
        <f>IF('Paste SD Data'!H28="","",UPPER('Paste SD Data'!H28))</f>
        <v>MEENA DEVI</v>
      </c>
      <c r="H31" s="26" t="str">
        <f>IF('Paste SD Data'!I28="","",IF('Paste SD Data'!I28="M","BOY","GIRL"))</f>
        <v>GIRL</v>
      </c>
      <c r="I31" s="28">
        <f>IF('Paste SD Data'!J28="","",'Paste SD Data'!J28)</f>
        <v>41773</v>
      </c>
      <c r="J31" s="34">
        <f t="shared" si="0"/>
        <v>213</v>
      </c>
      <c r="K31" s="29" t="str">
        <f>IF('Paste SD Data'!O28="","",'Paste SD Data'!O28)</f>
        <v>OBC</v>
      </c>
    </row>
    <row r="32" spans="1:11" ht="30" customHeight="1" x14ac:dyDescent="0.25">
      <c r="A32" s="25">
        <f>IF(Table1[[#This Row],[Name of Student]]="","",ROWS($A$1:A28))</f>
        <v>28</v>
      </c>
      <c r="B32" s="26">
        <f>IF('Paste SD Data'!A29="","",'Paste SD Data'!A29)</f>
        <v>2</v>
      </c>
      <c r="C32" s="26" t="str">
        <f>IF('Paste SD Data'!B29="","",'Paste SD Data'!B29)</f>
        <v>A</v>
      </c>
      <c r="D32" s="26">
        <f>IF('Paste SD Data'!C29="","",'Paste SD Data'!C29)</f>
        <v>13651</v>
      </c>
      <c r="E32" s="27" t="str">
        <f>IF('Paste SD Data'!E29="","",UPPER('Paste SD Data'!E29))</f>
        <v>RADHIKA MALI</v>
      </c>
      <c r="F32" s="27" t="str">
        <f>IF('Paste SD Data'!G29="","",UPPER('Paste SD Data'!G29))</f>
        <v>MUKESH MALI</v>
      </c>
      <c r="G32" s="27" t="str">
        <f>IF('Paste SD Data'!H29="","",UPPER('Paste SD Data'!H29))</f>
        <v>RESHMA</v>
      </c>
      <c r="H32" s="26" t="str">
        <f>IF('Paste SD Data'!I29="","",IF('Paste SD Data'!I29="M","BOY","GIRL"))</f>
        <v>GIRL</v>
      </c>
      <c r="I32" s="28">
        <f>IF('Paste SD Data'!J29="","",'Paste SD Data'!J29)</f>
        <v>42346</v>
      </c>
      <c r="J32" s="34">
        <f t="shared" si="0"/>
        <v>214</v>
      </c>
      <c r="K32" s="29" t="str">
        <f>IF('Paste SD Data'!O29="","",'Paste SD Data'!O29)</f>
        <v>OBC</v>
      </c>
    </row>
    <row r="33" spans="1:11" ht="30" customHeight="1" x14ac:dyDescent="0.25">
      <c r="A33" s="25">
        <f>IF(Table1[[#This Row],[Name of Student]]="","",ROWS($A$1:A29))</f>
        <v>29</v>
      </c>
      <c r="B33" s="26">
        <f>IF('Paste SD Data'!A30="","",'Paste SD Data'!A30)</f>
        <v>2</v>
      </c>
      <c r="C33" s="26" t="str">
        <f>IF('Paste SD Data'!B30="","",'Paste SD Data'!B30)</f>
        <v>A</v>
      </c>
      <c r="D33" s="26">
        <f>IF('Paste SD Data'!C30="","",'Paste SD Data'!C30)</f>
        <v>13585</v>
      </c>
      <c r="E33" s="27" t="str">
        <f>IF('Paste SD Data'!E30="","",UPPER('Paste SD Data'!E30))</f>
        <v>SIDARTH KUMAR SEN</v>
      </c>
      <c r="F33" s="27" t="str">
        <f>IF('Paste SD Data'!G30="","",UPPER('Paste SD Data'!G30))</f>
        <v>PRADEEP KUMAR SEN</v>
      </c>
      <c r="G33" s="27" t="str">
        <f>IF('Paste SD Data'!H30="","",UPPER('Paste SD Data'!H30))</f>
        <v>POOJA DEVI</v>
      </c>
      <c r="H33" s="26" t="str">
        <f>IF('Paste SD Data'!I30="","",IF('Paste SD Data'!I30="M","BOY","GIRL"))</f>
        <v>BOY</v>
      </c>
      <c r="I33" s="28">
        <f>IF('Paste SD Data'!J30="","",'Paste SD Data'!J30)</f>
        <v>42109</v>
      </c>
      <c r="J33" s="34">
        <f t="shared" si="0"/>
        <v>215</v>
      </c>
      <c r="K33" s="29" t="str">
        <f>IF('Paste SD Data'!O30="","",'Paste SD Data'!O30)</f>
        <v>OBC</v>
      </c>
    </row>
    <row r="34" spans="1:11" ht="30" customHeight="1" x14ac:dyDescent="0.25">
      <c r="A34" s="25">
        <f>IF(Table1[[#This Row],[Name of Student]]="","",ROWS($A$1:A30))</f>
        <v>30</v>
      </c>
      <c r="B34" s="26">
        <f>IF('Paste SD Data'!A31="","",'Paste SD Data'!A31)</f>
        <v>2</v>
      </c>
      <c r="C34" s="26" t="str">
        <f>IF('Paste SD Data'!B31="","",'Paste SD Data'!B31)</f>
        <v>A</v>
      </c>
      <c r="D34" s="26">
        <f>IF('Paste SD Data'!C31="","",'Paste SD Data'!C31)</f>
        <v>13611</v>
      </c>
      <c r="E34" s="27" t="str">
        <f>IF('Paste SD Data'!E31="","",UPPER('Paste SD Data'!E31))</f>
        <v>SIDDHI SEN</v>
      </c>
      <c r="F34" s="27" t="str">
        <f>IF('Paste SD Data'!G31="","",UPPER('Paste SD Data'!G31))</f>
        <v>PRAHALAD SEN</v>
      </c>
      <c r="G34" s="27" t="str">
        <f>IF('Paste SD Data'!H31="","",UPPER('Paste SD Data'!H31))</f>
        <v>MEETU SEN</v>
      </c>
      <c r="H34" s="26" t="str">
        <f>IF('Paste SD Data'!I31="","",IF('Paste SD Data'!I31="M","BOY","GIRL"))</f>
        <v>GIRL</v>
      </c>
      <c r="I34" s="28">
        <f>IF('Paste SD Data'!J31="","",'Paste SD Data'!J31)</f>
        <v>41726</v>
      </c>
      <c r="J34" s="34">
        <f t="shared" si="0"/>
        <v>216</v>
      </c>
      <c r="K34" s="29" t="str">
        <f>IF('Paste SD Data'!O31="","",'Paste SD Data'!O31)</f>
        <v>OBC</v>
      </c>
    </row>
    <row r="35" spans="1:11" ht="30" customHeight="1" x14ac:dyDescent="0.25">
      <c r="A35" s="25">
        <f>IF(Table1[[#This Row],[Name of Student]]="","",ROWS($A$1:A31))</f>
        <v>31</v>
      </c>
      <c r="B35" s="26">
        <f>IF('Paste SD Data'!A32="","",'Paste SD Data'!A32)</f>
        <v>2</v>
      </c>
      <c r="C35" s="26" t="str">
        <f>IF('Paste SD Data'!B32="","",'Paste SD Data'!B32)</f>
        <v>A</v>
      </c>
      <c r="D35" s="26">
        <f>IF('Paste SD Data'!C32="","",'Paste SD Data'!C32)</f>
        <v>13595</v>
      </c>
      <c r="E35" s="27" t="str">
        <f>IF('Paste SD Data'!E32="","",UPPER('Paste SD Data'!E32))</f>
        <v>TARUN JALLIYA</v>
      </c>
      <c r="F35" s="27" t="str">
        <f>IF('Paste SD Data'!G32="","",UPPER('Paste SD Data'!G32))</f>
        <v>MAHENDRA KUMAR REGAR</v>
      </c>
      <c r="G35" s="27" t="str">
        <f>IF('Paste SD Data'!H32="","",UPPER('Paste SD Data'!H32))</f>
        <v>MANJU</v>
      </c>
      <c r="H35" s="26" t="str">
        <f>IF('Paste SD Data'!I32="","",IF('Paste SD Data'!I32="M","BOY","GIRL"))</f>
        <v>BOY</v>
      </c>
      <c r="I35" s="28">
        <f>IF('Paste SD Data'!J32="","",'Paste SD Data'!J32)</f>
        <v>41609</v>
      </c>
      <c r="J35" s="34">
        <f t="shared" si="0"/>
        <v>217</v>
      </c>
      <c r="K35" s="29" t="str">
        <f>IF('Paste SD Data'!O32="","",'Paste SD Data'!O32)</f>
        <v>SC</v>
      </c>
    </row>
    <row r="36" spans="1:11" ht="30" customHeight="1" x14ac:dyDescent="0.25">
      <c r="A36" s="25">
        <f>IF(Table1[[#This Row],[Name of Student]]="","",ROWS($A$1:A32))</f>
        <v>32</v>
      </c>
      <c r="B36" s="26">
        <f>IF('Paste SD Data'!A33="","",'Paste SD Data'!A33)</f>
        <v>3</v>
      </c>
      <c r="C36" s="26" t="str">
        <f>IF('Paste SD Data'!B33="","",'Paste SD Data'!B33)</f>
        <v>A</v>
      </c>
      <c r="D36" s="26">
        <f>IF('Paste SD Data'!C33="","",'Paste SD Data'!C33)</f>
        <v>13641</v>
      </c>
      <c r="E36" s="27" t="str">
        <f>IF('Paste SD Data'!E33="","",UPPER('Paste SD Data'!E33))</f>
        <v>BHAWNA MALI</v>
      </c>
      <c r="F36" s="27" t="str">
        <f>IF('Paste SD Data'!G33="","",UPPER('Paste SD Data'!G33))</f>
        <v>VANNA LAL MALI</v>
      </c>
      <c r="G36" s="27" t="str">
        <f>IF('Paste SD Data'!H33="","",UPPER('Paste SD Data'!H33))</f>
        <v>MANJU</v>
      </c>
      <c r="H36" s="26" t="str">
        <f>IF('Paste SD Data'!I33="","",IF('Paste SD Data'!I33="M","BOY","GIRL"))</f>
        <v>GIRL</v>
      </c>
      <c r="I36" s="28">
        <f>IF('Paste SD Data'!J33="","",'Paste SD Data'!J33)</f>
        <v>41695</v>
      </c>
      <c r="J36" s="34">
        <v>301</v>
      </c>
      <c r="K36" s="29" t="str">
        <f>IF('Paste SD Data'!O33="","",'Paste SD Data'!O33)</f>
        <v>OBC</v>
      </c>
    </row>
    <row r="37" spans="1:11" ht="30" customHeight="1" x14ac:dyDescent="0.25">
      <c r="A37" s="25">
        <f>IF(Table1[[#This Row],[Name of Student]]="","",ROWS($A$1:A33))</f>
        <v>33</v>
      </c>
      <c r="B37" s="26">
        <f>IF('Paste SD Data'!A34="","",'Paste SD Data'!A34)</f>
        <v>3</v>
      </c>
      <c r="C37" s="26" t="str">
        <f>IF('Paste SD Data'!B34="","",'Paste SD Data'!B34)</f>
        <v>A</v>
      </c>
      <c r="D37" s="26">
        <f>IF('Paste SD Data'!C34="","",'Paste SD Data'!C34)</f>
        <v>13650</v>
      </c>
      <c r="E37" s="27" t="str">
        <f>IF('Paste SD Data'!E34="","",UPPER('Paste SD Data'!E34))</f>
        <v>BHUMIKA MALI</v>
      </c>
      <c r="F37" s="27" t="str">
        <f>IF('Paste SD Data'!G34="","",UPPER('Paste SD Data'!G34))</f>
        <v>RAMESH CHANDRA MALI</v>
      </c>
      <c r="G37" s="27" t="str">
        <f>IF('Paste SD Data'!H34="","",UPPER('Paste SD Data'!H34))</f>
        <v>SUSHILA</v>
      </c>
      <c r="H37" s="26" t="str">
        <f>IF('Paste SD Data'!I34="","",IF('Paste SD Data'!I34="M","BOY","GIRL"))</f>
        <v>GIRL</v>
      </c>
      <c r="I37" s="28">
        <f>IF('Paste SD Data'!J34="","",'Paste SD Data'!J34)</f>
        <v>41804</v>
      </c>
      <c r="J37" s="34">
        <f t="shared" si="0"/>
        <v>302</v>
      </c>
      <c r="K37" s="29" t="str">
        <f>IF('Paste SD Data'!O34="","",'Paste SD Data'!O34)</f>
        <v>OBC</v>
      </c>
    </row>
    <row r="38" spans="1:11" ht="30" customHeight="1" x14ac:dyDescent="0.25">
      <c r="A38" s="25">
        <f>IF(Table1[[#This Row],[Name of Student]]="","",ROWS($A$1:A34))</f>
        <v>34</v>
      </c>
      <c r="B38" s="26">
        <f>IF('Paste SD Data'!A35="","",'Paste SD Data'!A35)</f>
        <v>3</v>
      </c>
      <c r="C38" s="26" t="str">
        <f>IF('Paste SD Data'!B35="","",'Paste SD Data'!B35)</f>
        <v>A</v>
      </c>
      <c r="D38" s="26">
        <f>IF('Paste SD Data'!C35="","",'Paste SD Data'!C35)</f>
        <v>13626</v>
      </c>
      <c r="E38" s="27" t="str">
        <f>IF('Paste SD Data'!E35="","",UPPER('Paste SD Data'!E35))</f>
        <v>BHUPENDRA MALI</v>
      </c>
      <c r="F38" s="27" t="str">
        <f>IF('Paste SD Data'!G35="","",UPPER('Paste SD Data'!G35))</f>
        <v>LAHRI LAL MALI</v>
      </c>
      <c r="G38" s="27" t="str">
        <f>IF('Paste SD Data'!H35="","",UPPER('Paste SD Data'!H35))</f>
        <v>MANJU DEVI</v>
      </c>
      <c r="H38" s="26" t="str">
        <f>IF('Paste SD Data'!I35="","",IF('Paste SD Data'!I35="M","BOY","GIRL"))</f>
        <v>BOY</v>
      </c>
      <c r="I38" s="28">
        <f>IF('Paste SD Data'!J35="","",'Paste SD Data'!J35)</f>
        <v>41476</v>
      </c>
      <c r="J38" s="34">
        <f t="shared" si="0"/>
        <v>303</v>
      </c>
      <c r="K38" s="29" t="str">
        <f>IF('Paste SD Data'!O35="","",'Paste SD Data'!O35)</f>
        <v>OBC</v>
      </c>
    </row>
    <row r="39" spans="1:11" ht="30" customHeight="1" x14ac:dyDescent="0.25">
      <c r="A39" s="25">
        <f>IF(Table1[[#This Row],[Name of Student]]="","",ROWS($A$1:A35))</f>
        <v>35</v>
      </c>
      <c r="B39" s="26">
        <f>IF('Paste SD Data'!A36="","",'Paste SD Data'!A36)</f>
        <v>3</v>
      </c>
      <c r="C39" s="26" t="str">
        <f>IF('Paste SD Data'!B36="","",'Paste SD Data'!B36)</f>
        <v>A</v>
      </c>
      <c r="D39" s="26">
        <f>IF('Paste SD Data'!C36="","",'Paste SD Data'!C36)</f>
        <v>13639</v>
      </c>
      <c r="E39" s="27" t="str">
        <f>IF('Paste SD Data'!E36="","",UPPER('Paste SD Data'!E36))</f>
        <v>DEEPAK MALI</v>
      </c>
      <c r="F39" s="27" t="str">
        <f>IF('Paste SD Data'!G36="","",UPPER('Paste SD Data'!G36))</f>
        <v>VINOD MALI</v>
      </c>
      <c r="G39" s="27" t="str">
        <f>IF('Paste SD Data'!H36="","",UPPER('Paste SD Data'!H36))</f>
        <v>CHANDRIKA MALI</v>
      </c>
      <c r="H39" s="26" t="str">
        <f>IF('Paste SD Data'!I36="","",IF('Paste SD Data'!I36="M","BOY","GIRL"))</f>
        <v>BOY</v>
      </c>
      <c r="I39" s="28">
        <f>IF('Paste SD Data'!J36="","",'Paste SD Data'!J36)</f>
        <v>41231</v>
      </c>
      <c r="J39" s="34">
        <f t="shared" si="0"/>
        <v>304</v>
      </c>
      <c r="K39" s="29" t="str">
        <f>IF('Paste SD Data'!O36="","",'Paste SD Data'!O36)</f>
        <v>OBC</v>
      </c>
    </row>
    <row r="40" spans="1:11" ht="30" customHeight="1" x14ac:dyDescent="0.25">
      <c r="A40" s="25">
        <f>IF(Table1[[#This Row],[Name of Student]]="","",ROWS($A$1:A36))</f>
        <v>36</v>
      </c>
      <c r="B40" s="26">
        <f>IF('Paste SD Data'!A37="","",'Paste SD Data'!A37)</f>
        <v>3</v>
      </c>
      <c r="C40" s="26" t="str">
        <f>IF('Paste SD Data'!B37="","",'Paste SD Data'!B37)</f>
        <v>A</v>
      </c>
      <c r="D40" s="26">
        <f>IF('Paste SD Data'!C37="","",'Paste SD Data'!C37)</f>
        <v>13109</v>
      </c>
      <c r="E40" s="27" t="str">
        <f>IF('Paste SD Data'!E37="","",UPPER('Paste SD Data'!E37))</f>
        <v>DIMPLE MALI</v>
      </c>
      <c r="F40" s="27" t="str">
        <f>IF('Paste SD Data'!G37="","",UPPER('Paste SD Data'!G37))</f>
        <v>GANPAT LAL</v>
      </c>
      <c r="G40" s="27" t="str">
        <f>IF('Paste SD Data'!H37="","",UPPER('Paste SD Data'!H37))</f>
        <v>SANTOSH DEVI</v>
      </c>
      <c r="H40" s="26" t="str">
        <f>IF('Paste SD Data'!I37="","",IF('Paste SD Data'!I37="M","BOY","GIRL"))</f>
        <v>GIRL</v>
      </c>
      <c r="I40" s="28">
        <f>IF('Paste SD Data'!J37="","",'Paste SD Data'!J37)</f>
        <v>40735</v>
      </c>
      <c r="J40" s="34">
        <f t="shared" si="0"/>
        <v>305</v>
      </c>
      <c r="K40" s="29" t="str">
        <f>IF('Paste SD Data'!O37="","",'Paste SD Data'!O37)</f>
        <v>OBC</v>
      </c>
    </row>
    <row r="41" spans="1:11" ht="30" customHeight="1" x14ac:dyDescent="0.25">
      <c r="A41" s="25">
        <f>IF(Table1[[#This Row],[Name of Student]]="","",ROWS($A$1:A37))</f>
        <v>37</v>
      </c>
      <c r="B41" s="26">
        <f>IF('Paste SD Data'!A38="","",'Paste SD Data'!A38)</f>
        <v>3</v>
      </c>
      <c r="C41" s="26" t="str">
        <f>IF('Paste SD Data'!B38="","",'Paste SD Data'!B38)</f>
        <v>A</v>
      </c>
      <c r="D41" s="26">
        <f>IF('Paste SD Data'!C38="","",'Paste SD Data'!C38)</f>
        <v>13268</v>
      </c>
      <c r="E41" s="27" t="str">
        <f>IF('Paste SD Data'!E38="","",UPPER('Paste SD Data'!E38))</f>
        <v>DUNGAR MALI</v>
      </c>
      <c r="F41" s="27" t="str">
        <f>IF('Paste SD Data'!G38="","",UPPER('Paste SD Data'!G38))</f>
        <v>OMPRAKASH MALI</v>
      </c>
      <c r="G41" s="27" t="str">
        <f>IF('Paste SD Data'!H38="","",UPPER('Paste SD Data'!H38))</f>
        <v>BASANTI DEVI</v>
      </c>
      <c r="H41" s="26" t="str">
        <f>IF('Paste SD Data'!I38="","",IF('Paste SD Data'!I38="M","BOY","GIRL"))</f>
        <v>BOY</v>
      </c>
      <c r="I41" s="28">
        <f>IF('Paste SD Data'!J38="","",'Paste SD Data'!J38)</f>
        <v>41493</v>
      </c>
      <c r="J41" s="34">
        <f t="shared" si="0"/>
        <v>306</v>
      </c>
      <c r="K41" s="29" t="str">
        <f>IF('Paste SD Data'!O38="","",'Paste SD Data'!O38)</f>
        <v>OBC</v>
      </c>
    </row>
    <row r="42" spans="1:11" ht="30" customHeight="1" x14ac:dyDescent="0.25">
      <c r="A42" s="25">
        <f>IF(Table1[[#This Row],[Name of Student]]="","",ROWS($A$1:A38))</f>
        <v>38</v>
      </c>
      <c r="B42" s="26">
        <f>IF('Paste SD Data'!A39="","",'Paste SD Data'!A39)</f>
        <v>3</v>
      </c>
      <c r="C42" s="26" t="str">
        <f>IF('Paste SD Data'!B39="","",'Paste SD Data'!B39)</f>
        <v>A</v>
      </c>
      <c r="D42" s="26">
        <f>IF('Paste SD Data'!C39="","",'Paste SD Data'!C39)</f>
        <v>13601</v>
      </c>
      <c r="E42" s="27" t="str">
        <f>IF('Paste SD Data'!E39="","",UPPER('Paste SD Data'!E39))</f>
        <v>JYOTI SEN</v>
      </c>
      <c r="F42" s="27" t="str">
        <f>IF('Paste SD Data'!G39="","",UPPER('Paste SD Data'!G39))</f>
        <v>GANPAT LAL SEN</v>
      </c>
      <c r="G42" s="27" t="str">
        <f>IF('Paste SD Data'!H39="","",UPPER('Paste SD Data'!H39))</f>
        <v>MEENA DEVI</v>
      </c>
      <c r="H42" s="26" t="str">
        <f>IF('Paste SD Data'!I39="","",IF('Paste SD Data'!I39="M","BOY","GIRL"))</f>
        <v>GIRL</v>
      </c>
      <c r="I42" s="28">
        <f>IF('Paste SD Data'!J39="","",'Paste SD Data'!J39)</f>
        <v>41628</v>
      </c>
      <c r="J42" s="34">
        <f t="shared" si="0"/>
        <v>307</v>
      </c>
      <c r="K42" s="29" t="str">
        <f>IF('Paste SD Data'!O39="","",'Paste SD Data'!O39)</f>
        <v>OBC</v>
      </c>
    </row>
    <row r="43" spans="1:11" ht="30" customHeight="1" x14ac:dyDescent="0.25">
      <c r="A43" s="25">
        <f>IF(Table1[[#This Row],[Name of Student]]="","",ROWS($A$1:A39))</f>
        <v>39</v>
      </c>
      <c r="B43" s="26">
        <f>IF('Paste SD Data'!A40="","",'Paste SD Data'!A40)</f>
        <v>3</v>
      </c>
      <c r="C43" s="26" t="str">
        <f>IF('Paste SD Data'!B40="","",'Paste SD Data'!B40)</f>
        <v>A</v>
      </c>
      <c r="D43" s="26">
        <f>IF('Paste SD Data'!C40="","",'Paste SD Data'!C40)</f>
        <v>13107</v>
      </c>
      <c r="E43" s="27" t="str">
        <f>IF('Paste SD Data'!E40="","",UPPER('Paste SD Data'!E40))</f>
        <v>KHUSHI MALI</v>
      </c>
      <c r="F43" s="27" t="str">
        <f>IF('Paste SD Data'!G40="","",UPPER('Paste SD Data'!G40))</f>
        <v>KAILASH CHANDRA</v>
      </c>
      <c r="G43" s="27" t="str">
        <f>IF('Paste SD Data'!H40="","",UPPER('Paste SD Data'!H40))</f>
        <v>MEENA KUMARI</v>
      </c>
      <c r="H43" s="26" t="str">
        <f>IF('Paste SD Data'!I40="","",IF('Paste SD Data'!I40="M","BOY","GIRL"))</f>
        <v>GIRL</v>
      </c>
      <c r="I43" s="28">
        <f>IF('Paste SD Data'!J40="","",'Paste SD Data'!J40)</f>
        <v>41275</v>
      </c>
      <c r="J43" s="34">
        <f t="shared" si="0"/>
        <v>308</v>
      </c>
      <c r="K43" s="29" t="str">
        <f>IF('Paste SD Data'!O40="","",'Paste SD Data'!O40)</f>
        <v>OBC</v>
      </c>
    </row>
    <row r="44" spans="1:11" ht="30" customHeight="1" x14ac:dyDescent="0.25">
      <c r="A44" s="25">
        <f>IF(Table1[[#This Row],[Name of Student]]="","",ROWS($A$1:A40))</f>
        <v>40</v>
      </c>
      <c r="B44" s="26">
        <f>IF('Paste SD Data'!A41="","",'Paste SD Data'!A41)</f>
        <v>3</v>
      </c>
      <c r="C44" s="26" t="str">
        <f>IF('Paste SD Data'!B41="","",'Paste SD Data'!B41)</f>
        <v>A</v>
      </c>
      <c r="D44" s="26">
        <f>IF('Paste SD Data'!C41="","",'Paste SD Data'!C41)</f>
        <v>13664</v>
      </c>
      <c r="E44" s="27" t="str">
        <f>IF('Paste SD Data'!E41="","",UPPER('Paste SD Data'!E41))</f>
        <v>KIRAN KUMARI</v>
      </c>
      <c r="F44" s="27" t="str">
        <f>IF('Paste SD Data'!G41="","",UPPER('Paste SD Data'!G41))</f>
        <v>VIJAY SINGH</v>
      </c>
      <c r="G44" s="27" t="str">
        <f>IF('Paste SD Data'!H41="","",UPPER('Paste SD Data'!H41))</f>
        <v>SHANTA DEVI</v>
      </c>
      <c r="H44" s="26" t="str">
        <f>IF('Paste SD Data'!I41="","",IF('Paste SD Data'!I41="M","BOY","GIRL"))</f>
        <v>GIRL</v>
      </c>
      <c r="I44" s="28">
        <f>IF('Paste SD Data'!J41="","",'Paste SD Data'!J41)</f>
        <v>40909</v>
      </c>
      <c r="J44" s="34">
        <f t="shared" si="0"/>
        <v>309</v>
      </c>
      <c r="K44" s="29" t="str">
        <f>IF('Paste SD Data'!O41="","",'Paste SD Data'!O41)</f>
        <v>OBC</v>
      </c>
    </row>
    <row r="45" spans="1:11" ht="30" customHeight="1" x14ac:dyDescent="0.25">
      <c r="A45" s="25">
        <f>IF(Table1[[#This Row],[Name of Student]]="","",ROWS($A$1:A41))</f>
        <v>41</v>
      </c>
      <c r="B45" s="26">
        <f>IF('Paste SD Data'!A42="","",'Paste SD Data'!A42)</f>
        <v>3</v>
      </c>
      <c r="C45" s="26" t="str">
        <f>IF('Paste SD Data'!B42="","",'Paste SD Data'!B42)</f>
        <v>A</v>
      </c>
      <c r="D45" s="26">
        <f>IF('Paste SD Data'!C42="","",'Paste SD Data'!C42)</f>
        <v>13326</v>
      </c>
      <c r="E45" s="27" t="str">
        <f>IF('Paste SD Data'!E42="","",UPPER('Paste SD Data'!E42))</f>
        <v>LAKHAN LOHAR</v>
      </c>
      <c r="F45" s="27" t="str">
        <f>IF('Paste SD Data'!G42="","",UPPER('Paste SD Data'!G42))</f>
        <v>SURESH LOHAR</v>
      </c>
      <c r="G45" s="27" t="str">
        <f>IF('Paste SD Data'!H42="","",UPPER('Paste SD Data'!H42))</f>
        <v>MAYA DEVI</v>
      </c>
      <c r="H45" s="26" t="str">
        <f>IF('Paste SD Data'!I42="","",IF('Paste SD Data'!I42="M","BOY","GIRL"))</f>
        <v>BOY</v>
      </c>
      <c r="I45" s="28">
        <f>IF('Paste SD Data'!J42="","",'Paste SD Data'!J42)</f>
        <v>41922</v>
      </c>
      <c r="J45" s="34">
        <f t="shared" si="0"/>
        <v>310</v>
      </c>
      <c r="K45" s="29" t="str">
        <f>IF('Paste SD Data'!O42="","",'Paste SD Data'!O42)</f>
        <v>OBC</v>
      </c>
    </row>
    <row r="46" spans="1:11" ht="30" customHeight="1" x14ac:dyDescent="0.25">
      <c r="A46" s="25">
        <f>IF(Table1[[#This Row],[Name of Student]]="","",ROWS($A$1:A42))</f>
        <v>42</v>
      </c>
      <c r="B46" s="26">
        <f>IF('Paste SD Data'!A43="","",'Paste SD Data'!A43)</f>
        <v>3</v>
      </c>
      <c r="C46" s="26" t="str">
        <f>IF('Paste SD Data'!B43="","",'Paste SD Data'!B43)</f>
        <v>A</v>
      </c>
      <c r="D46" s="26">
        <f>IF('Paste SD Data'!C43="","",'Paste SD Data'!C43)</f>
        <v>13158</v>
      </c>
      <c r="E46" s="27" t="str">
        <f>IF('Paste SD Data'!E43="","",UPPER('Paste SD Data'!E43))</f>
        <v>MINAKSHI MALI</v>
      </c>
      <c r="F46" s="27" t="str">
        <f>IF('Paste SD Data'!G43="","",UPPER('Paste SD Data'!G43))</f>
        <v>KAILASH CHANDRA MALI</v>
      </c>
      <c r="G46" s="27" t="str">
        <f>IF('Paste SD Data'!H43="","",UPPER('Paste SD Data'!H43))</f>
        <v>TAMU DEVI</v>
      </c>
      <c r="H46" s="26" t="str">
        <f>IF('Paste SD Data'!I43="","",IF('Paste SD Data'!I43="M","BOY","GIRL"))</f>
        <v>GIRL</v>
      </c>
      <c r="I46" s="28">
        <f>IF('Paste SD Data'!J43="","",'Paste SD Data'!J43)</f>
        <v>41828</v>
      </c>
      <c r="J46" s="34">
        <f t="shared" si="0"/>
        <v>311</v>
      </c>
      <c r="K46" s="29" t="str">
        <f>IF('Paste SD Data'!O43="","",'Paste SD Data'!O43)</f>
        <v>OBC</v>
      </c>
    </row>
    <row r="47" spans="1:11" ht="30" customHeight="1" x14ac:dyDescent="0.25">
      <c r="A47" s="25">
        <f>IF(Table1[[#This Row],[Name of Student]]="","",ROWS($A$1:A43))</f>
        <v>43</v>
      </c>
      <c r="B47" s="26">
        <f>IF('Paste SD Data'!A44="","",'Paste SD Data'!A44)</f>
        <v>3</v>
      </c>
      <c r="C47" s="26" t="str">
        <f>IF('Paste SD Data'!B44="","",'Paste SD Data'!B44)</f>
        <v>A</v>
      </c>
      <c r="D47" s="26">
        <f>IF('Paste SD Data'!C44="","",'Paste SD Data'!C44)</f>
        <v>13163</v>
      </c>
      <c r="E47" s="27" t="str">
        <f>IF('Paste SD Data'!E44="","",UPPER('Paste SD Data'!E44))</f>
        <v>MOHD ASHZAD RAZA</v>
      </c>
      <c r="F47" s="27" t="str">
        <f>IF('Paste SD Data'!G44="","",UPPER('Paste SD Data'!G44))</f>
        <v>JAMSHED</v>
      </c>
      <c r="G47" s="27" t="str">
        <f>IF('Paste SD Data'!H44="","",UPPER('Paste SD Data'!H44))</f>
        <v>RUKHSAR VANO</v>
      </c>
      <c r="H47" s="26" t="str">
        <f>IF('Paste SD Data'!I44="","",IF('Paste SD Data'!I44="M","BOY","GIRL"))</f>
        <v>BOY</v>
      </c>
      <c r="I47" s="28">
        <f>IF('Paste SD Data'!J44="","",'Paste SD Data'!J44)</f>
        <v>41678</v>
      </c>
      <c r="J47" s="34">
        <f t="shared" si="0"/>
        <v>312</v>
      </c>
      <c r="K47" s="29" t="str">
        <f>IF('Paste SD Data'!O44="","",'Paste SD Data'!O44)</f>
        <v>GEN</v>
      </c>
    </row>
    <row r="48" spans="1:11" ht="30" customHeight="1" x14ac:dyDescent="0.25">
      <c r="A48" s="25">
        <f>IF(Table1[[#This Row],[Name of Student]]="","",ROWS($A$1:A44))</f>
        <v>44</v>
      </c>
      <c r="B48" s="26">
        <f>IF('Paste SD Data'!A45="","",'Paste SD Data'!A45)</f>
        <v>3</v>
      </c>
      <c r="C48" s="26" t="str">
        <f>IF('Paste SD Data'!B45="","",'Paste SD Data'!B45)</f>
        <v>A</v>
      </c>
      <c r="D48" s="26">
        <f>IF('Paste SD Data'!C45="","",'Paste SD Data'!C45)</f>
        <v>13681</v>
      </c>
      <c r="E48" s="27" t="str">
        <f>IF('Paste SD Data'!E45="","",UPPER('Paste SD Data'!E45))</f>
        <v>MUKESH REGAR</v>
      </c>
      <c r="F48" s="27" t="str">
        <f>IF('Paste SD Data'!G45="","",UPPER('Paste SD Data'!G45))</f>
        <v>NAINA LAL</v>
      </c>
      <c r="G48" s="27" t="str">
        <f>IF('Paste SD Data'!H45="","",UPPER('Paste SD Data'!H45))</f>
        <v>KANCHAN DEVI</v>
      </c>
      <c r="H48" s="26" t="str">
        <f>IF('Paste SD Data'!I45="","",IF('Paste SD Data'!I45="M","BOY","GIRL"))</f>
        <v>BOY</v>
      </c>
      <c r="I48" s="28">
        <f>IF('Paste SD Data'!J45="","",'Paste SD Data'!J45)</f>
        <v>40021</v>
      </c>
      <c r="J48" s="34">
        <f t="shared" si="0"/>
        <v>313</v>
      </c>
      <c r="K48" s="29" t="str">
        <f>IF('Paste SD Data'!O45="","",'Paste SD Data'!O45)</f>
        <v>SC</v>
      </c>
    </row>
    <row r="49" spans="1:11" ht="30" customHeight="1" x14ac:dyDescent="0.25">
      <c r="A49" s="25">
        <f>IF(Table1[[#This Row],[Name of Student]]="","",ROWS($A$1:A45))</f>
        <v>45</v>
      </c>
      <c r="B49" s="26">
        <f>IF('Paste SD Data'!A46="","",'Paste SD Data'!A46)</f>
        <v>3</v>
      </c>
      <c r="C49" s="26" t="str">
        <f>IF('Paste SD Data'!B46="","",'Paste SD Data'!B46)</f>
        <v>A</v>
      </c>
      <c r="D49" s="26">
        <f>IF('Paste SD Data'!C46="","",'Paste SD Data'!C46)</f>
        <v>13673</v>
      </c>
      <c r="E49" s="27" t="str">
        <f>IF('Paste SD Data'!E46="","",UPPER('Paste SD Data'!E46))</f>
        <v>NILESH MALI</v>
      </c>
      <c r="F49" s="27" t="str">
        <f>IF('Paste SD Data'!G46="","",UPPER('Paste SD Data'!G46))</f>
        <v>BABU LAL MALI</v>
      </c>
      <c r="G49" s="27" t="str">
        <f>IF('Paste SD Data'!H46="","",UPPER('Paste SD Data'!H46))</f>
        <v>LALI</v>
      </c>
      <c r="H49" s="26" t="str">
        <f>IF('Paste SD Data'!I46="","",IF('Paste SD Data'!I46="M","BOY","GIRL"))</f>
        <v>BOY</v>
      </c>
      <c r="I49" s="28">
        <f>IF('Paste SD Data'!J46="","",'Paste SD Data'!J46)</f>
        <v>40544</v>
      </c>
      <c r="J49" s="34">
        <f t="shared" si="0"/>
        <v>314</v>
      </c>
      <c r="K49" s="29" t="str">
        <f>IF('Paste SD Data'!O46="","",'Paste SD Data'!O46)</f>
        <v>OBC</v>
      </c>
    </row>
    <row r="50" spans="1:11" ht="30" customHeight="1" x14ac:dyDescent="0.25">
      <c r="A50" s="25">
        <f>IF(Table1[[#This Row],[Name of Student]]="","",ROWS($A$1:A46))</f>
        <v>46</v>
      </c>
      <c r="B50" s="26">
        <f>IF('Paste SD Data'!A47="","",'Paste SD Data'!A47)</f>
        <v>3</v>
      </c>
      <c r="C50" s="26" t="str">
        <f>IF('Paste SD Data'!B47="","",'Paste SD Data'!B47)</f>
        <v>A</v>
      </c>
      <c r="D50" s="26">
        <f>IF('Paste SD Data'!C47="","",'Paste SD Data'!C47)</f>
        <v>13649</v>
      </c>
      <c r="E50" s="27" t="str">
        <f>IF('Paste SD Data'!E47="","",UPPER('Paste SD Data'!E47))</f>
        <v>NILESH MALI</v>
      </c>
      <c r="F50" s="27" t="str">
        <f>IF('Paste SD Data'!G47="","",UPPER('Paste SD Data'!G47))</f>
        <v>KANHAIYA LAL MALI</v>
      </c>
      <c r="G50" s="27" t="str">
        <f>IF('Paste SD Data'!H47="","",UPPER('Paste SD Data'!H47))</f>
        <v>SUSHILA DEVI</v>
      </c>
      <c r="H50" s="26" t="str">
        <f>IF('Paste SD Data'!I47="","",IF('Paste SD Data'!I47="M","BOY","GIRL"))</f>
        <v>BOY</v>
      </c>
      <c r="I50" s="28">
        <f>IF('Paste SD Data'!J47="","",'Paste SD Data'!J47)</f>
        <v>40373</v>
      </c>
      <c r="J50" s="34">
        <f t="shared" si="0"/>
        <v>315</v>
      </c>
      <c r="K50" s="29" t="str">
        <f>IF('Paste SD Data'!O47="","",'Paste SD Data'!O47)</f>
        <v>OBC</v>
      </c>
    </row>
    <row r="51" spans="1:11" ht="30" customHeight="1" x14ac:dyDescent="0.25">
      <c r="A51" s="25">
        <f>IF(Table1[[#This Row],[Name of Student]]="","",ROWS($A$1:A47))</f>
        <v>47</v>
      </c>
      <c r="B51" s="26">
        <f>IF('Paste SD Data'!A48="","",'Paste SD Data'!A48)</f>
        <v>3</v>
      </c>
      <c r="C51" s="26" t="str">
        <f>IF('Paste SD Data'!B48="","",'Paste SD Data'!B48)</f>
        <v>A</v>
      </c>
      <c r="D51" s="26">
        <f>IF('Paste SD Data'!C48="","",'Paste SD Data'!C48)</f>
        <v>14002</v>
      </c>
      <c r="E51" s="27" t="str">
        <f>IF('Paste SD Data'!E48="","",UPPER('Paste SD Data'!E48))</f>
        <v>PRAHLAD MALI</v>
      </c>
      <c r="F51" s="27" t="str">
        <f>IF('Paste SD Data'!G48="","",UPPER('Paste SD Data'!G48))</f>
        <v>SHANTI LAL MALI</v>
      </c>
      <c r="G51" s="27" t="str">
        <f>IF('Paste SD Data'!H48="","",UPPER('Paste SD Data'!H48))</f>
        <v>LEELA DEVI</v>
      </c>
      <c r="H51" s="26" t="str">
        <f>IF('Paste SD Data'!I48="","",IF('Paste SD Data'!I48="M","BOY","GIRL"))</f>
        <v>BOY</v>
      </c>
      <c r="I51" s="28">
        <f>IF('Paste SD Data'!J48="","",'Paste SD Data'!J48)</f>
        <v>40923</v>
      </c>
      <c r="J51" s="34">
        <f t="shared" si="0"/>
        <v>316</v>
      </c>
      <c r="K51" s="29" t="str">
        <f>IF('Paste SD Data'!O48="","",'Paste SD Data'!O48)</f>
        <v>OBC</v>
      </c>
    </row>
    <row r="52" spans="1:11" ht="30" customHeight="1" x14ac:dyDescent="0.25">
      <c r="A52" s="25">
        <f>IF(Table1[[#This Row],[Name of Student]]="","",ROWS($A$1:A48))</f>
        <v>48</v>
      </c>
      <c r="B52" s="26">
        <f>IF('Paste SD Data'!A49="","",'Paste SD Data'!A49)</f>
        <v>3</v>
      </c>
      <c r="C52" s="26" t="str">
        <f>IF('Paste SD Data'!B49="","",'Paste SD Data'!B49)</f>
        <v>A</v>
      </c>
      <c r="D52" s="26">
        <f>IF('Paste SD Data'!C49="","",'Paste SD Data'!C49)</f>
        <v>13167</v>
      </c>
      <c r="E52" s="27" t="str">
        <f>IF('Paste SD Data'!E49="","",UPPER('Paste SD Data'!E49))</f>
        <v>PRIYANKA SOLANKI</v>
      </c>
      <c r="F52" s="27" t="str">
        <f>IF('Paste SD Data'!G49="","",UPPER('Paste SD Data'!G49))</f>
        <v>KANTI LAL SOLANKI</v>
      </c>
      <c r="G52" s="27" t="str">
        <f>IF('Paste SD Data'!H49="","",UPPER('Paste SD Data'!H49))</f>
        <v>PREM DEVI</v>
      </c>
      <c r="H52" s="26" t="str">
        <f>IF('Paste SD Data'!I49="","",IF('Paste SD Data'!I49="M","BOY","GIRL"))</f>
        <v>GIRL</v>
      </c>
      <c r="I52" s="28">
        <f>IF('Paste SD Data'!J49="","",'Paste SD Data'!J49)</f>
        <v>40909</v>
      </c>
      <c r="J52" s="34">
        <f t="shared" si="0"/>
        <v>317</v>
      </c>
      <c r="K52" s="29" t="str">
        <f>IF('Paste SD Data'!O49="","",'Paste SD Data'!O49)</f>
        <v>OBC</v>
      </c>
    </row>
    <row r="53" spans="1:11" ht="30" customHeight="1" x14ac:dyDescent="0.25">
      <c r="A53" s="25">
        <f>IF(Table1[[#This Row],[Name of Student]]="","",ROWS($A$1:A49))</f>
        <v>49</v>
      </c>
      <c r="B53" s="26">
        <f>IF('Paste SD Data'!A50="","",'Paste SD Data'!A50)</f>
        <v>3</v>
      </c>
      <c r="C53" s="26" t="str">
        <f>IF('Paste SD Data'!B50="","",'Paste SD Data'!B50)</f>
        <v>A</v>
      </c>
      <c r="D53" s="26">
        <f>IF('Paste SD Data'!C50="","",'Paste SD Data'!C50)</f>
        <v>13587</v>
      </c>
      <c r="E53" s="27" t="str">
        <f>IF('Paste SD Data'!E50="","",UPPER('Paste SD Data'!E50))</f>
        <v>VIRAJ SEN</v>
      </c>
      <c r="F53" s="27" t="str">
        <f>IF('Paste SD Data'!G50="","",UPPER('Paste SD Data'!G50))</f>
        <v>MUKESH SEN</v>
      </c>
      <c r="G53" s="27" t="str">
        <f>IF('Paste SD Data'!H50="","",UPPER('Paste SD Data'!H50))</f>
        <v>ANITA SEN</v>
      </c>
      <c r="H53" s="26" t="str">
        <f>IF('Paste SD Data'!I50="","",IF('Paste SD Data'!I50="M","BOY","GIRL"))</f>
        <v>BOY</v>
      </c>
      <c r="I53" s="28">
        <f>IF('Paste SD Data'!J50="","",'Paste SD Data'!J50)</f>
        <v>40852</v>
      </c>
      <c r="J53" s="34">
        <f t="shared" si="0"/>
        <v>318</v>
      </c>
      <c r="K53" s="29" t="str">
        <f>IF('Paste SD Data'!O50="","",'Paste SD Data'!O50)</f>
        <v>OBC</v>
      </c>
    </row>
    <row r="54" spans="1:11" ht="30" customHeight="1" x14ac:dyDescent="0.25">
      <c r="A54" s="25">
        <f>IF(Table1[[#This Row],[Name of Student]]="","",ROWS($A$1:A50))</f>
        <v>50</v>
      </c>
      <c r="B54" s="26">
        <f>IF('Paste SD Data'!A51="","",'Paste SD Data'!A51)</f>
        <v>3</v>
      </c>
      <c r="C54" s="26" t="str">
        <f>IF('Paste SD Data'!B51="","",'Paste SD Data'!B51)</f>
        <v>A</v>
      </c>
      <c r="D54" s="26">
        <f>IF('Paste SD Data'!C51="","",'Paste SD Data'!C51)</f>
        <v>13635</v>
      </c>
      <c r="E54" s="27" t="str">
        <f>IF('Paste SD Data'!E51="","",UPPER('Paste SD Data'!E51))</f>
        <v>VISHAL MALI</v>
      </c>
      <c r="F54" s="27" t="str">
        <f>IF('Paste SD Data'!G51="","",UPPER('Paste SD Data'!G51))</f>
        <v>VINOD KUMAR MALI</v>
      </c>
      <c r="G54" s="27" t="str">
        <f>IF('Paste SD Data'!H51="","",UPPER('Paste SD Data'!H51))</f>
        <v>MAMTA</v>
      </c>
      <c r="H54" s="26" t="str">
        <f>IF('Paste SD Data'!I51="","",IF('Paste SD Data'!I51="M","BOY","GIRL"))</f>
        <v>BOY</v>
      </c>
      <c r="I54" s="28">
        <f>IF('Paste SD Data'!J51="","",'Paste SD Data'!J51)</f>
        <v>41445</v>
      </c>
      <c r="J54" s="34">
        <f t="shared" si="0"/>
        <v>319</v>
      </c>
      <c r="K54" s="29" t="str">
        <f>IF('Paste SD Data'!O51="","",'Paste SD Data'!O51)</f>
        <v>OBC</v>
      </c>
    </row>
    <row r="55" spans="1:11" ht="30" customHeight="1" x14ac:dyDescent="0.25">
      <c r="A55" s="25">
        <f>IF(Table1[[#This Row],[Name of Student]]="","",ROWS($A$1:A51))</f>
        <v>51</v>
      </c>
      <c r="B55" s="26">
        <f>IF('Paste SD Data'!A52="","",'Paste SD Data'!A52)</f>
        <v>3</v>
      </c>
      <c r="C55" s="26" t="str">
        <f>IF('Paste SD Data'!B52="","",'Paste SD Data'!B52)</f>
        <v>A</v>
      </c>
      <c r="D55" s="26">
        <f>IF('Paste SD Data'!C52="","",'Paste SD Data'!C52)</f>
        <v>13341</v>
      </c>
      <c r="E55" s="27" t="str">
        <f>IF('Paste SD Data'!E52="","",UPPER('Paste SD Data'!E52))</f>
        <v>YASHWANT KUMAR VAISHNAV</v>
      </c>
      <c r="F55" s="27" t="str">
        <f>IF('Paste SD Data'!G52="","",UPPER('Paste SD Data'!G52))</f>
        <v>VINOD KUMAR VAISHNAV</v>
      </c>
      <c r="G55" s="27" t="str">
        <f>IF('Paste SD Data'!H52="","",UPPER('Paste SD Data'!H52))</f>
        <v>SUMITRA DEVI</v>
      </c>
      <c r="H55" s="26" t="str">
        <f>IF('Paste SD Data'!I52="","",IF('Paste SD Data'!I52="M","BOY","GIRL"))</f>
        <v>BOY</v>
      </c>
      <c r="I55" s="28">
        <f>IF('Paste SD Data'!J52="","",'Paste SD Data'!J52)</f>
        <v>41366</v>
      </c>
      <c r="J55" s="34">
        <f t="shared" si="0"/>
        <v>320</v>
      </c>
      <c r="K55" s="29" t="str">
        <f>IF('Paste SD Data'!O52="","",'Paste SD Data'!O52)</f>
        <v>OBC</v>
      </c>
    </row>
    <row r="56" spans="1:11" ht="30" customHeight="1" x14ac:dyDescent="0.25">
      <c r="A56" s="25">
        <f>IF(Table1[[#This Row],[Name of Student]]="","",ROWS($A$1:A52))</f>
        <v>52</v>
      </c>
      <c r="B56" s="26">
        <f>IF('Paste SD Data'!A53="","",'Paste SD Data'!A53)</f>
        <v>4</v>
      </c>
      <c r="C56" s="26" t="str">
        <f>IF('Paste SD Data'!B53="","",'Paste SD Data'!B53)</f>
        <v>A</v>
      </c>
      <c r="D56" s="26">
        <f>IF('Paste SD Data'!C53="","",'Paste SD Data'!C53)</f>
        <v>13625</v>
      </c>
      <c r="E56" s="27" t="str">
        <f>IF('Paste SD Data'!E53="","",UPPER('Paste SD Data'!E53))</f>
        <v>BHARATH MALI</v>
      </c>
      <c r="F56" s="27" t="str">
        <f>IF('Paste SD Data'!G53="","",UPPER('Paste SD Data'!G53))</f>
        <v>KALU LAL MALI</v>
      </c>
      <c r="G56" s="27" t="str">
        <f>IF('Paste SD Data'!H53="","",UPPER('Paste SD Data'!H53))</f>
        <v>SUSHILA DEVI</v>
      </c>
      <c r="H56" s="26" t="str">
        <f>IF('Paste SD Data'!I53="","",IF('Paste SD Data'!I53="M","BOY","GIRL"))</f>
        <v>BOY</v>
      </c>
      <c r="I56" s="28">
        <f>IF('Paste SD Data'!J53="","",'Paste SD Data'!J53)</f>
        <v>40812</v>
      </c>
      <c r="J56" s="34">
        <v>401</v>
      </c>
      <c r="K56" s="29" t="str">
        <f>IF('Paste SD Data'!O53="","",'Paste SD Data'!O53)</f>
        <v>OBC</v>
      </c>
    </row>
    <row r="57" spans="1:11" ht="30" customHeight="1" x14ac:dyDescent="0.25">
      <c r="A57" s="25">
        <f>IF(Table1[[#This Row],[Name of Student]]="","",ROWS($A$1:A53))</f>
        <v>53</v>
      </c>
      <c r="B57" s="26">
        <f>IF('Paste SD Data'!A54="","",'Paste SD Data'!A54)</f>
        <v>4</v>
      </c>
      <c r="C57" s="26" t="str">
        <f>IF('Paste SD Data'!B54="","",'Paste SD Data'!B54)</f>
        <v>A</v>
      </c>
      <c r="D57" s="26">
        <f>IF('Paste SD Data'!C54="","",'Paste SD Data'!C54)</f>
        <v>13606</v>
      </c>
      <c r="E57" s="27" t="str">
        <f>IF('Paste SD Data'!E54="","",UPPER('Paste SD Data'!E54))</f>
        <v>ISIKA SEN</v>
      </c>
      <c r="F57" s="27" t="str">
        <f>IF('Paste SD Data'!G54="","",UPPER('Paste SD Data'!G54))</f>
        <v>NARENDRA KUMAR SEN</v>
      </c>
      <c r="G57" s="27" t="str">
        <f>IF('Paste SD Data'!H54="","",UPPER('Paste SD Data'!H54))</f>
        <v>MAMTA SEN</v>
      </c>
      <c r="H57" s="26" t="str">
        <f>IF('Paste SD Data'!I54="","",IF('Paste SD Data'!I54="M","BOY","GIRL"))</f>
        <v>GIRL</v>
      </c>
      <c r="I57" s="28">
        <f>IF('Paste SD Data'!J54="","",'Paste SD Data'!J54)</f>
        <v>40892</v>
      </c>
      <c r="J57" s="34">
        <f t="shared" si="0"/>
        <v>402</v>
      </c>
      <c r="K57" s="29" t="str">
        <f>IF('Paste SD Data'!O54="","",'Paste SD Data'!O54)</f>
        <v>OBC</v>
      </c>
    </row>
    <row r="58" spans="1:11" ht="30" customHeight="1" x14ac:dyDescent="0.25">
      <c r="A58" s="25">
        <f>IF(Table1[[#This Row],[Name of Student]]="","",ROWS($A$1:A54))</f>
        <v>54</v>
      </c>
      <c r="B58" s="26">
        <f>IF('Paste SD Data'!A55="","",'Paste SD Data'!A55)</f>
        <v>4</v>
      </c>
      <c r="C58" s="26" t="str">
        <f>IF('Paste SD Data'!B55="","",'Paste SD Data'!B55)</f>
        <v>A</v>
      </c>
      <c r="D58" s="26">
        <f>IF('Paste SD Data'!C55="","",'Paste SD Data'!C55)</f>
        <v>13128</v>
      </c>
      <c r="E58" s="27" t="str">
        <f>IF('Paste SD Data'!E55="","",UPPER('Paste SD Data'!E55))</f>
        <v>JANVI KUMARI</v>
      </c>
      <c r="F58" s="27" t="str">
        <f>IF('Paste SD Data'!G55="","",UPPER('Paste SD Data'!G55))</f>
        <v>ARJUN SINGH RAWAT</v>
      </c>
      <c r="G58" s="27" t="str">
        <f>IF('Paste SD Data'!H55="","",UPPER('Paste SD Data'!H55))</f>
        <v>KAMLA DEVI</v>
      </c>
      <c r="H58" s="26" t="str">
        <f>IF('Paste SD Data'!I55="","",IF('Paste SD Data'!I55="M","BOY","GIRL"))</f>
        <v>GIRL</v>
      </c>
      <c r="I58" s="28">
        <f>IF('Paste SD Data'!J55="","",'Paste SD Data'!J55)</f>
        <v>41198</v>
      </c>
      <c r="J58" s="34">
        <f t="shared" si="0"/>
        <v>403</v>
      </c>
      <c r="K58" s="29" t="str">
        <f>IF('Paste SD Data'!O55="","",'Paste SD Data'!O55)</f>
        <v>OBC</v>
      </c>
    </row>
    <row r="59" spans="1:11" ht="30" customHeight="1" x14ac:dyDescent="0.25">
      <c r="A59" s="25">
        <f>IF(Table1[[#This Row],[Name of Student]]="","",ROWS($A$1:A55))</f>
        <v>55</v>
      </c>
      <c r="B59" s="26">
        <f>IF('Paste SD Data'!A56="","",'Paste SD Data'!A56)</f>
        <v>4</v>
      </c>
      <c r="C59" s="26" t="str">
        <f>IF('Paste SD Data'!B56="","",'Paste SD Data'!B56)</f>
        <v>A</v>
      </c>
      <c r="D59" s="26">
        <f>IF('Paste SD Data'!C56="","",'Paste SD Data'!C56)</f>
        <v>13010</v>
      </c>
      <c r="E59" s="27" t="str">
        <f>IF('Paste SD Data'!E56="","",UPPER('Paste SD Data'!E56))</f>
        <v>JEEVIKA MALI</v>
      </c>
      <c r="F59" s="27" t="str">
        <f>IF('Paste SD Data'!G56="","",UPPER('Paste SD Data'!G56))</f>
        <v>AMBA LAL MALI</v>
      </c>
      <c r="G59" s="27" t="str">
        <f>IF('Paste SD Data'!H56="","",UPPER('Paste SD Data'!H56))</f>
        <v>KESHAR DEVI</v>
      </c>
      <c r="H59" s="26" t="str">
        <f>IF('Paste SD Data'!I56="","",IF('Paste SD Data'!I56="M","BOY","GIRL"))</f>
        <v>GIRL</v>
      </c>
      <c r="I59" s="28">
        <f>IF('Paste SD Data'!J56="","",'Paste SD Data'!J56)</f>
        <v>40909</v>
      </c>
      <c r="J59" s="34">
        <f t="shared" si="0"/>
        <v>404</v>
      </c>
      <c r="K59" s="29" t="str">
        <f>IF('Paste SD Data'!O56="","",'Paste SD Data'!O56)</f>
        <v>OBC</v>
      </c>
    </row>
    <row r="60" spans="1:11" ht="30" customHeight="1" x14ac:dyDescent="0.25">
      <c r="A60" s="25">
        <f>IF(Table1[[#This Row],[Name of Student]]="","",ROWS($A$1:A56))</f>
        <v>56</v>
      </c>
      <c r="B60" s="26">
        <f>IF('Paste SD Data'!A57="","",'Paste SD Data'!A57)</f>
        <v>4</v>
      </c>
      <c r="C60" s="26" t="str">
        <f>IF('Paste SD Data'!B57="","",'Paste SD Data'!B57)</f>
        <v>A</v>
      </c>
      <c r="D60" s="26">
        <f>IF('Paste SD Data'!C57="","",'Paste SD Data'!C57)</f>
        <v>12879</v>
      </c>
      <c r="E60" s="27" t="str">
        <f>IF('Paste SD Data'!E57="","",UPPER('Paste SD Data'!E57))</f>
        <v>KHUSHWANT PRAJAPAT</v>
      </c>
      <c r="F60" s="27" t="str">
        <f>IF('Paste SD Data'!G57="","",UPPER('Paste SD Data'!G57))</f>
        <v>LAXMAN LAL PRAJAPAT</v>
      </c>
      <c r="G60" s="27" t="str">
        <f>IF('Paste SD Data'!H57="","",UPPER('Paste SD Data'!H57))</f>
        <v>RATAN DEVI</v>
      </c>
      <c r="H60" s="26" t="str">
        <f>IF('Paste SD Data'!I57="","",IF('Paste SD Data'!I57="M","BOY","GIRL"))</f>
        <v>BOY</v>
      </c>
      <c r="I60" s="28">
        <f>IF('Paste SD Data'!J57="","",'Paste SD Data'!J57)</f>
        <v>41451</v>
      </c>
      <c r="J60" s="34">
        <f t="shared" si="0"/>
        <v>405</v>
      </c>
      <c r="K60" s="29" t="str">
        <f>IF('Paste SD Data'!O57="","",'Paste SD Data'!O57)</f>
        <v>OBC</v>
      </c>
    </row>
    <row r="61" spans="1:11" ht="30" customHeight="1" x14ac:dyDescent="0.25">
      <c r="A61" s="25">
        <f>IF(Table1[[#This Row],[Name of Student]]="","",ROWS($A$1:A57))</f>
        <v>57</v>
      </c>
      <c r="B61" s="26">
        <f>IF('Paste SD Data'!A58="","",'Paste SD Data'!A58)</f>
        <v>4</v>
      </c>
      <c r="C61" s="26" t="str">
        <f>IF('Paste SD Data'!B58="","",'Paste SD Data'!B58)</f>
        <v>A</v>
      </c>
      <c r="D61" s="26">
        <f>IF('Paste SD Data'!C58="","",'Paste SD Data'!C58)</f>
        <v>13628</v>
      </c>
      <c r="E61" s="27" t="str">
        <f>IF('Paste SD Data'!E58="","",UPPER('Paste SD Data'!E58))</f>
        <v>KOMAL</v>
      </c>
      <c r="F61" s="27" t="str">
        <f>IF('Paste SD Data'!G58="","",UPPER('Paste SD Data'!G58))</f>
        <v>DEVI LAL MALI</v>
      </c>
      <c r="G61" s="27" t="str">
        <f>IF('Paste SD Data'!H58="","",UPPER('Paste SD Data'!H58))</f>
        <v>EJI DEVI</v>
      </c>
      <c r="H61" s="26" t="str">
        <f>IF('Paste SD Data'!I58="","",IF('Paste SD Data'!I58="M","BOY","GIRL"))</f>
        <v>GIRL</v>
      </c>
      <c r="I61" s="28">
        <f>IF('Paste SD Data'!J58="","",'Paste SD Data'!J58)</f>
        <v>40702</v>
      </c>
      <c r="J61" s="34">
        <f t="shared" si="0"/>
        <v>406</v>
      </c>
      <c r="K61" s="29" t="str">
        <f>IF('Paste SD Data'!O58="","",'Paste SD Data'!O58)</f>
        <v>OBC</v>
      </c>
    </row>
    <row r="62" spans="1:11" ht="30" customHeight="1" x14ac:dyDescent="0.25">
      <c r="A62" s="25">
        <f>IF(Table1[[#This Row],[Name of Student]]="","",ROWS($A$1:A58))</f>
        <v>58</v>
      </c>
      <c r="B62" s="26">
        <f>IF('Paste SD Data'!A59="","",'Paste SD Data'!A59)</f>
        <v>4</v>
      </c>
      <c r="C62" s="26" t="str">
        <f>IF('Paste SD Data'!B59="","",'Paste SD Data'!B59)</f>
        <v>A</v>
      </c>
      <c r="D62" s="26">
        <f>IF('Paste SD Data'!C59="","",'Paste SD Data'!C59)</f>
        <v>13057</v>
      </c>
      <c r="E62" s="27" t="str">
        <f>IF('Paste SD Data'!E59="","",UPPER('Paste SD Data'!E59))</f>
        <v>LALITA LOHAR</v>
      </c>
      <c r="F62" s="27" t="str">
        <f>IF('Paste SD Data'!G59="","",UPPER('Paste SD Data'!G59))</f>
        <v>SURESH LOHAR</v>
      </c>
      <c r="G62" s="27" t="str">
        <f>IF('Paste SD Data'!H59="","",UPPER('Paste SD Data'!H59))</f>
        <v>MAYA DEVI</v>
      </c>
      <c r="H62" s="26" t="str">
        <f>IF('Paste SD Data'!I59="","",IF('Paste SD Data'!I59="M","BOY","GIRL"))</f>
        <v>GIRL</v>
      </c>
      <c r="I62" s="28">
        <f>IF('Paste SD Data'!J59="","",'Paste SD Data'!J59)</f>
        <v>40920</v>
      </c>
      <c r="J62" s="34">
        <f t="shared" si="0"/>
        <v>407</v>
      </c>
      <c r="K62" s="29" t="str">
        <f>IF('Paste SD Data'!O59="","",'Paste SD Data'!O59)</f>
        <v>OBC</v>
      </c>
    </row>
    <row r="63" spans="1:11" ht="30" customHeight="1" x14ac:dyDescent="0.25">
      <c r="A63" s="25">
        <f>IF(Table1[[#This Row],[Name of Student]]="","",ROWS($A$1:A59))</f>
        <v>59</v>
      </c>
      <c r="B63" s="26">
        <f>IF('Paste SD Data'!A60="","",'Paste SD Data'!A60)</f>
        <v>4</v>
      </c>
      <c r="C63" s="26" t="str">
        <f>IF('Paste SD Data'!B60="","",'Paste SD Data'!B60)</f>
        <v>A</v>
      </c>
      <c r="D63" s="26">
        <f>IF('Paste SD Data'!C60="","",'Paste SD Data'!C60)</f>
        <v>13824</v>
      </c>
      <c r="E63" s="27" t="str">
        <f>IF('Paste SD Data'!E60="","",UPPER('Paste SD Data'!E60))</f>
        <v>LOKENDR PAL SINGH</v>
      </c>
      <c r="F63" s="27" t="str">
        <f>IF('Paste SD Data'!G60="","",UPPER('Paste SD Data'!G60))</f>
        <v>LAL SINGH</v>
      </c>
      <c r="G63" s="27" t="str">
        <f>IF('Paste SD Data'!H60="","",UPPER('Paste SD Data'!H60))</f>
        <v>HEMLATA DEVI</v>
      </c>
      <c r="H63" s="26" t="str">
        <f>IF('Paste SD Data'!I60="","",IF('Paste SD Data'!I60="M","BOY","GIRL"))</f>
        <v>BOY</v>
      </c>
      <c r="I63" s="28">
        <f>IF('Paste SD Data'!J60="","",'Paste SD Data'!J60)</f>
        <v>41430</v>
      </c>
      <c r="J63" s="34">
        <f t="shared" si="0"/>
        <v>408</v>
      </c>
      <c r="K63" s="29" t="str">
        <f>IF('Paste SD Data'!O60="","",'Paste SD Data'!O60)</f>
        <v>OBC</v>
      </c>
    </row>
    <row r="64" spans="1:11" ht="30" customHeight="1" x14ac:dyDescent="0.25">
      <c r="A64" s="25">
        <f>IF(Table1[[#This Row],[Name of Student]]="","",ROWS($A$1:A60))</f>
        <v>60</v>
      </c>
      <c r="B64" s="26">
        <f>IF('Paste SD Data'!A61="","",'Paste SD Data'!A61)</f>
        <v>4</v>
      </c>
      <c r="C64" s="26" t="str">
        <f>IF('Paste SD Data'!B61="","",'Paste SD Data'!B61)</f>
        <v>A</v>
      </c>
      <c r="D64" s="26">
        <f>IF('Paste SD Data'!C61="","",'Paste SD Data'!C61)</f>
        <v>14001</v>
      </c>
      <c r="E64" s="27" t="str">
        <f>IF('Paste SD Data'!E61="","",UPPER('Paste SD Data'!E61))</f>
        <v>MAMTA MALI</v>
      </c>
      <c r="F64" s="27" t="str">
        <f>IF('Paste SD Data'!G61="","",UPPER('Paste SD Data'!G61))</f>
        <v>SHANTILAL MALI</v>
      </c>
      <c r="G64" s="27" t="str">
        <f>IF('Paste SD Data'!H61="","",UPPER('Paste SD Data'!H61))</f>
        <v>LEELA DEVI</v>
      </c>
      <c r="H64" s="26" t="str">
        <f>IF('Paste SD Data'!I61="","",IF('Paste SD Data'!I61="M","BOY","GIRL"))</f>
        <v>GIRL</v>
      </c>
      <c r="I64" s="28">
        <f>IF('Paste SD Data'!J61="","",'Paste SD Data'!J61)</f>
        <v>39974</v>
      </c>
      <c r="J64" s="34">
        <f t="shared" si="0"/>
        <v>409</v>
      </c>
      <c r="K64" s="29" t="str">
        <f>IF('Paste SD Data'!O61="","",'Paste SD Data'!O61)</f>
        <v>OBC</v>
      </c>
    </row>
    <row r="65" spans="1:11" ht="30" customHeight="1" x14ac:dyDescent="0.25">
      <c r="A65" s="25">
        <f>IF(Table1[[#This Row],[Name of Student]]="","",ROWS($A$1:A61))</f>
        <v>61</v>
      </c>
      <c r="B65" s="26">
        <f>IF('Paste SD Data'!A62="","",'Paste SD Data'!A62)</f>
        <v>4</v>
      </c>
      <c r="C65" s="26" t="str">
        <f>IF('Paste SD Data'!B62="","",'Paste SD Data'!B62)</f>
        <v>A</v>
      </c>
      <c r="D65" s="26">
        <f>IF('Paste SD Data'!C62="","",'Paste SD Data'!C62)</f>
        <v>13501</v>
      </c>
      <c r="E65" s="27" t="str">
        <f>IF('Paste SD Data'!E62="","",UPPER('Paste SD Data'!E62))</f>
        <v>MANISHA MALI</v>
      </c>
      <c r="F65" s="27" t="str">
        <f>IF('Paste SD Data'!G62="","",UPPER('Paste SD Data'!G62))</f>
        <v>DINESH MALI</v>
      </c>
      <c r="G65" s="27" t="str">
        <f>IF('Paste SD Data'!H62="","",UPPER('Paste SD Data'!H62))</f>
        <v>REKHA DEVI</v>
      </c>
      <c r="H65" s="26" t="str">
        <f>IF('Paste SD Data'!I62="","",IF('Paste SD Data'!I62="M","BOY","GIRL"))</f>
        <v>GIRL</v>
      </c>
      <c r="I65" s="28">
        <f>IF('Paste SD Data'!J62="","",'Paste SD Data'!J62)</f>
        <v>41110</v>
      </c>
      <c r="J65" s="34">
        <f t="shared" si="0"/>
        <v>410</v>
      </c>
      <c r="K65" s="29" t="str">
        <f>IF('Paste SD Data'!O62="","",'Paste SD Data'!O62)</f>
        <v>OBC</v>
      </c>
    </row>
    <row r="66" spans="1:11" ht="30" customHeight="1" x14ac:dyDescent="0.25">
      <c r="A66" s="25">
        <f>IF(Table1[[#This Row],[Name of Student]]="","",ROWS($A$1:A62))</f>
        <v>62</v>
      </c>
      <c r="B66" s="26">
        <f>IF('Paste SD Data'!A63="","",'Paste SD Data'!A63)</f>
        <v>4</v>
      </c>
      <c r="C66" s="26" t="str">
        <f>IF('Paste SD Data'!B63="","",'Paste SD Data'!B63)</f>
        <v>A</v>
      </c>
      <c r="D66" s="26">
        <f>IF('Paste SD Data'!C63="","",'Paste SD Data'!C63)</f>
        <v>13413</v>
      </c>
      <c r="E66" s="27" t="str">
        <f>IF('Paste SD Data'!E63="","",UPPER('Paste SD Data'!E63))</f>
        <v>NARGIS BANU</v>
      </c>
      <c r="F66" s="27" t="str">
        <f>IF('Paste SD Data'!G63="","",UPPER('Paste SD Data'!G63))</f>
        <v>NIYAAZ MOHAMMAD</v>
      </c>
      <c r="G66" s="27" t="str">
        <f>IF('Paste SD Data'!H63="","",UPPER('Paste SD Data'!H63))</f>
        <v>FARZANA BANU</v>
      </c>
      <c r="H66" s="26" t="str">
        <f>IF('Paste SD Data'!I63="","",IF('Paste SD Data'!I63="M","BOY","GIRL"))</f>
        <v>GIRL</v>
      </c>
      <c r="I66" s="28">
        <f>IF('Paste SD Data'!J63="","",'Paste SD Data'!J63)</f>
        <v>40872</v>
      </c>
      <c r="J66" s="34">
        <f t="shared" si="0"/>
        <v>411</v>
      </c>
      <c r="K66" s="29" t="str">
        <f>IF('Paste SD Data'!O63="","",'Paste SD Data'!O63)</f>
        <v>GEN</v>
      </c>
    </row>
    <row r="67" spans="1:11" ht="30" customHeight="1" x14ac:dyDescent="0.25">
      <c r="A67" s="25">
        <f>IF(Table1[[#This Row],[Name of Student]]="","",ROWS($A$1:A63))</f>
        <v>63</v>
      </c>
      <c r="B67" s="26">
        <f>IF('Paste SD Data'!A64="","",'Paste SD Data'!A64)</f>
        <v>4</v>
      </c>
      <c r="C67" s="26" t="str">
        <f>IF('Paste SD Data'!B64="","",'Paste SD Data'!B64)</f>
        <v>A</v>
      </c>
      <c r="D67" s="26">
        <f>IF('Paste SD Data'!C64="","",'Paste SD Data'!C64)</f>
        <v>13627</v>
      </c>
      <c r="E67" s="27" t="str">
        <f>IF('Paste SD Data'!E64="","",UPPER('Paste SD Data'!E64))</f>
        <v>POOJA</v>
      </c>
      <c r="F67" s="27" t="str">
        <f>IF('Paste SD Data'!G64="","",UPPER('Paste SD Data'!G64))</f>
        <v>LAHRI LAL</v>
      </c>
      <c r="G67" s="27" t="str">
        <f>IF('Paste SD Data'!H64="","",UPPER('Paste SD Data'!H64))</f>
        <v>MANJU DEVI</v>
      </c>
      <c r="H67" s="26" t="str">
        <f>IF('Paste SD Data'!I64="","",IF('Paste SD Data'!I64="M","BOY","GIRL"))</f>
        <v>GIRL</v>
      </c>
      <c r="I67" s="28">
        <f>IF('Paste SD Data'!J64="","",'Paste SD Data'!J64)</f>
        <v>40718</v>
      </c>
      <c r="J67" s="34">
        <f t="shared" si="0"/>
        <v>412</v>
      </c>
      <c r="K67" s="29" t="str">
        <f>IF('Paste SD Data'!O64="","",'Paste SD Data'!O64)</f>
        <v>OBC</v>
      </c>
    </row>
    <row r="68" spans="1:11" ht="30" customHeight="1" x14ac:dyDescent="0.25">
      <c r="A68" s="25">
        <f>IF(Table1[[#This Row],[Name of Student]]="","",ROWS($A$1:A64))</f>
        <v>64</v>
      </c>
      <c r="B68" s="26">
        <f>IF('Paste SD Data'!A65="","",'Paste SD Data'!A65)</f>
        <v>4</v>
      </c>
      <c r="C68" s="26" t="str">
        <f>IF('Paste SD Data'!B65="","",'Paste SD Data'!B65)</f>
        <v>A</v>
      </c>
      <c r="D68" s="26">
        <f>IF('Paste SD Data'!C65="","",'Paste SD Data'!C65)</f>
        <v>13629</v>
      </c>
      <c r="E68" s="27" t="str">
        <f>IF('Paste SD Data'!E65="","",UPPER('Paste SD Data'!E65))</f>
        <v>PRAVEEN MALI</v>
      </c>
      <c r="F68" s="27" t="str">
        <f>IF('Paste SD Data'!G65="","",UPPER('Paste SD Data'!G65))</f>
        <v>ROSHAN LAL MALI</v>
      </c>
      <c r="G68" s="27" t="str">
        <f>IF('Paste SD Data'!H65="","",UPPER('Paste SD Data'!H65))</f>
        <v>PUSHPA</v>
      </c>
      <c r="H68" s="26" t="str">
        <f>IF('Paste SD Data'!I65="","",IF('Paste SD Data'!I65="M","BOY","GIRL"))</f>
        <v>BOY</v>
      </c>
      <c r="I68" s="28">
        <f>IF('Paste SD Data'!J65="","",'Paste SD Data'!J65)</f>
        <v>40676</v>
      </c>
      <c r="J68" s="34">
        <f t="shared" si="0"/>
        <v>413</v>
      </c>
      <c r="K68" s="29" t="str">
        <f>IF('Paste SD Data'!O65="","",'Paste SD Data'!O65)</f>
        <v>OBC</v>
      </c>
    </row>
    <row r="69" spans="1:11" ht="30" customHeight="1" x14ac:dyDescent="0.25">
      <c r="A69" s="25">
        <f>IF(Table1[[#This Row],[Name of Student]]="","",ROWS($A$1:A65))</f>
        <v>65</v>
      </c>
      <c r="B69" s="26">
        <f>IF('Paste SD Data'!A66="","",'Paste SD Data'!A66)</f>
        <v>4</v>
      </c>
      <c r="C69" s="26" t="str">
        <f>IF('Paste SD Data'!B66="","",'Paste SD Data'!B66)</f>
        <v>A</v>
      </c>
      <c r="D69" s="26">
        <f>IF('Paste SD Data'!C66="","",'Paste SD Data'!C66)</f>
        <v>14006</v>
      </c>
      <c r="E69" s="27" t="str">
        <f>IF('Paste SD Data'!E66="","",UPPER('Paste SD Data'!E66))</f>
        <v>PRAVEEN MALI</v>
      </c>
      <c r="F69" s="27" t="str">
        <f>IF('Paste SD Data'!G66="","",UPPER('Paste SD Data'!G66))</f>
        <v>MUKESH MALI</v>
      </c>
      <c r="G69" s="27" t="str">
        <f>IF('Paste SD Data'!H66="","",UPPER('Paste SD Data'!H66))</f>
        <v>REKHA MALI</v>
      </c>
      <c r="H69" s="26" t="str">
        <f>IF('Paste SD Data'!I66="","",IF('Paste SD Data'!I66="M","BOY","GIRL"))</f>
        <v>BOY</v>
      </c>
      <c r="I69" s="28">
        <f>IF('Paste SD Data'!J66="","",'Paste SD Data'!J66)</f>
        <v>40949</v>
      </c>
      <c r="J69" s="34">
        <f t="shared" si="0"/>
        <v>414</v>
      </c>
      <c r="K69" s="29" t="str">
        <f>IF('Paste SD Data'!O66="","",'Paste SD Data'!O66)</f>
        <v>OBC</v>
      </c>
    </row>
    <row r="70" spans="1:11" ht="30" customHeight="1" x14ac:dyDescent="0.25">
      <c r="A70" s="25">
        <f>IF(Table1[[#This Row],[Name of Student]]="","",ROWS($A$1:A66))</f>
        <v>66</v>
      </c>
      <c r="B70" s="26">
        <f>IF('Paste SD Data'!A67="","",'Paste SD Data'!A67)</f>
        <v>4</v>
      </c>
      <c r="C70" s="26" t="str">
        <f>IF('Paste SD Data'!B67="","",'Paste SD Data'!B67)</f>
        <v>A</v>
      </c>
      <c r="D70" s="26">
        <f>IF('Paste SD Data'!C67="","",'Paste SD Data'!C67)</f>
        <v>13718</v>
      </c>
      <c r="E70" s="27" t="str">
        <f>IF('Paste SD Data'!E67="","",UPPER('Paste SD Data'!E67))</f>
        <v>SHIBJEET SARAKAR</v>
      </c>
      <c r="F70" s="27" t="str">
        <f>IF('Paste SD Data'!G67="","",UPPER('Paste SD Data'!G67))</f>
        <v>PRABHAS SARAKAR</v>
      </c>
      <c r="G70" s="27" t="str">
        <f>IF('Paste SD Data'!H67="","",UPPER('Paste SD Data'!H67))</f>
        <v>FULMALA</v>
      </c>
      <c r="H70" s="26" t="str">
        <f>IF('Paste SD Data'!I67="","",IF('Paste SD Data'!I67="M","BOY","GIRL"))</f>
        <v>BOY</v>
      </c>
      <c r="I70" s="28">
        <f>IF('Paste SD Data'!J67="","",'Paste SD Data'!J67)</f>
        <v>41241</v>
      </c>
      <c r="J70" s="34">
        <f t="shared" si="0"/>
        <v>415</v>
      </c>
      <c r="K70" s="29" t="str">
        <f>IF('Paste SD Data'!O67="","",'Paste SD Data'!O67)</f>
        <v>OBC</v>
      </c>
    </row>
    <row r="71" spans="1:11" ht="30" customHeight="1" x14ac:dyDescent="0.25">
      <c r="A71" s="25">
        <f>IF(Table1[[#This Row],[Name of Student]]="","",ROWS($A$1:A67))</f>
        <v>67</v>
      </c>
      <c r="B71" s="26">
        <f>IF('Paste SD Data'!A68="","",'Paste SD Data'!A68)</f>
        <v>4</v>
      </c>
      <c r="C71" s="26" t="str">
        <f>IF('Paste SD Data'!B68="","",'Paste SD Data'!B68)</f>
        <v>A</v>
      </c>
      <c r="D71" s="26">
        <f>IF('Paste SD Data'!C68="","",'Paste SD Data'!C68)</f>
        <v>13600</v>
      </c>
      <c r="E71" s="27" t="str">
        <f>IF('Paste SD Data'!E68="","",UPPER('Paste SD Data'!E68))</f>
        <v>SHRVAN KUMAR SEN</v>
      </c>
      <c r="F71" s="27" t="str">
        <f>IF('Paste SD Data'!G68="","",UPPER('Paste SD Data'!G68))</f>
        <v>GANPAT LAL SEN</v>
      </c>
      <c r="G71" s="27" t="str">
        <f>IF('Paste SD Data'!H68="","",UPPER('Paste SD Data'!H68))</f>
        <v>MEENA DEVI</v>
      </c>
      <c r="H71" s="26" t="str">
        <f>IF('Paste SD Data'!I68="","",IF('Paste SD Data'!I68="M","BOY","GIRL"))</f>
        <v>BOY</v>
      </c>
      <c r="I71" s="28">
        <f>IF('Paste SD Data'!J68="","",'Paste SD Data'!J68)</f>
        <v>40556</v>
      </c>
      <c r="J71" s="34">
        <f t="shared" ref="J71:J134" si="1">J70+1</f>
        <v>416</v>
      </c>
      <c r="K71" s="29" t="str">
        <f>IF('Paste SD Data'!O68="","",'Paste SD Data'!O68)</f>
        <v>OBC</v>
      </c>
    </row>
    <row r="72" spans="1:11" ht="30" customHeight="1" x14ac:dyDescent="0.25">
      <c r="A72" s="25">
        <f>IF(Table1[[#This Row],[Name of Student]]="","",ROWS($A$1:A68))</f>
        <v>68</v>
      </c>
      <c r="B72" s="26">
        <f>IF('Paste SD Data'!A69="","",'Paste SD Data'!A69)</f>
        <v>4</v>
      </c>
      <c r="C72" s="26" t="str">
        <f>IF('Paste SD Data'!B69="","",'Paste SD Data'!B69)</f>
        <v>A</v>
      </c>
      <c r="D72" s="26">
        <f>IF('Paste SD Data'!C69="","",'Paste SD Data'!C69)</f>
        <v>13266</v>
      </c>
      <c r="E72" s="27" t="str">
        <f>IF('Paste SD Data'!E69="","",UPPER('Paste SD Data'!E69))</f>
        <v>TANISHA MALI</v>
      </c>
      <c r="F72" s="27" t="str">
        <f>IF('Paste SD Data'!G69="","",UPPER('Paste SD Data'!G69))</f>
        <v>OMPRAKASH MALI</v>
      </c>
      <c r="G72" s="27" t="str">
        <f>IF('Paste SD Data'!H69="","",UPPER('Paste SD Data'!H69))</f>
        <v>BASANTI</v>
      </c>
      <c r="H72" s="26" t="str">
        <f>IF('Paste SD Data'!I69="","",IF('Paste SD Data'!I69="M","BOY","GIRL"))</f>
        <v>GIRL</v>
      </c>
      <c r="I72" s="28">
        <f>IF('Paste SD Data'!J69="","",'Paste SD Data'!J69)</f>
        <v>40981</v>
      </c>
      <c r="J72" s="34">
        <f t="shared" si="1"/>
        <v>417</v>
      </c>
      <c r="K72" s="29" t="str">
        <f>IF('Paste SD Data'!O69="","",'Paste SD Data'!O69)</f>
        <v>OBC</v>
      </c>
    </row>
    <row r="73" spans="1:11" ht="30" customHeight="1" x14ac:dyDescent="0.25">
      <c r="A73" s="25">
        <f>IF(Table1[[#This Row],[Name of Student]]="","",ROWS($A$1:A69))</f>
        <v>69</v>
      </c>
      <c r="B73" s="26">
        <f>IF('Paste SD Data'!A70="","",'Paste SD Data'!A70)</f>
        <v>4</v>
      </c>
      <c r="C73" s="26" t="str">
        <f>IF('Paste SD Data'!B70="","",'Paste SD Data'!B70)</f>
        <v>A</v>
      </c>
      <c r="D73" s="26">
        <f>IF('Paste SD Data'!C70="","",'Paste SD Data'!C70)</f>
        <v>13623</v>
      </c>
      <c r="E73" s="27" t="str">
        <f>IF('Paste SD Data'!E70="","",UPPER('Paste SD Data'!E70))</f>
        <v>VIJENDRA MALI</v>
      </c>
      <c r="F73" s="27" t="str">
        <f>IF('Paste SD Data'!G70="","",UPPER('Paste SD Data'!G70))</f>
        <v>LADU LAL MALI</v>
      </c>
      <c r="G73" s="27" t="str">
        <f>IF('Paste SD Data'!H70="","",UPPER('Paste SD Data'!H70))</f>
        <v>SEEMA MALI</v>
      </c>
      <c r="H73" s="26" t="str">
        <f>IF('Paste SD Data'!I70="","",IF('Paste SD Data'!I70="M","BOY","GIRL"))</f>
        <v>BOY</v>
      </c>
      <c r="I73" s="28">
        <f>IF('Paste SD Data'!J70="","",'Paste SD Data'!J70)</f>
        <v>40797</v>
      </c>
      <c r="J73" s="34">
        <f t="shared" si="1"/>
        <v>418</v>
      </c>
      <c r="K73" s="29" t="str">
        <f>IF('Paste SD Data'!O70="","",'Paste SD Data'!O70)</f>
        <v>OBC</v>
      </c>
    </row>
    <row r="74" spans="1:11" ht="30" customHeight="1" x14ac:dyDescent="0.25">
      <c r="A74" s="25">
        <f>IF(Table1[[#This Row],[Name of Student]]="","",ROWS($A$1:A70))</f>
        <v>70</v>
      </c>
      <c r="B74" s="26">
        <f>IF('Paste SD Data'!A71="","",'Paste SD Data'!A71)</f>
        <v>4</v>
      </c>
      <c r="C74" s="26" t="str">
        <f>IF('Paste SD Data'!B71="","",'Paste SD Data'!B71)</f>
        <v>A</v>
      </c>
      <c r="D74" s="26">
        <f>IF('Paste SD Data'!C71="","",'Paste SD Data'!C71)</f>
        <v>13632</v>
      </c>
      <c r="E74" s="27" t="str">
        <f>IF('Paste SD Data'!E71="","",UPPER('Paste SD Data'!E71))</f>
        <v>VIRAT MALI</v>
      </c>
      <c r="F74" s="27" t="str">
        <f>IF('Paste SD Data'!G71="","",UPPER('Paste SD Data'!G71))</f>
        <v>JAGDISH MALI</v>
      </c>
      <c r="G74" s="27" t="str">
        <f>IF('Paste SD Data'!H71="","",UPPER('Paste SD Data'!H71))</f>
        <v>SONA MALI</v>
      </c>
      <c r="H74" s="26" t="str">
        <f>IF('Paste SD Data'!I71="","",IF('Paste SD Data'!I71="M","BOY","GIRL"))</f>
        <v>BOY</v>
      </c>
      <c r="I74" s="28">
        <f>IF('Paste SD Data'!J71="","",'Paste SD Data'!J71)</f>
        <v>40667</v>
      </c>
      <c r="J74" s="34">
        <f t="shared" si="1"/>
        <v>419</v>
      </c>
      <c r="K74" s="29" t="str">
        <f>IF('Paste SD Data'!O71="","",'Paste SD Data'!O71)</f>
        <v>OBC</v>
      </c>
    </row>
    <row r="75" spans="1:11" ht="30" customHeight="1" x14ac:dyDescent="0.25">
      <c r="A75" s="25">
        <f>IF(Table1[[#This Row],[Name of Student]]="","",ROWS($A$1:A71))</f>
        <v>71</v>
      </c>
      <c r="B75" s="26">
        <f>IF('Paste SD Data'!A72="","",'Paste SD Data'!A72)</f>
        <v>5</v>
      </c>
      <c r="C75" s="26" t="str">
        <f>IF('Paste SD Data'!B72="","",'Paste SD Data'!B72)</f>
        <v>A</v>
      </c>
      <c r="D75" s="26">
        <f>IF('Paste SD Data'!C72="","",'Paste SD Data'!C72)</f>
        <v>13012</v>
      </c>
      <c r="E75" s="27" t="str">
        <f>IF('Paste SD Data'!E72="","",UPPER('Paste SD Data'!E72))</f>
        <v>AARUSHI MALI</v>
      </c>
      <c r="F75" s="27" t="str">
        <f>IF('Paste SD Data'!G72="","",UPPER('Paste SD Data'!G72))</f>
        <v>KAILASH CHANDRA MALI</v>
      </c>
      <c r="G75" s="27" t="str">
        <f>IF('Paste SD Data'!H72="","",UPPER('Paste SD Data'!H72))</f>
        <v>TAMU BAI</v>
      </c>
      <c r="H75" s="26" t="str">
        <f>IF('Paste SD Data'!I72="","",IF('Paste SD Data'!I72="M","BOY","GIRL"))</f>
        <v>GIRL</v>
      </c>
      <c r="I75" s="28">
        <f>IF('Paste SD Data'!J72="","",'Paste SD Data'!J72)</f>
        <v>40879</v>
      </c>
      <c r="J75" s="34">
        <v>501</v>
      </c>
      <c r="K75" s="29" t="str">
        <f>IF('Paste SD Data'!O72="","",'Paste SD Data'!O72)</f>
        <v>OBC</v>
      </c>
    </row>
    <row r="76" spans="1:11" ht="30" customHeight="1" x14ac:dyDescent="0.25">
      <c r="A76" s="25">
        <f>IF(Table1[[#This Row],[Name of Student]]="","",ROWS($A$1:A72))</f>
        <v>72</v>
      </c>
      <c r="B76" s="26">
        <f>IF('Paste SD Data'!A73="","",'Paste SD Data'!A73)</f>
        <v>5</v>
      </c>
      <c r="C76" s="26" t="str">
        <f>IF('Paste SD Data'!B73="","",'Paste SD Data'!B73)</f>
        <v>A</v>
      </c>
      <c r="D76" s="26">
        <f>IF('Paste SD Data'!C73="","",'Paste SD Data'!C73)</f>
        <v>13588</v>
      </c>
      <c r="E76" s="27" t="str">
        <f>IF('Paste SD Data'!E73="","",UPPER('Paste SD Data'!E73))</f>
        <v>BHAVESH KUMAR SEN</v>
      </c>
      <c r="F76" s="27" t="str">
        <f>IF('Paste SD Data'!G73="","",UPPER('Paste SD Data'!G73))</f>
        <v>MUKESH KUMAR SEN</v>
      </c>
      <c r="G76" s="27" t="str">
        <f>IF('Paste SD Data'!H73="","",UPPER('Paste SD Data'!H73))</f>
        <v>ANITA SEN</v>
      </c>
      <c r="H76" s="26" t="str">
        <f>IF('Paste SD Data'!I73="","",IF('Paste SD Data'!I73="M","BOY","GIRL"))</f>
        <v>BOY</v>
      </c>
      <c r="I76" s="28">
        <f>IF('Paste SD Data'!J73="","",'Paste SD Data'!J73)</f>
        <v>39754</v>
      </c>
      <c r="J76" s="34">
        <f t="shared" si="1"/>
        <v>502</v>
      </c>
      <c r="K76" s="29" t="str">
        <f>IF('Paste SD Data'!O73="","",'Paste SD Data'!O73)</f>
        <v>OBC</v>
      </c>
    </row>
    <row r="77" spans="1:11" ht="30" customHeight="1" x14ac:dyDescent="0.25">
      <c r="A77" s="25">
        <f>IF(Table1[[#This Row],[Name of Student]]="","",ROWS($A$1:A73))</f>
        <v>73</v>
      </c>
      <c r="B77" s="26">
        <f>IF('Paste SD Data'!A74="","",'Paste SD Data'!A74)</f>
        <v>5</v>
      </c>
      <c r="C77" s="26" t="str">
        <f>IF('Paste SD Data'!B74="","",'Paste SD Data'!B74)</f>
        <v>A</v>
      </c>
      <c r="D77" s="26">
        <f>IF('Paste SD Data'!C74="","",'Paste SD Data'!C74)</f>
        <v>13430</v>
      </c>
      <c r="E77" s="27" t="str">
        <f>IF('Paste SD Data'!E74="","",UPPER('Paste SD Data'!E74))</f>
        <v>BHAVESH LOHAR</v>
      </c>
      <c r="F77" s="27" t="str">
        <f>IF('Paste SD Data'!G74="","",UPPER('Paste SD Data'!G74))</f>
        <v>GOVIND LAL LOHAR</v>
      </c>
      <c r="G77" s="27" t="str">
        <f>IF('Paste SD Data'!H74="","",UPPER('Paste SD Data'!H74))</f>
        <v>MEENA DEVI</v>
      </c>
      <c r="H77" s="26" t="str">
        <f>IF('Paste SD Data'!I74="","",IF('Paste SD Data'!I74="M","BOY","GIRL"))</f>
        <v>BOY</v>
      </c>
      <c r="I77" s="28">
        <f>IF('Paste SD Data'!J74="","",'Paste SD Data'!J74)</f>
        <v>40575</v>
      </c>
      <c r="J77" s="34">
        <f t="shared" si="1"/>
        <v>503</v>
      </c>
      <c r="K77" s="29" t="str">
        <f>IF('Paste SD Data'!O74="","",'Paste SD Data'!O74)</f>
        <v>OBC</v>
      </c>
    </row>
    <row r="78" spans="1:11" ht="30" customHeight="1" x14ac:dyDescent="0.25">
      <c r="A78" s="25">
        <f>IF(Table1[[#This Row],[Name of Student]]="","",ROWS($A$1:A74))</f>
        <v>74</v>
      </c>
      <c r="B78" s="26">
        <f>IF('Paste SD Data'!A75="","",'Paste SD Data'!A75)</f>
        <v>5</v>
      </c>
      <c r="C78" s="26" t="str">
        <f>IF('Paste SD Data'!B75="","",'Paste SD Data'!B75)</f>
        <v>A</v>
      </c>
      <c r="D78" s="26">
        <f>IF('Paste SD Data'!C75="","",'Paste SD Data'!C75)</f>
        <v>12653</v>
      </c>
      <c r="E78" s="27" t="str">
        <f>IF('Paste SD Data'!E75="","",UPPER('Paste SD Data'!E75))</f>
        <v>BHAVESH MALI</v>
      </c>
      <c r="F78" s="27" t="str">
        <f>IF('Paste SD Data'!G75="","",UPPER('Paste SD Data'!G75))</f>
        <v>KAILASH MALI</v>
      </c>
      <c r="G78" s="27" t="str">
        <f>IF('Paste SD Data'!H75="","",UPPER('Paste SD Data'!H75))</f>
        <v>PUSHPA MALI</v>
      </c>
      <c r="H78" s="26" t="str">
        <f>IF('Paste SD Data'!I75="","",IF('Paste SD Data'!I75="M","BOY","GIRL"))</f>
        <v>BOY</v>
      </c>
      <c r="I78" s="28">
        <f>IF('Paste SD Data'!J75="","",'Paste SD Data'!J75)</f>
        <v>40936</v>
      </c>
      <c r="J78" s="34">
        <f t="shared" si="1"/>
        <v>504</v>
      </c>
      <c r="K78" s="29" t="str">
        <f>IF('Paste SD Data'!O75="","",'Paste SD Data'!O75)</f>
        <v>OBC</v>
      </c>
    </row>
    <row r="79" spans="1:11" ht="30" customHeight="1" x14ac:dyDescent="0.25">
      <c r="A79" s="25">
        <f>IF(Table1[[#This Row],[Name of Student]]="","",ROWS($A$1:A75))</f>
        <v>75</v>
      </c>
      <c r="B79" s="26">
        <f>IF('Paste SD Data'!A76="","",'Paste SD Data'!A76)</f>
        <v>5</v>
      </c>
      <c r="C79" s="26" t="str">
        <f>IF('Paste SD Data'!B76="","",'Paste SD Data'!B76)</f>
        <v>A</v>
      </c>
      <c r="D79" s="26">
        <f>IF('Paste SD Data'!C76="","",'Paste SD Data'!C76)</f>
        <v>12704</v>
      </c>
      <c r="E79" s="27" t="str">
        <f>IF('Paste SD Data'!E76="","",UPPER('Paste SD Data'!E76))</f>
        <v>BHAVESH MALI</v>
      </c>
      <c r="F79" s="27" t="str">
        <f>IF('Paste SD Data'!G76="","",UPPER('Paste SD Data'!G76))</f>
        <v>BHANWAR LAL MALI</v>
      </c>
      <c r="G79" s="27" t="str">
        <f>IF('Paste SD Data'!H76="","",UPPER('Paste SD Data'!H76))</f>
        <v>MANJU MALI</v>
      </c>
      <c r="H79" s="26" t="str">
        <f>IF('Paste SD Data'!I76="","",IF('Paste SD Data'!I76="M","BOY","GIRL"))</f>
        <v>BOY</v>
      </c>
      <c r="I79" s="28">
        <f>IF('Paste SD Data'!J76="","",'Paste SD Data'!J76)</f>
        <v>40493</v>
      </c>
      <c r="J79" s="34">
        <f t="shared" si="1"/>
        <v>505</v>
      </c>
      <c r="K79" s="29" t="str">
        <f>IF('Paste SD Data'!O76="","",'Paste SD Data'!O76)</f>
        <v>OBC</v>
      </c>
    </row>
    <row r="80" spans="1:11" ht="30" customHeight="1" x14ac:dyDescent="0.25">
      <c r="A80" s="25">
        <f>IF(Table1[[#This Row],[Name of Student]]="","",ROWS($A$1:A76))</f>
        <v>76</v>
      </c>
      <c r="B80" s="26">
        <f>IF('Paste SD Data'!A77="","",'Paste SD Data'!A77)</f>
        <v>5</v>
      </c>
      <c r="C80" s="26" t="str">
        <f>IF('Paste SD Data'!B77="","",'Paste SD Data'!B77)</f>
        <v>A</v>
      </c>
      <c r="D80" s="26">
        <f>IF('Paste SD Data'!C77="","",'Paste SD Data'!C77)</f>
        <v>12873</v>
      </c>
      <c r="E80" s="27" t="str">
        <f>IF('Paste SD Data'!E77="","",UPPER('Paste SD Data'!E77))</f>
        <v>BHAWESH PRAJAPAT</v>
      </c>
      <c r="F80" s="27" t="str">
        <f>IF('Paste SD Data'!G77="","",UPPER('Paste SD Data'!G77))</f>
        <v>LAXMAN LAL</v>
      </c>
      <c r="G80" s="27" t="str">
        <f>IF('Paste SD Data'!H77="","",UPPER('Paste SD Data'!H77))</f>
        <v>RATAN DEVI</v>
      </c>
      <c r="H80" s="26" t="str">
        <f>IF('Paste SD Data'!I77="","",IF('Paste SD Data'!I77="M","BOY","GIRL"))</f>
        <v>BOY</v>
      </c>
      <c r="I80" s="28">
        <f>IF('Paste SD Data'!J77="","",'Paste SD Data'!J77)</f>
        <v>40909</v>
      </c>
      <c r="J80" s="34">
        <f t="shared" si="1"/>
        <v>506</v>
      </c>
      <c r="K80" s="29" t="str">
        <f>IF('Paste SD Data'!O77="","",'Paste SD Data'!O77)</f>
        <v>OBC</v>
      </c>
    </row>
    <row r="81" spans="1:11" ht="30" customHeight="1" x14ac:dyDescent="0.25">
      <c r="A81" s="25">
        <f>IF(Table1[[#This Row],[Name of Student]]="","",ROWS($A$1:A77))</f>
        <v>77</v>
      </c>
      <c r="B81" s="26">
        <f>IF('Paste SD Data'!A78="","",'Paste SD Data'!A78)</f>
        <v>5</v>
      </c>
      <c r="C81" s="26" t="str">
        <f>IF('Paste SD Data'!B78="","",'Paste SD Data'!B78)</f>
        <v>A</v>
      </c>
      <c r="D81" s="26">
        <f>IF('Paste SD Data'!C78="","",'Paste SD Data'!C78)</f>
        <v>13113</v>
      </c>
      <c r="E81" s="27" t="str">
        <f>IF('Paste SD Data'!E78="","",UPPER('Paste SD Data'!E78))</f>
        <v>CHETANA TAILOR</v>
      </c>
      <c r="F81" s="27" t="str">
        <f>IF('Paste SD Data'!G78="","",UPPER('Paste SD Data'!G78))</f>
        <v>DEVI LAL</v>
      </c>
      <c r="G81" s="27" t="str">
        <f>IF('Paste SD Data'!H78="","",UPPER('Paste SD Data'!H78))</f>
        <v>MEERA DEVI</v>
      </c>
      <c r="H81" s="26" t="str">
        <f>IF('Paste SD Data'!I78="","",IF('Paste SD Data'!I78="M","BOY","GIRL"))</f>
        <v>GIRL</v>
      </c>
      <c r="I81" s="28">
        <f>IF('Paste SD Data'!J78="","",'Paste SD Data'!J78)</f>
        <v>40467</v>
      </c>
      <c r="J81" s="34">
        <f t="shared" si="1"/>
        <v>507</v>
      </c>
      <c r="K81" s="29" t="str">
        <f>IF('Paste SD Data'!O78="","",'Paste SD Data'!O78)</f>
        <v>OBC</v>
      </c>
    </row>
    <row r="82" spans="1:11" ht="30" customHeight="1" x14ac:dyDescent="0.25">
      <c r="A82" s="25">
        <f>IF(Table1[[#This Row],[Name of Student]]="","",ROWS($A$1:A78))</f>
        <v>78</v>
      </c>
      <c r="B82" s="26">
        <f>IF('Paste SD Data'!A79="","",'Paste SD Data'!A79)</f>
        <v>5</v>
      </c>
      <c r="C82" s="26" t="str">
        <f>IF('Paste SD Data'!B79="","",'Paste SD Data'!B79)</f>
        <v>A</v>
      </c>
      <c r="D82" s="26">
        <f>IF('Paste SD Data'!C79="","",'Paste SD Data'!C79)</f>
        <v>14004</v>
      </c>
      <c r="E82" s="27" t="str">
        <f>IF('Paste SD Data'!E79="","",UPPER('Paste SD Data'!E79))</f>
        <v>KANHAIYA SUKHWAL</v>
      </c>
      <c r="F82" s="27" t="str">
        <f>IF('Paste SD Data'!G79="","",UPPER('Paste SD Data'!G79))</f>
        <v>SATYA NARAYAN SUKHWAL</v>
      </c>
      <c r="G82" s="27" t="str">
        <f>IF('Paste SD Data'!H79="","",UPPER('Paste SD Data'!H79))</f>
        <v>KAMLA DEVI</v>
      </c>
      <c r="H82" s="26" t="str">
        <f>IF('Paste SD Data'!I79="","",IF('Paste SD Data'!I79="M","BOY","GIRL"))</f>
        <v>BOY</v>
      </c>
      <c r="I82" s="28">
        <f>IF('Paste SD Data'!J79="","",'Paste SD Data'!J79)</f>
        <v>40070</v>
      </c>
      <c r="J82" s="34">
        <f t="shared" si="1"/>
        <v>508</v>
      </c>
      <c r="K82" s="29" t="str">
        <f>IF('Paste SD Data'!O79="","",'Paste SD Data'!O79)</f>
        <v>GEN</v>
      </c>
    </row>
    <row r="83" spans="1:11" ht="30" customHeight="1" x14ac:dyDescent="0.25">
      <c r="A83" s="25">
        <f>IF(Table1[[#This Row],[Name of Student]]="","",ROWS($A$1:A79))</f>
        <v>79</v>
      </c>
      <c r="B83" s="26">
        <f>IF('Paste SD Data'!A80="","",'Paste SD Data'!A80)</f>
        <v>5</v>
      </c>
      <c r="C83" s="26" t="str">
        <f>IF('Paste SD Data'!B80="","",'Paste SD Data'!B80)</f>
        <v>A</v>
      </c>
      <c r="D83" s="26">
        <f>IF('Paste SD Data'!C80="","",'Paste SD Data'!C80)</f>
        <v>13165</v>
      </c>
      <c r="E83" s="27" t="str">
        <f>IF('Paste SD Data'!E80="","",UPPER('Paste SD Data'!E80))</f>
        <v>KAVYANSH SINGH PANVAR</v>
      </c>
      <c r="F83" s="27" t="str">
        <f>IF('Paste SD Data'!G80="","",UPPER('Paste SD Data'!G80))</f>
        <v>KARAN SINGH</v>
      </c>
      <c r="G83" s="27" t="str">
        <f>IF('Paste SD Data'!H80="","",UPPER('Paste SD Data'!H80))</f>
        <v>TARA PANVAR</v>
      </c>
      <c r="H83" s="26" t="str">
        <f>IF('Paste SD Data'!I80="","",IF('Paste SD Data'!I80="M","BOY","GIRL"))</f>
        <v>BOY</v>
      </c>
      <c r="I83" s="28">
        <f>IF('Paste SD Data'!J80="","",'Paste SD Data'!J80)</f>
        <v>39877</v>
      </c>
      <c r="J83" s="34">
        <f t="shared" si="1"/>
        <v>509</v>
      </c>
      <c r="K83" s="29" t="str">
        <f>IF('Paste SD Data'!O80="","",'Paste SD Data'!O80)</f>
        <v>OBC</v>
      </c>
    </row>
    <row r="84" spans="1:11" ht="30" customHeight="1" x14ac:dyDescent="0.25">
      <c r="A84" s="25">
        <f>IF(Table1[[#This Row],[Name of Student]]="","",ROWS($A$1:A80))</f>
        <v>80</v>
      </c>
      <c r="B84" s="26">
        <f>IF('Paste SD Data'!A81="","",'Paste SD Data'!A81)</f>
        <v>5</v>
      </c>
      <c r="C84" s="26" t="str">
        <f>IF('Paste SD Data'!B81="","",'Paste SD Data'!B81)</f>
        <v>A</v>
      </c>
      <c r="D84" s="26">
        <f>IF('Paste SD Data'!C81="","",'Paste SD Data'!C81)</f>
        <v>13537</v>
      </c>
      <c r="E84" s="27" t="str">
        <f>IF('Paste SD Data'!E81="","",UPPER('Paste SD Data'!E81))</f>
        <v>KHUSHAL PRAJAPAT</v>
      </c>
      <c r="F84" s="27" t="str">
        <f>IF('Paste SD Data'!G81="","",UPPER('Paste SD Data'!G81))</f>
        <v>DINESH PRAJAPAT</v>
      </c>
      <c r="G84" s="27" t="str">
        <f>IF('Paste SD Data'!H81="","",UPPER('Paste SD Data'!H81))</f>
        <v>MANJU PRAJAPAT</v>
      </c>
      <c r="H84" s="26" t="str">
        <f>IF('Paste SD Data'!I81="","",IF('Paste SD Data'!I81="M","BOY","GIRL"))</f>
        <v>BOY</v>
      </c>
      <c r="I84" s="28">
        <f>IF('Paste SD Data'!J81="","",'Paste SD Data'!J81)</f>
        <v>40167</v>
      </c>
      <c r="J84" s="34">
        <f t="shared" si="1"/>
        <v>510</v>
      </c>
      <c r="K84" s="29" t="str">
        <f>IF('Paste SD Data'!O81="","",'Paste SD Data'!O81)</f>
        <v>OBC</v>
      </c>
    </row>
    <row r="85" spans="1:11" ht="30" customHeight="1" x14ac:dyDescent="0.25">
      <c r="A85" s="25">
        <f>IF(Table1[[#This Row],[Name of Student]]="","",ROWS($A$1:A81))</f>
        <v>81</v>
      </c>
      <c r="B85" s="26">
        <f>IF('Paste SD Data'!A82="","",'Paste SD Data'!A82)</f>
        <v>5</v>
      </c>
      <c r="C85" s="26" t="str">
        <f>IF('Paste SD Data'!B82="","",'Paste SD Data'!B82)</f>
        <v>A</v>
      </c>
      <c r="D85" s="26">
        <f>IF('Paste SD Data'!C82="","",'Paste SD Data'!C82)</f>
        <v>13106</v>
      </c>
      <c r="E85" s="27" t="str">
        <f>IF('Paste SD Data'!E82="","",UPPER('Paste SD Data'!E82))</f>
        <v>KHUSHI LOHAR</v>
      </c>
      <c r="F85" s="27" t="str">
        <f>IF('Paste SD Data'!G82="","",UPPER('Paste SD Data'!G82))</f>
        <v>BHAWER LAL</v>
      </c>
      <c r="G85" s="27" t="str">
        <f>IF('Paste SD Data'!H82="","",UPPER('Paste SD Data'!H82))</f>
        <v>SANTOSH DEVI</v>
      </c>
      <c r="H85" s="26" t="str">
        <f>IF('Paste SD Data'!I82="","",IF('Paste SD Data'!I82="M","BOY","GIRL"))</f>
        <v>GIRL</v>
      </c>
      <c r="I85" s="28">
        <f>IF('Paste SD Data'!J82="","",'Paste SD Data'!J82)</f>
        <v>41481</v>
      </c>
      <c r="J85" s="34">
        <f t="shared" si="1"/>
        <v>511</v>
      </c>
      <c r="K85" s="29" t="str">
        <f>IF('Paste SD Data'!O82="","",'Paste SD Data'!O82)</f>
        <v>OBC</v>
      </c>
    </row>
    <row r="86" spans="1:11" ht="30" customHeight="1" x14ac:dyDescent="0.25">
      <c r="A86" s="25">
        <f>IF(Table1[[#This Row],[Name of Student]]="","",ROWS($A$1:A82))</f>
        <v>82</v>
      </c>
      <c r="B86" s="26">
        <f>IF('Paste SD Data'!A83="","",'Paste SD Data'!A83)</f>
        <v>5</v>
      </c>
      <c r="C86" s="26" t="str">
        <f>IF('Paste SD Data'!B83="","",'Paste SD Data'!B83)</f>
        <v>A</v>
      </c>
      <c r="D86" s="26">
        <f>IF('Paste SD Data'!C83="","",'Paste SD Data'!C83)</f>
        <v>13662</v>
      </c>
      <c r="E86" s="27" t="str">
        <f>IF('Paste SD Data'!E83="","",UPPER('Paste SD Data'!E83))</f>
        <v>KRISHNA KUMARI</v>
      </c>
      <c r="F86" s="27" t="str">
        <f>IF('Paste SD Data'!G83="","",UPPER('Paste SD Data'!G83))</f>
        <v>VIJAY SINGH</v>
      </c>
      <c r="G86" s="27" t="str">
        <f>IF('Paste SD Data'!H83="","",UPPER('Paste SD Data'!H83))</f>
        <v>SHANTA DEVI</v>
      </c>
      <c r="H86" s="26" t="str">
        <f>IF('Paste SD Data'!I83="","",IF('Paste SD Data'!I83="M","BOY","GIRL"))</f>
        <v>GIRL</v>
      </c>
      <c r="I86" s="28">
        <f>IF('Paste SD Data'!J83="","",'Paste SD Data'!J83)</f>
        <v>40627</v>
      </c>
      <c r="J86" s="34">
        <f t="shared" si="1"/>
        <v>512</v>
      </c>
      <c r="K86" s="29" t="str">
        <f>IF('Paste SD Data'!O83="","",'Paste SD Data'!O83)</f>
        <v>OBC</v>
      </c>
    </row>
    <row r="87" spans="1:11" ht="30" customHeight="1" x14ac:dyDescent="0.25">
      <c r="A87" s="25">
        <f>IF(Table1[[#This Row],[Name of Student]]="","",ROWS($A$1:A83))</f>
        <v>83</v>
      </c>
      <c r="B87" s="26">
        <f>IF('Paste SD Data'!A84="","",'Paste SD Data'!A84)</f>
        <v>5</v>
      </c>
      <c r="C87" s="26" t="str">
        <f>IF('Paste SD Data'!B84="","",'Paste SD Data'!B84)</f>
        <v>A</v>
      </c>
      <c r="D87" s="26">
        <f>IF('Paste SD Data'!C84="","",'Paste SD Data'!C84)</f>
        <v>13987</v>
      </c>
      <c r="E87" s="27" t="str">
        <f>IF('Paste SD Data'!E84="","",UPPER('Paste SD Data'!E84))</f>
        <v>KRISHNA SUTHAR</v>
      </c>
      <c r="F87" s="27" t="str">
        <f>IF('Paste SD Data'!G84="","",UPPER('Paste SD Data'!G84))</f>
        <v>OM PRAKASH SUTHAR</v>
      </c>
      <c r="G87" s="27" t="str">
        <f>IF('Paste SD Data'!H84="","",UPPER('Paste SD Data'!H84))</f>
        <v>TAMU DEVI</v>
      </c>
      <c r="H87" s="26" t="str">
        <f>IF('Paste SD Data'!I84="","",IF('Paste SD Data'!I84="M","BOY","GIRL"))</f>
        <v>GIRL</v>
      </c>
      <c r="I87" s="28">
        <f>IF('Paste SD Data'!J84="","",'Paste SD Data'!J84)</f>
        <v>40784</v>
      </c>
      <c r="J87" s="34">
        <f t="shared" si="1"/>
        <v>513</v>
      </c>
      <c r="K87" s="29" t="str">
        <f>IF('Paste SD Data'!O84="","",'Paste SD Data'!O84)</f>
        <v>OBC</v>
      </c>
    </row>
    <row r="88" spans="1:11" ht="30" customHeight="1" x14ac:dyDescent="0.25">
      <c r="A88" s="25">
        <f>IF(Table1[[#This Row],[Name of Student]]="","",ROWS($A$1:A84))</f>
        <v>84</v>
      </c>
      <c r="B88" s="26">
        <f>IF('Paste SD Data'!A85="","",'Paste SD Data'!A85)</f>
        <v>5</v>
      </c>
      <c r="C88" s="26" t="str">
        <f>IF('Paste SD Data'!B85="","",'Paste SD Data'!B85)</f>
        <v>A</v>
      </c>
      <c r="D88" s="26">
        <f>IF('Paste SD Data'!C85="","",'Paste SD Data'!C85)</f>
        <v>13982</v>
      </c>
      <c r="E88" s="27" t="str">
        <f>IF('Paste SD Data'!E85="","",UPPER('Paste SD Data'!E85))</f>
        <v>LUCKKY PRAJAPAT</v>
      </c>
      <c r="F88" s="27" t="str">
        <f>IF('Paste SD Data'!G85="","",UPPER('Paste SD Data'!G85))</f>
        <v>SHESH MAL PRAJAPAT</v>
      </c>
      <c r="G88" s="27" t="str">
        <f>IF('Paste SD Data'!H85="","",UPPER('Paste SD Data'!H85))</f>
        <v>REKHA</v>
      </c>
      <c r="H88" s="26" t="str">
        <f>IF('Paste SD Data'!I85="","",IF('Paste SD Data'!I85="M","BOY","GIRL"))</f>
        <v>BOY</v>
      </c>
      <c r="I88" s="28">
        <f>IF('Paste SD Data'!J85="","",'Paste SD Data'!J85)</f>
        <v>40454</v>
      </c>
      <c r="J88" s="34">
        <f t="shared" si="1"/>
        <v>514</v>
      </c>
      <c r="K88" s="29" t="str">
        <f>IF('Paste SD Data'!O85="","",'Paste SD Data'!O85)</f>
        <v>OBC</v>
      </c>
    </row>
    <row r="89" spans="1:11" ht="30" customHeight="1" x14ac:dyDescent="0.25">
      <c r="A89" s="25">
        <f>IF(Table1[[#This Row],[Name of Student]]="","",ROWS($A$1:A85))</f>
        <v>85</v>
      </c>
      <c r="B89" s="26">
        <f>IF('Paste SD Data'!A86="","",'Paste SD Data'!A86)</f>
        <v>5</v>
      </c>
      <c r="C89" s="26" t="str">
        <f>IF('Paste SD Data'!B86="","",'Paste SD Data'!B86)</f>
        <v>A</v>
      </c>
      <c r="D89" s="26">
        <f>IF('Paste SD Data'!C86="","",'Paste SD Data'!C86)</f>
        <v>13642</v>
      </c>
      <c r="E89" s="27" t="str">
        <f>IF('Paste SD Data'!E86="","",UPPER('Paste SD Data'!E86))</f>
        <v>MAYANK SEN</v>
      </c>
      <c r="F89" s="27" t="str">
        <f>IF('Paste SD Data'!G86="","",UPPER('Paste SD Data'!G86))</f>
        <v>LALIT KUMAR SEN</v>
      </c>
      <c r="G89" s="27" t="str">
        <f>IF('Paste SD Data'!H86="","",UPPER('Paste SD Data'!H86))</f>
        <v>INDUBALA SEN</v>
      </c>
      <c r="H89" s="26" t="str">
        <f>IF('Paste SD Data'!I86="","",IF('Paste SD Data'!I86="M","BOY","GIRL"))</f>
        <v>BOY</v>
      </c>
      <c r="I89" s="28">
        <f>IF('Paste SD Data'!J86="","",'Paste SD Data'!J86)</f>
        <v>40703</v>
      </c>
      <c r="J89" s="34">
        <f t="shared" si="1"/>
        <v>515</v>
      </c>
      <c r="K89" s="29" t="str">
        <f>IF('Paste SD Data'!O86="","",'Paste SD Data'!O86)</f>
        <v>OBC</v>
      </c>
    </row>
    <row r="90" spans="1:11" ht="30" customHeight="1" x14ac:dyDescent="0.25">
      <c r="A90" s="25">
        <f>IF(Table1[[#This Row],[Name of Student]]="","",ROWS($A$1:A86))</f>
        <v>86</v>
      </c>
      <c r="B90" s="26">
        <f>IF('Paste SD Data'!A87="","",'Paste SD Data'!A87)</f>
        <v>5</v>
      </c>
      <c r="C90" s="26" t="str">
        <f>IF('Paste SD Data'!B87="","",'Paste SD Data'!B87)</f>
        <v>A</v>
      </c>
      <c r="D90" s="26">
        <f>IF('Paste SD Data'!C87="","",'Paste SD Data'!C87)</f>
        <v>13691</v>
      </c>
      <c r="E90" s="27" t="str">
        <f>IF('Paste SD Data'!E87="","",UPPER('Paste SD Data'!E87))</f>
        <v>NIHARIKA</v>
      </c>
      <c r="F90" s="27" t="str">
        <f>IF('Paste SD Data'!G87="","",UPPER('Paste SD Data'!G87))</f>
        <v>KISHAN LAL</v>
      </c>
      <c r="G90" s="27" t="str">
        <f>IF('Paste SD Data'!H87="","",UPPER('Paste SD Data'!H87))</f>
        <v>ASHA</v>
      </c>
      <c r="H90" s="26" t="str">
        <f>IF('Paste SD Data'!I87="","",IF('Paste SD Data'!I87="M","BOY","GIRL"))</f>
        <v>GIRL</v>
      </c>
      <c r="I90" s="28">
        <f>IF('Paste SD Data'!J87="","",'Paste SD Data'!J87)</f>
        <v>40877</v>
      </c>
      <c r="J90" s="34">
        <f t="shared" si="1"/>
        <v>516</v>
      </c>
      <c r="K90" s="29" t="str">
        <f>IF('Paste SD Data'!O87="","",'Paste SD Data'!O87)</f>
        <v>OBC</v>
      </c>
    </row>
    <row r="91" spans="1:11" ht="30" customHeight="1" x14ac:dyDescent="0.25">
      <c r="A91" s="25">
        <f>IF(Table1[[#This Row],[Name of Student]]="","",ROWS($A$1:A87))</f>
        <v>87</v>
      </c>
      <c r="B91" s="26">
        <f>IF('Paste SD Data'!A88="","",'Paste SD Data'!A88)</f>
        <v>5</v>
      </c>
      <c r="C91" s="26" t="str">
        <f>IF('Paste SD Data'!B88="","",'Paste SD Data'!B88)</f>
        <v>A</v>
      </c>
      <c r="D91" s="26">
        <f>IF('Paste SD Data'!C88="","",'Paste SD Data'!C88)</f>
        <v>12703</v>
      </c>
      <c r="E91" s="27" t="str">
        <f>IF('Paste SD Data'!E88="","",UPPER('Paste SD Data'!E88))</f>
        <v>NIRMA MALI</v>
      </c>
      <c r="F91" s="27" t="str">
        <f>IF('Paste SD Data'!G88="","",UPPER('Paste SD Data'!G88))</f>
        <v>KANARAM MALI</v>
      </c>
      <c r="G91" s="27" t="str">
        <f>IF('Paste SD Data'!H88="","",UPPER('Paste SD Data'!H88))</f>
        <v>SANTOKI BAI</v>
      </c>
      <c r="H91" s="26" t="str">
        <f>IF('Paste SD Data'!I88="","",IF('Paste SD Data'!I88="M","BOY","GIRL"))</f>
        <v>GIRL</v>
      </c>
      <c r="I91" s="28">
        <f>IF('Paste SD Data'!J88="","",'Paste SD Data'!J88)</f>
        <v>40794</v>
      </c>
      <c r="J91" s="34">
        <f t="shared" si="1"/>
        <v>517</v>
      </c>
      <c r="K91" s="29" t="str">
        <f>IF('Paste SD Data'!O88="","",'Paste SD Data'!O88)</f>
        <v>OBC</v>
      </c>
    </row>
    <row r="92" spans="1:11" ht="30" customHeight="1" x14ac:dyDescent="0.25">
      <c r="A92" s="25">
        <f>IF(Table1[[#This Row],[Name of Student]]="","",ROWS($A$1:A88))</f>
        <v>88</v>
      </c>
      <c r="B92" s="26">
        <f>IF('Paste SD Data'!A89="","",'Paste SD Data'!A89)</f>
        <v>5</v>
      </c>
      <c r="C92" s="26" t="str">
        <f>IF('Paste SD Data'!B89="","",'Paste SD Data'!B89)</f>
        <v>A</v>
      </c>
      <c r="D92" s="26">
        <f>IF('Paste SD Data'!C89="","",'Paste SD Data'!C89)</f>
        <v>13267</v>
      </c>
      <c r="E92" s="27" t="str">
        <f>IF('Paste SD Data'!E89="","",UPPER('Paste SD Data'!E89))</f>
        <v>POOJA LOHAR</v>
      </c>
      <c r="F92" s="27" t="str">
        <f>IF('Paste SD Data'!G89="","",UPPER('Paste SD Data'!G89))</f>
        <v>SOHAN LAL LOHAR</v>
      </c>
      <c r="G92" s="27" t="str">
        <f>IF('Paste SD Data'!H89="","",UPPER('Paste SD Data'!H89))</f>
        <v>SUKHI DEVI</v>
      </c>
      <c r="H92" s="26" t="str">
        <f>IF('Paste SD Data'!I89="","",IF('Paste SD Data'!I89="M","BOY","GIRL"))</f>
        <v>GIRL</v>
      </c>
      <c r="I92" s="28">
        <f>IF('Paste SD Data'!J89="","",'Paste SD Data'!J89)</f>
        <v>40179</v>
      </c>
      <c r="J92" s="34">
        <f t="shared" si="1"/>
        <v>518</v>
      </c>
      <c r="K92" s="29" t="str">
        <f>IF('Paste SD Data'!O89="","",'Paste SD Data'!O89)</f>
        <v>OBC</v>
      </c>
    </row>
    <row r="93" spans="1:11" ht="30" customHeight="1" x14ac:dyDescent="0.25">
      <c r="A93" s="25">
        <f>IF(Table1[[#This Row],[Name of Student]]="","",ROWS($A$1:A89))</f>
        <v>89</v>
      </c>
      <c r="B93" s="26">
        <f>IF('Paste SD Data'!A90="","",'Paste SD Data'!A90)</f>
        <v>5</v>
      </c>
      <c r="C93" s="26" t="str">
        <f>IF('Paste SD Data'!B90="","",'Paste SD Data'!B90)</f>
        <v>A</v>
      </c>
      <c r="D93" s="26">
        <f>IF('Paste SD Data'!C90="","",'Paste SD Data'!C90)</f>
        <v>12707</v>
      </c>
      <c r="E93" s="27" t="str">
        <f>IF('Paste SD Data'!E90="","",UPPER('Paste SD Data'!E90))</f>
        <v>POONAM MALI</v>
      </c>
      <c r="F93" s="27" t="str">
        <f>IF('Paste SD Data'!G90="","",UPPER('Paste SD Data'!G90))</f>
        <v>RAMESH MALI</v>
      </c>
      <c r="G93" s="27" t="str">
        <f>IF('Paste SD Data'!H90="","",UPPER('Paste SD Data'!H90))</f>
        <v>ANACHHI BAI</v>
      </c>
      <c r="H93" s="26" t="str">
        <f>IF('Paste SD Data'!I90="","",IF('Paste SD Data'!I90="M","BOY","GIRL"))</f>
        <v>GIRL</v>
      </c>
      <c r="I93" s="28">
        <f>IF('Paste SD Data'!J90="","",'Paste SD Data'!J90)</f>
        <v>41167</v>
      </c>
      <c r="J93" s="34">
        <f t="shared" si="1"/>
        <v>519</v>
      </c>
      <c r="K93" s="29" t="str">
        <f>IF('Paste SD Data'!O90="","",'Paste SD Data'!O90)</f>
        <v>OBC</v>
      </c>
    </row>
    <row r="94" spans="1:11" ht="30" customHeight="1" x14ac:dyDescent="0.25">
      <c r="A94" s="25">
        <f>IF(Table1[[#This Row],[Name of Student]]="","",ROWS($A$1:A90))</f>
        <v>90</v>
      </c>
      <c r="B94" s="26">
        <f>IF('Paste SD Data'!A91="","",'Paste SD Data'!A91)</f>
        <v>5</v>
      </c>
      <c r="C94" s="26" t="str">
        <f>IF('Paste SD Data'!B91="","",'Paste SD Data'!B91)</f>
        <v>A</v>
      </c>
      <c r="D94" s="26">
        <f>IF('Paste SD Data'!C91="","",'Paste SD Data'!C91)</f>
        <v>13688</v>
      </c>
      <c r="E94" s="27" t="str">
        <f>IF('Paste SD Data'!E91="","",UPPER('Paste SD Data'!E91))</f>
        <v>PRAVEEN PRAJAPAT</v>
      </c>
      <c r="F94" s="27" t="str">
        <f>IF('Paste SD Data'!G91="","",UPPER('Paste SD Data'!G91))</f>
        <v>ASHOK PRAJAPAT</v>
      </c>
      <c r="G94" s="27" t="str">
        <f>IF('Paste SD Data'!H91="","",UPPER('Paste SD Data'!H91))</f>
        <v>MANJU DEVI</v>
      </c>
      <c r="H94" s="26" t="str">
        <f>IF('Paste SD Data'!I91="","",IF('Paste SD Data'!I91="M","BOY","GIRL"))</f>
        <v>BOY</v>
      </c>
      <c r="I94" s="28">
        <f>IF('Paste SD Data'!J91="","",'Paste SD Data'!J91)</f>
        <v>40841</v>
      </c>
      <c r="J94" s="34">
        <f t="shared" si="1"/>
        <v>520</v>
      </c>
      <c r="K94" s="29" t="str">
        <f>IF('Paste SD Data'!O91="","",'Paste SD Data'!O91)</f>
        <v>OBC</v>
      </c>
    </row>
    <row r="95" spans="1:11" ht="30" customHeight="1" x14ac:dyDescent="0.25">
      <c r="A95" s="25">
        <f>IF(Table1[[#This Row],[Name of Student]]="","",ROWS($A$1:A91))</f>
        <v>91</v>
      </c>
      <c r="B95" s="26">
        <f>IF('Paste SD Data'!A92="","",'Paste SD Data'!A92)</f>
        <v>5</v>
      </c>
      <c r="C95" s="26" t="str">
        <f>IF('Paste SD Data'!B92="","",'Paste SD Data'!B92)</f>
        <v>A</v>
      </c>
      <c r="D95" s="26">
        <f>IF('Paste SD Data'!C92="","",'Paste SD Data'!C92)</f>
        <v>13014</v>
      </c>
      <c r="E95" s="27" t="str">
        <f>IF('Paste SD Data'!E92="","",UPPER('Paste SD Data'!E92))</f>
        <v>SANJANA MALI</v>
      </c>
      <c r="F95" s="27" t="str">
        <f>IF('Paste SD Data'!G92="","",UPPER('Paste SD Data'!G92))</f>
        <v>AMBA LAL MALI</v>
      </c>
      <c r="G95" s="27" t="str">
        <f>IF('Paste SD Data'!H92="","",UPPER('Paste SD Data'!H92))</f>
        <v>KESHAR DEVI</v>
      </c>
      <c r="H95" s="26" t="str">
        <f>IF('Paste SD Data'!I92="","",IF('Paste SD Data'!I92="M","BOY","GIRL"))</f>
        <v>GIRL</v>
      </c>
      <c r="I95" s="28">
        <f>IF('Paste SD Data'!J92="","",'Paste SD Data'!J92)</f>
        <v>40179</v>
      </c>
      <c r="J95" s="34">
        <f t="shared" si="1"/>
        <v>521</v>
      </c>
      <c r="K95" s="29" t="str">
        <f>IF('Paste SD Data'!O92="","",'Paste SD Data'!O92)</f>
        <v>OBC</v>
      </c>
    </row>
    <row r="96" spans="1:11" ht="30" customHeight="1" x14ac:dyDescent="0.25">
      <c r="A96" s="25">
        <f>IF(Table1[[#This Row],[Name of Student]]="","",ROWS($A$1:A92))</f>
        <v>92</v>
      </c>
      <c r="B96" s="26">
        <f>IF('Paste SD Data'!A93="","",'Paste SD Data'!A93)</f>
        <v>5</v>
      </c>
      <c r="C96" s="26" t="str">
        <f>IF('Paste SD Data'!B93="","",'Paste SD Data'!B93)</f>
        <v>A</v>
      </c>
      <c r="D96" s="26">
        <f>IF('Paste SD Data'!C93="","",'Paste SD Data'!C93)</f>
        <v>14005</v>
      </c>
      <c r="E96" s="27" t="str">
        <f>IF('Paste SD Data'!E93="","",UPPER('Paste SD Data'!E93))</f>
        <v>VIJAY MALI</v>
      </c>
      <c r="F96" s="27" t="str">
        <f>IF('Paste SD Data'!G93="","",UPPER('Paste SD Data'!G93))</f>
        <v>RADHEY SHYAM MALI</v>
      </c>
      <c r="G96" s="27" t="str">
        <f>IF('Paste SD Data'!H93="","",UPPER('Paste SD Data'!H93))</f>
        <v>VARDI MALI</v>
      </c>
      <c r="H96" s="26" t="str">
        <f>IF('Paste SD Data'!I93="","",IF('Paste SD Data'!I93="M","BOY","GIRL"))</f>
        <v>BOY</v>
      </c>
      <c r="I96" s="28">
        <f>IF('Paste SD Data'!J93="","",'Paste SD Data'!J93)</f>
        <v>40204</v>
      </c>
      <c r="J96" s="34">
        <f t="shared" si="1"/>
        <v>522</v>
      </c>
      <c r="K96" s="29" t="str">
        <f>IF('Paste SD Data'!O93="","",'Paste SD Data'!O93)</f>
        <v>OBC</v>
      </c>
    </row>
    <row r="97" spans="1:11" ht="30" customHeight="1" x14ac:dyDescent="0.25">
      <c r="A97" s="25">
        <f>IF(Table1[[#This Row],[Name of Student]]="","",ROWS($A$1:A93))</f>
        <v>93</v>
      </c>
      <c r="B97" s="26">
        <f>IF('Paste SD Data'!A94="","",'Paste SD Data'!A94)</f>
        <v>5</v>
      </c>
      <c r="C97" s="26" t="str">
        <f>IF('Paste SD Data'!B94="","",'Paste SD Data'!B94)</f>
        <v>A</v>
      </c>
      <c r="D97" s="26">
        <f>IF('Paste SD Data'!C94="","",'Paste SD Data'!C94)</f>
        <v>13946</v>
      </c>
      <c r="E97" s="27" t="str">
        <f>IF('Paste SD Data'!E94="","",UPPER('Paste SD Data'!E94))</f>
        <v>YASHSHREE</v>
      </c>
      <c r="F97" s="27" t="str">
        <f>IF('Paste SD Data'!G94="","",UPPER('Paste SD Data'!G94))</f>
        <v>PANNALAL</v>
      </c>
      <c r="G97" s="27" t="str">
        <f>IF('Paste SD Data'!H94="","",UPPER('Paste SD Data'!H94))</f>
        <v>MEENA DEVI</v>
      </c>
      <c r="H97" s="26" t="str">
        <f>IF('Paste SD Data'!I94="","",IF('Paste SD Data'!I94="M","BOY","GIRL"))</f>
        <v>GIRL</v>
      </c>
      <c r="I97" s="28">
        <f>IF('Paste SD Data'!J94="","",'Paste SD Data'!J94)</f>
        <v>40409</v>
      </c>
      <c r="J97" s="34">
        <f t="shared" si="1"/>
        <v>523</v>
      </c>
      <c r="K97" s="29" t="str">
        <f>IF('Paste SD Data'!O94="","",'Paste SD Data'!O94)</f>
        <v>SC</v>
      </c>
    </row>
    <row r="98" spans="1:11" ht="30" customHeight="1" x14ac:dyDescent="0.25">
      <c r="A98" s="25">
        <f>IF(Table1[[#This Row],[Name of Student]]="","",ROWS($A$1:A94))</f>
        <v>94</v>
      </c>
      <c r="B98" s="26">
        <f>IF('Paste SD Data'!A95="","",'Paste SD Data'!A95)</f>
        <v>6</v>
      </c>
      <c r="C98" s="26" t="str">
        <f>IF('Paste SD Data'!B95="","",'Paste SD Data'!B95)</f>
        <v>A</v>
      </c>
      <c r="D98" s="26">
        <f>IF('Paste SD Data'!C95="","",'Paste SD Data'!C95)</f>
        <v>13410</v>
      </c>
      <c r="E98" s="27" t="str">
        <f>IF('Paste SD Data'!E95="","",UPPER('Paste SD Data'!E95))</f>
        <v>AFREEN BANU</v>
      </c>
      <c r="F98" s="27" t="str">
        <f>IF('Paste SD Data'!G95="","",UPPER('Paste SD Data'!G95))</f>
        <v>NIYAAZ MOHAMMAD</v>
      </c>
      <c r="G98" s="27" t="str">
        <f>IF('Paste SD Data'!H95="","",UPPER('Paste SD Data'!H95))</f>
        <v>FARZANA BANU</v>
      </c>
      <c r="H98" s="26" t="str">
        <f>IF('Paste SD Data'!I95="","",IF('Paste SD Data'!I95="M","BOY","GIRL"))</f>
        <v>GIRL</v>
      </c>
      <c r="I98" s="28">
        <f>IF('Paste SD Data'!J95="","",'Paste SD Data'!J95)</f>
        <v>40146</v>
      </c>
      <c r="J98" s="34">
        <f t="shared" si="1"/>
        <v>524</v>
      </c>
      <c r="K98" s="29" t="str">
        <f>IF('Paste SD Data'!O95="","",'Paste SD Data'!O95)</f>
        <v>GEN</v>
      </c>
    </row>
    <row r="99" spans="1:11" ht="30" customHeight="1" x14ac:dyDescent="0.25">
      <c r="A99" s="25">
        <f>IF(Table1[[#This Row],[Name of Student]]="","",ROWS($A$1:A95))</f>
        <v>95</v>
      </c>
      <c r="B99" s="26">
        <f>IF('Paste SD Data'!A96="","",'Paste SD Data'!A96)</f>
        <v>6</v>
      </c>
      <c r="C99" s="26" t="str">
        <f>IF('Paste SD Data'!B96="","",'Paste SD Data'!B96)</f>
        <v>A</v>
      </c>
      <c r="D99" s="26">
        <f>IF('Paste SD Data'!C96="","",'Paste SD Data'!C96)</f>
        <v>12224</v>
      </c>
      <c r="E99" s="27" t="str">
        <f>IF('Paste SD Data'!E96="","",UPPER('Paste SD Data'!E96))</f>
        <v>APSARA BANU</v>
      </c>
      <c r="F99" s="27" t="str">
        <f>IF('Paste SD Data'!G96="","",UPPER('Paste SD Data'!G96))</f>
        <v>TAHIR MOHAMMAD</v>
      </c>
      <c r="G99" s="27" t="str">
        <f>IF('Paste SD Data'!H96="","",UPPER('Paste SD Data'!H96))</f>
        <v>SHAMA BANU</v>
      </c>
      <c r="H99" s="26" t="str">
        <f>IF('Paste SD Data'!I96="","",IF('Paste SD Data'!I96="M","BOY","GIRL"))</f>
        <v>GIRL</v>
      </c>
      <c r="I99" s="28">
        <f>IF('Paste SD Data'!J96="","",'Paste SD Data'!J96)</f>
        <v>40649</v>
      </c>
      <c r="J99" s="34">
        <f t="shared" si="1"/>
        <v>525</v>
      </c>
      <c r="K99" s="29" t="str">
        <f>IF('Paste SD Data'!O96="","",'Paste SD Data'!O96)</f>
        <v>GEN</v>
      </c>
    </row>
    <row r="100" spans="1:11" ht="30" customHeight="1" x14ac:dyDescent="0.25">
      <c r="A100" s="25">
        <f>IF(Table1[[#This Row],[Name of Student]]="","",ROWS($A$1:A96))</f>
        <v>96</v>
      </c>
      <c r="B100" s="26">
        <f>IF('Paste SD Data'!A97="","",'Paste SD Data'!A97)</f>
        <v>6</v>
      </c>
      <c r="C100" s="26" t="str">
        <f>IF('Paste SD Data'!B97="","",'Paste SD Data'!B97)</f>
        <v>A</v>
      </c>
      <c r="D100" s="26">
        <f>IF('Paste SD Data'!C97="","",'Paste SD Data'!C97)</f>
        <v>13805</v>
      </c>
      <c r="E100" s="27" t="str">
        <f>IF('Paste SD Data'!E97="","",UPPER('Paste SD Data'!E97))</f>
        <v>BANTI SINGH</v>
      </c>
      <c r="F100" s="27" t="str">
        <f>IF('Paste SD Data'!G97="","",UPPER('Paste SD Data'!G97))</f>
        <v>MOTI SINGH</v>
      </c>
      <c r="G100" s="27" t="str">
        <f>IF('Paste SD Data'!H97="","",UPPER('Paste SD Data'!H97))</f>
        <v>SANTOSH DEVI</v>
      </c>
      <c r="H100" s="26" t="str">
        <f>IF('Paste SD Data'!I97="","",IF('Paste SD Data'!I97="M","BOY","GIRL"))</f>
        <v>BOY</v>
      </c>
      <c r="I100" s="28">
        <f>IF('Paste SD Data'!J97="","",'Paste SD Data'!J97)</f>
        <v>40200</v>
      </c>
      <c r="J100" s="34">
        <f t="shared" si="1"/>
        <v>526</v>
      </c>
      <c r="K100" s="29" t="str">
        <f>IF('Paste SD Data'!O97="","",'Paste SD Data'!O97)</f>
        <v>OBC</v>
      </c>
    </row>
    <row r="101" spans="1:11" ht="30" customHeight="1" x14ac:dyDescent="0.25">
      <c r="A101" s="25">
        <f>IF(Table1[[#This Row],[Name of Student]]="","",ROWS($A$1:A97))</f>
        <v>97</v>
      </c>
      <c r="B101" s="26">
        <f>IF('Paste SD Data'!A98="","",'Paste SD Data'!A98)</f>
        <v>6</v>
      </c>
      <c r="C101" s="26" t="str">
        <f>IF('Paste SD Data'!B98="","",'Paste SD Data'!B98)</f>
        <v>A</v>
      </c>
      <c r="D101" s="26">
        <f>IF('Paste SD Data'!C98="","",'Paste SD Data'!C98)</f>
        <v>12706</v>
      </c>
      <c r="E101" s="27" t="str">
        <f>IF('Paste SD Data'!E98="","",UPPER('Paste SD Data'!E98))</f>
        <v>BHAGYAWATI MALI</v>
      </c>
      <c r="F101" s="27" t="str">
        <f>IF('Paste SD Data'!G98="","",UPPER('Paste SD Data'!G98))</f>
        <v>RAMESH MALI</v>
      </c>
      <c r="G101" s="27" t="str">
        <f>IF('Paste SD Data'!H98="","",UPPER('Paste SD Data'!H98))</f>
        <v>ANACHHI BAI</v>
      </c>
      <c r="H101" s="26" t="str">
        <f>IF('Paste SD Data'!I98="","",IF('Paste SD Data'!I98="M","BOY","GIRL"))</f>
        <v>GIRL</v>
      </c>
      <c r="I101" s="28">
        <f>IF('Paste SD Data'!J98="","",'Paste SD Data'!J98)</f>
        <v>40738</v>
      </c>
      <c r="J101" s="34">
        <f t="shared" si="1"/>
        <v>527</v>
      </c>
      <c r="K101" s="29" t="str">
        <f>IF('Paste SD Data'!O98="","",'Paste SD Data'!O98)</f>
        <v>OBC</v>
      </c>
    </row>
    <row r="102" spans="1:11" ht="30" customHeight="1" x14ac:dyDescent="0.25">
      <c r="A102" s="25">
        <f>IF(Table1[[#This Row],[Name of Student]]="","",ROWS($A$1:A98))</f>
        <v>98</v>
      </c>
      <c r="B102" s="26">
        <f>IF('Paste SD Data'!A99="","",'Paste SD Data'!A99)</f>
        <v>6</v>
      </c>
      <c r="C102" s="26" t="str">
        <f>IF('Paste SD Data'!B99="","",'Paste SD Data'!B99)</f>
        <v>A</v>
      </c>
      <c r="D102" s="26">
        <f>IF('Paste SD Data'!C99="","",'Paste SD Data'!C99)</f>
        <v>13105</v>
      </c>
      <c r="E102" s="27" t="str">
        <f>IF('Paste SD Data'!E99="","",UPPER('Paste SD Data'!E99))</f>
        <v>DHARMESH LOHAR</v>
      </c>
      <c r="F102" s="27" t="str">
        <f>IF('Paste SD Data'!G99="","",UPPER('Paste SD Data'!G99))</f>
        <v>BHANWAR LAL</v>
      </c>
      <c r="G102" s="27" t="str">
        <f>IF('Paste SD Data'!H99="","",UPPER('Paste SD Data'!H99))</f>
        <v>SANTOSH DEVI</v>
      </c>
      <c r="H102" s="26" t="str">
        <f>IF('Paste SD Data'!I99="","",IF('Paste SD Data'!I99="M","BOY","GIRL"))</f>
        <v>BOY</v>
      </c>
      <c r="I102" s="28">
        <f>IF('Paste SD Data'!J99="","",'Paste SD Data'!J99)</f>
        <v>40909</v>
      </c>
      <c r="J102" s="34">
        <f t="shared" si="1"/>
        <v>528</v>
      </c>
      <c r="K102" s="29" t="str">
        <f>IF('Paste SD Data'!O99="","",'Paste SD Data'!O99)</f>
        <v>OBC</v>
      </c>
    </row>
    <row r="103" spans="1:11" ht="30" customHeight="1" x14ac:dyDescent="0.25">
      <c r="A103" s="25">
        <f>IF(Table1[[#This Row],[Name of Student]]="","",ROWS($A$1:A99))</f>
        <v>99</v>
      </c>
      <c r="B103" s="26">
        <f>IF('Paste SD Data'!A100="","",'Paste SD Data'!A100)</f>
        <v>6</v>
      </c>
      <c r="C103" s="26" t="str">
        <f>IF('Paste SD Data'!B100="","",'Paste SD Data'!B100)</f>
        <v>A</v>
      </c>
      <c r="D103" s="26">
        <f>IF('Paste SD Data'!C100="","",'Paste SD Data'!C100)</f>
        <v>13663</v>
      </c>
      <c r="E103" s="27" t="str">
        <f>IF('Paste SD Data'!E100="","",UPPER('Paste SD Data'!E100))</f>
        <v>JAMANA KUMARI</v>
      </c>
      <c r="F103" s="27" t="str">
        <f>IF('Paste SD Data'!G100="","",UPPER('Paste SD Data'!G100))</f>
        <v>VIJAY SINGH</v>
      </c>
      <c r="G103" s="27" t="str">
        <f>IF('Paste SD Data'!H100="","",UPPER('Paste SD Data'!H100))</f>
        <v>SHANTA DEVI</v>
      </c>
      <c r="H103" s="26" t="str">
        <f>IF('Paste SD Data'!I100="","",IF('Paste SD Data'!I100="M","BOY","GIRL"))</f>
        <v>GIRL</v>
      </c>
      <c r="I103" s="28">
        <f>IF('Paste SD Data'!J100="","",'Paste SD Data'!J100)</f>
        <v>40224</v>
      </c>
      <c r="J103" s="34">
        <f t="shared" si="1"/>
        <v>529</v>
      </c>
      <c r="K103" s="29" t="str">
        <f>IF('Paste SD Data'!O100="","",'Paste SD Data'!O100)</f>
        <v>OBC</v>
      </c>
    </row>
    <row r="104" spans="1:11" ht="30" customHeight="1" x14ac:dyDescent="0.25">
      <c r="A104" s="25">
        <f>IF(Table1[[#This Row],[Name of Student]]="","",ROWS($A$1:A100))</f>
        <v>100</v>
      </c>
      <c r="B104" s="26">
        <f>IF('Paste SD Data'!A101="","",'Paste SD Data'!A101)</f>
        <v>6</v>
      </c>
      <c r="C104" s="26" t="str">
        <f>IF('Paste SD Data'!B101="","",'Paste SD Data'!B101)</f>
        <v>A</v>
      </c>
      <c r="D104" s="26">
        <f>IF('Paste SD Data'!C101="","",'Paste SD Data'!C101)</f>
        <v>13426</v>
      </c>
      <c r="E104" s="27" t="str">
        <f>IF('Paste SD Data'!E101="","",UPPER('Paste SD Data'!E101))</f>
        <v>JITENDRA MALI</v>
      </c>
      <c r="F104" s="27" t="str">
        <f>IF('Paste SD Data'!G101="","",UPPER('Paste SD Data'!G101))</f>
        <v>SHAYAM LAL MALI</v>
      </c>
      <c r="G104" s="27" t="str">
        <f>IF('Paste SD Data'!H101="","",UPPER('Paste SD Data'!H101))</f>
        <v>PUSHPA DEVI</v>
      </c>
      <c r="H104" s="26" t="str">
        <f>IF('Paste SD Data'!I101="","",IF('Paste SD Data'!I101="M","BOY","GIRL"))</f>
        <v>BOY</v>
      </c>
      <c r="I104" s="28">
        <f>IF('Paste SD Data'!J101="","",'Paste SD Data'!J101)</f>
        <v>40698</v>
      </c>
      <c r="J104" s="34">
        <f t="shared" si="1"/>
        <v>530</v>
      </c>
      <c r="K104" s="29" t="str">
        <f>IF('Paste SD Data'!O101="","",'Paste SD Data'!O101)</f>
        <v>OBC</v>
      </c>
    </row>
    <row r="105" spans="1:11" ht="30" customHeight="1" x14ac:dyDescent="0.25">
      <c r="A105" s="25">
        <f>IF(Table1[[#This Row],[Name of Student]]="","",ROWS($A$1:A101))</f>
        <v>101</v>
      </c>
      <c r="B105" s="26">
        <f>IF('Paste SD Data'!A102="","",'Paste SD Data'!A102)</f>
        <v>6</v>
      </c>
      <c r="C105" s="26" t="str">
        <f>IF('Paste SD Data'!B102="","",'Paste SD Data'!B102)</f>
        <v>A</v>
      </c>
      <c r="D105" s="26">
        <f>IF('Paste SD Data'!C102="","",'Paste SD Data'!C102)</f>
        <v>13340</v>
      </c>
      <c r="E105" s="27" t="str">
        <f>IF('Paste SD Data'!E102="","",UPPER('Paste SD Data'!E102))</f>
        <v>KUSHAL PRAJAPAT</v>
      </c>
      <c r="F105" s="27" t="str">
        <f>IF('Paste SD Data'!G102="","",UPPER('Paste SD Data'!G102))</f>
        <v>SHANTI LAL</v>
      </c>
      <c r="G105" s="27" t="str">
        <f>IF('Paste SD Data'!H102="","",UPPER('Paste SD Data'!H102))</f>
        <v>ANITA DEVI</v>
      </c>
      <c r="H105" s="26" t="str">
        <f>IF('Paste SD Data'!I102="","",IF('Paste SD Data'!I102="M","BOY","GIRL"))</f>
        <v>BOY</v>
      </c>
      <c r="I105" s="28">
        <f>IF('Paste SD Data'!J102="","",'Paste SD Data'!J102)</f>
        <v>40506</v>
      </c>
      <c r="J105" s="34">
        <f t="shared" si="1"/>
        <v>531</v>
      </c>
      <c r="K105" s="29" t="str">
        <f>IF('Paste SD Data'!O102="","",'Paste SD Data'!O102)</f>
        <v>OBC</v>
      </c>
    </row>
    <row r="106" spans="1:11" ht="30" customHeight="1" x14ac:dyDescent="0.25">
      <c r="A106" s="25">
        <f>IF(Table1[[#This Row],[Name of Student]]="","",ROWS($A$1:A102))</f>
        <v>102</v>
      </c>
      <c r="B106" s="26">
        <f>IF('Paste SD Data'!A103="","",'Paste SD Data'!A103)</f>
        <v>6</v>
      </c>
      <c r="C106" s="26" t="str">
        <f>IF('Paste SD Data'!B103="","",'Paste SD Data'!B103)</f>
        <v>A</v>
      </c>
      <c r="D106" s="26">
        <f>IF('Paste SD Data'!C103="","",'Paste SD Data'!C103)</f>
        <v>12225</v>
      </c>
      <c r="E106" s="27" t="str">
        <f>IF('Paste SD Data'!E103="","",UPPER('Paste SD Data'!E103))</f>
        <v>LAXMI CHOUHAN</v>
      </c>
      <c r="F106" s="27" t="str">
        <f>IF('Paste SD Data'!G103="","",UPPER('Paste SD Data'!G103))</f>
        <v>RAJENDRA SINGH CHOUHAN</v>
      </c>
      <c r="G106" s="27" t="str">
        <f>IF('Paste SD Data'!H103="","",UPPER('Paste SD Data'!H103))</f>
        <v>ULLAS DEVI</v>
      </c>
      <c r="H106" s="26" t="str">
        <f>IF('Paste SD Data'!I103="","",IF('Paste SD Data'!I103="M","BOY","GIRL"))</f>
        <v>GIRL</v>
      </c>
      <c r="I106" s="28">
        <f>IF('Paste SD Data'!J103="","",'Paste SD Data'!J103)</f>
        <v>40909</v>
      </c>
      <c r="J106" s="34">
        <f t="shared" si="1"/>
        <v>532</v>
      </c>
      <c r="K106" s="29" t="str">
        <f>IF('Paste SD Data'!O103="","",'Paste SD Data'!O103)</f>
        <v>OBC</v>
      </c>
    </row>
    <row r="107" spans="1:11" ht="30" customHeight="1" x14ac:dyDescent="0.25">
      <c r="A107" s="25">
        <f>IF(Table1[[#This Row],[Name of Student]]="","",ROWS($A$1:A103))</f>
        <v>103</v>
      </c>
      <c r="B107" s="26">
        <f>IF('Paste SD Data'!A104="","",'Paste SD Data'!A104)</f>
        <v>6</v>
      </c>
      <c r="C107" s="26" t="str">
        <f>IF('Paste SD Data'!B104="","",'Paste SD Data'!B104)</f>
        <v>A</v>
      </c>
      <c r="D107" s="26">
        <f>IF('Paste SD Data'!C104="","",'Paste SD Data'!C104)</f>
        <v>12233</v>
      </c>
      <c r="E107" s="27" t="str">
        <f>IF('Paste SD Data'!E104="","",UPPER('Paste SD Data'!E104))</f>
        <v>MAHINUR BANU</v>
      </c>
      <c r="F107" s="27" t="str">
        <f>IF('Paste SD Data'!G104="","",UPPER('Paste SD Data'!G104))</f>
        <v>JAMIL MOHAMMAD</v>
      </c>
      <c r="G107" s="27" t="str">
        <f>IF('Paste SD Data'!H104="","",UPPER('Paste SD Data'!H104))</f>
        <v>RESHMA BANU</v>
      </c>
      <c r="H107" s="26" t="str">
        <f>IF('Paste SD Data'!I104="","",IF('Paste SD Data'!I104="M","BOY","GIRL"))</f>
        <v>GIRL</v>
      </c>
      <c r="I107" s="28">
        <f>IF('Paste SD Data'!J104="","",'Paste SD Data'!J104)</f>
        <v>40395</v>
      </c>
      <c r="J107" s="34">
        <f t="shared" si="1"/>
        <v>533</v>
      </c>
      <c r="K107" s="29" t="str">
        <f>IF('Paste SD Data'!O104="","",'Paste SD Data'!O104)</f>
        <v>GEN</v>
      </c>
    </row>
    <row r="108" spans="1:11" ht="30" customHeight="1" x14ac:dyDescent="0.25">
      <c r="A108" s="25">
        <f>IF(Table1[[#This Row],[Name of Student]]="","",ROWS($A$1:A104))</f>
        <v>104</v>
      </c>
      <c r="B108" s="26">
        <f>IF('Paste SD Data'!A105="","",'Paste SD Data'!A105)</f>
        <v>6</v>
      </c>
      <c r="C108" s="26" t="str">
        <f>IF('Paste SD Data'!B105="","",'Paste SD Data'!B105)</f>
        <v>A</v>
      </c>
      <c r="D108" s="26">
        <f>IF('Paste SD Data'!C105="","",'Paste SD Data'!C105)</f>
        <v>12630</v>
      </c>
      <c r="E108" s="27" t="str">
        <f>IF('Paste SD Data'!E105="","",UPPER('Paste SD Data'!E105))</f>
        <v>MAYA MALI</v>
      </c>
      <c r="F108" s="27" t="str">
        <f>IF('Paste SD Data'!G105="","",UPPER('Paste SD Data'!G105))</f>
        <v>DINESH MALI</v>
      </c>
      <c r="G108" s="27" t="str">
        <f>IF('Paste SD Data'!H105="","",UPPER('Paste SD Data'!H105))</f>
        <v>NEMA DEVI</v>
      </c>
      <c r="H108" s="26" t="str">
        <f>IF('Paste SD Data'!I105="","",IF('Paste SD Data'!I105="M","BOY","GIRL"))</f>
        <v>GIRL</v>
      </c>
      <c r="I108" s="28">
        <f>IF('Paste SD Data'!J105="","",'Paste SD Data'!J105)</f>
        <v>39869</v>
      </c>
      <c r="J108" s="34">
        <f t="shared" si="1"/>
        <v>534</v>
      </c>
      <c r="K108" s="29" t="str">
        <f>IF('Paste SD Data'!O105="","",'Paste SD Data'!O105)</f>
        <v>OBC</v>
      </c>
    </row>
    <row r="109" spans="1:11" ht="30" customHeight="1" x14ac:dyDescent="0.25">
      <c r="A109" s="25">
        <f>IF(Table1[[#This Row],[Name of Student]]="","",ROWS($A$1:A105))</f>
        <v>105</v>
      </c>
      <c r="B109" s="26">
        <f>IF('Paste SD Data'!A106="","",'Paste SD Data'!A106)</f>
        <v>6</v>
      </c>
      <c r="C109" s="26" t="str">
        <f>IF('Paste SD Data'!B106="","",'Paste SD Data'!B106)</f>
        <v>A</v>
      </c>
      <c r="D109" s="26">
        <f>IF('Paste SD Data'!C106="","",'Paste SD Data'!C106)</f>
        <v>12220</v>
      </c>
      <c r="E109" s="27" t="str">
        <f>IF('Paste SD Data'!E106="","",UPPER('Paste SD Data'!E106))</f>
        <v>MOHAMMAD BABAR</v>
      </c>
      <c r="F109" s="27" t="str">
        <f>IF('Paste SD Data'!G106="","",UPPER('Paste SD Data'!G106))</f>
        <v>MUZAMMIL HUSAIN</v>
      </c>
      <c r="G109" s="27" t="str">
        <f>IF('Paste SD Data'!H106="","",UPPER('Paste SD Data'!H106))</f>
        <v>RAFIYA PARVEEN</v>
      </c>
      <c r="H109" s="26" t="str">
        <f>IF('Paste SD Data'!I106="","",IF('Paste SD Data'!I106="M","BOY","GIRL"))</f>
        <v>BOY</v>
      </c>
      <c r="I109" s="28">
        <f>IF('Paste SD Data'!J106="","",'Paste SD Data'!J106)</f>
        <v>40510</v>
      </c>
      <c r="J109" s="34">
        <f t="shared" si="1"/>
        <v>535</v>
      </c>
      <c r="K109" s="29" t="str">
        <f>IF('Paste SD Data'!O106="","",'Paste SD Data'!O106)</f>
        <v>OBC</v>
      </c>
    </row>
    <row r="110" spans="1:11" ht="30" customHeight="1" x14ac:dyDescent="0.25">
      <c r="A110" s="25">
        <f>IF(Table1[[#This Row],[Name of Student]]="","",ROWS($A$1:A106))</f>
        <v>106</v>
      </c>
      <c r="B110" s="26">
        <f>IF('Paste SD Data'!A107="","",'Paste SD Data'!A107)</f>
        <v>6</v>
      </c>
      <c r="C110" s="26" t="str">
        <f>IF('Paste SD Data'!B107="","",'Paste SD Data'!B107)</f>
        <v>A</v>
      </c>
      <c r="D110" s="26">
        <f>IF('Paste SD Data'!C107="","",'Paste SD Data'!C107)</f>
        <v>13804</v>
      </c>
      <c r="E110" s="27" t="str">
        <f>IF('Paste SD Data'!E107="","",UPPER('Paste SD Data'!E107))</f>
        <v>MOHAMMAD HUSSAIN</v>
      </c>
      <c r="F110" s="27" t="str">
        <f>IF('Paste SD Data'!G107="","",UPPER('Paste SD Data'!G107))</f>
        <v>RASHID MOHAMMAD</v>
      </c>
      <c r="G110" s="27" t="str">
        <f>IF('Paste SD Data'!H107="","",UPPER('Paste SD Data'!H107))</f>
        <v>NASIM BANU</v>
      </c>
      <c r="H110" s="26" t="str">
        <f>IF('Paste SD Data'!I107="","",IF('Paste SD Data'!I107="M","BOY","GIRL"))</f>
        <v>BOY</v>
      </c>
      <c r="I110" s="28">
        <f>IF('Paste SD Data'!J107="","",'Paste SD Data'!J107)</f>
        <v>40074</v>
      </c>
      <c r="J110" s="34">
        <f t="shared" si="1"/>
        <v>536</v>
      </c>
      <c r="K110" s="29" t="str">
        <f>IF('Paste SD Data'!O107="","",'Paste SD Data'!O107)</f>
        <v>GEN</v>
      </c>
    </row>
    <row r="111" spans="1:11" ht="30" customHeight="1" x14ac:dyDescent="0.25">
      <c r="A111" s="25">
        <f>IF(Table1[[#This Row],[Name of Student]]="","",ROWS($A$1:A107))</f>
        <v>107</v>
      </c>
      <c r="B111" s="26">
        <f>IF('Paste SD Data'!A108="","",'Paste SD Data'!A108)</f>
        <v>6</v>
      </c>
      <c r="C111" s="26" t="str">
        <f>IF('Paste SD Data'!B108="","",'Paste SD Data'!B108)</f>
        <v>A</v>
      </c>
      <c r="D111" s="26">
        <f>IF('Paste SD Data'!C108="","",'Paste SD Data'!C108)</f>
        <v>13058</v>
      </c>
      <c r="E111" s="27" t="str">
        <f>IF('Paste SD Data'!E108="","",UPPER('Paste SD Data'!E108))</f>
        <v>PHOOLWANTI REGAR</v>
      </c>
      <c r="F111" s="27" t="str">
        <f>IF('Paste SD Data'!G108="","",UPPER('Paste SD Data'!G108))</f>
        <v>LAXMAN REGAR</v>
      </c>
      <c r="G111" s="27" t="str">
        <f>IF('Paste SD Data'!H108="","",UPPER('Paste SD Data'!H108))</f>
        <v>KAMLA DEVI</v>
      </c>
      <c r="H111" s="26" t="str">
        <f>IF('Paste SD Data'!I108="","",IF('Paste SD Data'!I108="M","BOY","GIRL"))</f>
        <v>GIRL</v>
      </c>
      <c r="I111" s="28">
        <f>IF('Paste SD Data'!J108="","",'Paste SD Data'!J108)</f>
        <v>40766</v>
      </c>
      <c r="J111" s="34">
        <f t="shared" si="1"/>
        <v>537</v>
      </c>
      <c r="K111" s="29" t="str">
        <f>IF('Paste SD Data'!O108="","",'Paste SD Data'!O108)</f>
        <v>SC</v>
      </c>
    </row>
    <row r="112" spans="1:11" ht="30" customHeight="1" x14ac:dyDescent="0.25">
      <c r="A112" s="25">
        <f>IF(Table1[[#This Row],[Name of Student]]="","",ROWS($A$1:A108))</f>
        <v>108</v>
      </c>
      <c r="B112" s="26">
        <f>IF('Paste SD Data'!A109="","",'Paste SD Data'!A109)</f>
        <v>6</v>
      </c>
      <c r="C112" s="26" t="str">
        <f>IF('Paste SD Data'!B109="","",'Paste SD Data'!B109)</f>
        <v>A</v>
      </c>
      <c r="D112" s="26">
        <f>IF('Paste SD Data'!C109="","",'Paste SD Data'!C109)</f>
        <v>13802</v>
      </c>
      <c r="E112" s="27" t="str">
        <f>IF('Paste SD Data'!E109="","",UPPER('Paste SD Data'!E109))</f>
        <v>PREM SINGH</v>
      </c>
      <c r="F112" s="27" t="str">
        <f>IF('Paste SD Data'!G109="","",UPPER('Paste SD Data'!G109))</f>
        <v>LAL SINGH</v>
      </c>
      <c r="G112" s="27" t="str">
        <f>IF('Paste SD Data'!H109="","",UPPER('Paste SD Data'!H109))</f>
        <v>HEMLATA DEVI</v>
      </c>
      <c r="H112" s="26" t="str">
        <f>IF('Paste SD Data'!I109="","",IF('Paste SD Data'!I109="M","BOY","GIRL"))</f>
        <v>BOY</v>
      </c>
      <c r="I112" s="28">
        <f>IF('Paste SD Data'!J109="","",'Paste SD Data'!J109)</f>
        <v>40595</v>
      </c>
      <c r="J112" s="34">
        <f t="shared" si="1"/>
        <v>538</v>
      </c>
      <c r="K112" s="29" t="str">
        <f>IF('Paste SD Data'!O109="","",'Paste SD Data'!O109)</f>
        <v>OBC</v>
      </c>
    </row>
    <row r="113" spans="1:11" ht="30" customHeight="1" x14ac:dyDescent="0.25">
      <c r="A113" s="25">
        <f>IF(Table1[[#This Row],[Name of Student]]="","",ROWS($A$1:A109))</f>
        <v>109</v>
      </c>
      <c r="B113" s="26">
        <f>IF('Paste SD Data'!A110="","",'Paste SD Data'!A110)</f>
        <v>6</v>
      </c>
      <c r="C113" s="26" t="str">
        <f>IF('Paste SD Data'!B110="","",'Paste SD Data'!B110)</f>
        <v>A</v>
      </c>
      <c r="D113" s="26">
        <f>IF('Paste SD Data'!C110="","",'Paste SD Data'!C110)</f>
        <v>12227</v>
      </c>
      <c r="E113" s="27" t="str">
        <f>IF('Paste SD Data'!E110="","",UPPER('Paste SD Data'!E110))</f>
        <v>PRIYA MALI</v>
      </c>
      <c r="F113" s="27" t="str">
        <f>IF('Paste SD Data'!G110="","",UPPER('Paste SD Data'!G110))</f>
        <v>KALU LAL</v>
      </c>
      <c r="G113" s="27" t="str">
        <f>IF('Paste SD Data'!H110="","",UPPER('Paste SD Data'!H110))</f>
        <v>RAMU DEVI</v>
      </c>
      <c r="H113" s="26" t="str">
        <f>IF('Paste SD Data'!I110="","",IF('Paste SD Data'!I110="M","BOY","GIRL"))</f>
        <v>GIRL</v>
      </c>
      <c r="I113" s="28">
        <f>IF('Paste SD Data'!J110="","",'Paste SD Data'!J110)</f>
        <v>39895</v>
      </c>
      <c r="J113" s="34">
        <f t="shared" si="1"/>
        <v>539</v>
      </c>
      <c r="K113" s="29" t="str">
        <f>IF('Paste SD Data'!O110="","",'Paste SD Data'!O110)</f>
        <v>OBC</v>
      </c>
    </row>
    <row r="114" spans="1:11" ht="30" customHeight="1" x14ac:dyDescent="0.25">
      <c r="A114" s="25">
        <f>IF(Table1[[#This Row],[Name of Student]]="","",ROWS($A$1:A110))</f>
        <v>110</v>
      </c>
      <c r="B114" s="26">
        <f>IF('Paste SD Data'!A111="","",'Paste SD Data'!A111)</f>
        <v>6</v>
      </c>
      <c r="C114" s="26" t="str">
        <f>IF('Paste SD Data'!B111="","",'Paste SD Data'!B111)</f>
        <v>A</v>
      </c>
      <c r="D114" s="26">
        <f>IF('Paste SD Data'!C111="","",'Paste SD Data'!C111)</f>
        <v>13630</v>
      </c>
      <c r="E114" s="27" t="str">
        <f>IF('Paste SD Data'!E111="","",UPPER('Paste SD Data'!E111))</f>
        <v>RAHUL LOHAR</v>
      </c>
      <c r="F114" s="27" t="str">
        <f>IF('Paste SD Data'!G111="","",UPPER('Paste SD Data'!G111))</f>
        <v>GIRDHARI LAL</v>
      </c>
      <c r="G114" s="27" t="str">
        <f>IF('Paste SD Data'!H111="","",UPPER('Paste SD Data'!H111))</f>
        <v>KAMLA LOHAR</v>
      </c>
      <c r="H114" s="26" t="str">
        <f>IF('Paste SD Data'!I111="","",IF('Paste SD Data'!I111="M","BOY","GIRL"))</f>
        <v>BOY</v>
      </c>
      <c r="I114" s="28">
        <f>IF('Paste SD Data'!J111="","",'Paste SD Data'!J111)</f>
        <v>40179</v>
      </c>
      <c r="J114" s="34">
        <f t="shared" si="1"/>
        <v>540</v>
      </c>
      <c r="K114" s="29" t="str">
        <f>IF('Paste SD Data'!O111="","",'Paste SD Data'!O111)</f>
        <v>OBC</v>
      </c>
    </row>
    <row r="115" spans="1:11" ht="30" customHeight="1" x14ac:dyDescent="0.25">
      <c r="A115" s="25">
        <f>IF(Table1[[#This Row],[Name of Student]]="","",ROWS($A$1:A111))</f>
        <v>111</v>
      </c>
      <c r="B115" s="26">
        <f>IF('Paste SD Data'!A112="","",'Paste SD Data'!A112)</f>
        <v>6</v>
      </c>
      <c r="C115" s="26" t="str">
        <f>IF('Paste SD Data'!B112="","",'Paste SD Data'!B112)</f>
        <v>A</v>
      </c>
      <c r="D115" s="26">
        <f>IF('Paste SD Data'!C112="","",'Paste SD Data'!C112)</f>
        <v>13669</v>
      </c>
      <c r="E115" s="27" t="str">
        <f>IF('Paste SD Data'!E112="","",UPPER('Paste SD Data'!E112))</f>
        <v>SHUBH VED</v>
      </c>
      <c r="F115" s="27" t="str">
        <f>IF('Paste SD Data'!G112="","",UPPER('Paste SD Data'!G112))</f>
        <v>MUKESH VED</v>
      </c>
      <c r="G115" s="27" t="str">
        <f>IF('Paste SD Data'!H112="","",UPPER('Paste SD Data'!H112))</f>
        <v>VIDHYA VED</v>
      </c>
      <c r="H115" s="26" t="str">
        <f>IF('Paste SD Data'!I112="","",IF('Paste SD Data'!I112="M","BOY","GIRL"))</f>
        <v>BOY</v>
      </c>
      <c r="I115" s="28">
        <f>IF('Paste SD Data'!J112="","",'Paste SD Data'!J112)</f>
        <v>39815</v>
      </c>
      <c r="J115" s="34">
        <f t="shared" si="1"/>
        <v>541</v>
      </c>
      <c r="K115" s="29" t="str">
        <f>IF('Paste SD Data'!O112="","",'Paste SD Data'!O112)</f>
        <v>OBC</v>
      </c>
    </row>
    <row r="116" spans="1:11" ht="30" customHeight="1" x14ac:dyDescent="0.25">
      <c r="A116" s="25">
        <f>IF(Table1[[#This Row],[Name of Student]]="","",ROWS($A$1:A112))</f>
        <v>112</v>
      </c>
      <c r="B116" s="26">
        <f>IF('Paste SD Data'!A113="","",'Paste SD Data'!A113)</f>
        <v>6</v>
      </c>
      <c r="C116" s="26" t="str">
        <f>IF('Paste SD Data'!B113="","",'Paste SD Data'!B113)</f>
        <v>A</v>
      </c>
      <c r="D116" s="26">
        <f>IF('Paste SD Data'!C113="","",'Paste SD Data'!C113)</f>
        <v>13269</v>
      </c>
      <c r="E116" s="27" t="str">
        <f>IF('Paste SD Data'!E113="","",UPPER('Paste SD Data'!E113))</f>
        <v>SONU MALI</v>
      </c>
      <c r="F116" s="27" t="str">
        <f>IF('Paste SD Data'!G113="","",UPPER('Paste SD Data'!G113))</f>
        <v>OMPRAKASH MALI</v>
      </c>
      <c r="G116" s="27" t="str">
        <f>IF('Paste SD Data'!H113="","",UPPER('Paste SD Data'!H113))</f>
        <v>BASANTI DEVI</v>
      </c>
      <c r="H116" s="26" t="str">
        <f>IF('Paste SD Data'!I113="","",IF('Paste SD Data'!I113="M","BOY","GIRL"))</f>
        <v>GIRL</v>
      </c>
      <c r="I116" s="28">
        <f>IF('Paste SD Data'!J113="","",'Paste SD Data'!J113)</f>
        <v>39854</v>
      </c>
      <c r="J116" s="34">
        <f t="shared" si="1"/>
        <v>542</v>
      </c>
      <c r="K116" s="29" t="str">
        <f>IF('Paste SD Data'!O113="","",'Paste SD Data'!O113)</f>
        <v>OBC</v>
      </c>
    </row>
    <row r="117" spans="1:11" ht="30" customHeight="1" x14ac:dyDescent="0.25">
      <c r="A117" s="25">
        <f>IF(Table1[[#This Row],[Name of Student]]="","",ROWS($A$1:A113))</f>
        <v>113</v>
      </c>
      <c r="B117" s="26">
        <f>IF('Paste SD Data'!A114="","",'Paste SD Data'!A114)</f>
        <v>6</v>
      </c>
      <c r="C117" s="26" t="str">
        <f>IF('Paste SD Data'!B114="","",'Paste SD Data'!B114)</f>
        <v>A</v>
      </c>
      <c r="D117" s="26">
        <f>IF('Paste SD Data'!C114="","",'Paste SD Data'!C114)</f>
        <v>12223</v>
      </c>
      <c r="E117" s="27" t="str">
        <f>IF('Paste SD Data'!E114="","",UPPER('Paste SD Data'!E114))</f>
        <v>VAISHALI KUMARI</v>
      </c>
      <c r="F117" s="27" t="str">
        <f>IF('Paste SD Data'!G114="","",UPPER('Paste SD Data'!G114))</f>
        <v>PREM SINGH</v>
      </c>
      <c r="G117" s="27" t="str">
        <f>IF('Paste SD Data'!H114="","",UPPER('Paste SD Data'!H114))</f>
        <v>HANSA DEVI</v>
      </c>
      <c r="H117" s="26" t="str">
        <f>IF('Paste SD Data'!I114="","",IF('Paste SD Data'!I114="M","BOY","GIRL"))</f>
        <v>GIRL</v>
      </c>
      <c r="I117" s="28">
        <f>IF('Paste SD Data'!J114="","",'Paste SD Data'!J114)</f>
        <v>40475</v>
      </c>
      <c r="J117" s="34">
        <f t="shared" si="1"/>
        <v>543</v>
      </c>
      <c r="K117" s="29" t="str">
        <f>IF('Paste SD Data'!O114="","",'Paste SD Data'!O114)</f>
        <v>OBC</v>
      </c>
    </row>
    <row r="118" spans="1:11" ht="30" customHeight="1" x14ac:dyDescent="0.25">
      <c r="A118" s="25">
        <f>IF(Table1[[#This Row],[Name of Student]]="","",ROWS($A$1:A114))</f>
        <v>114</v>
      </c>
      <c r="B118" s="26">
        <f>IF('Paste SD Data'!A115="","",'Paste SD Data'!A115)</f>
        <v>6</v>
      </c>
      <c r="C118" s="26" t="str">
        <f>IF('Paste SD Data'!B115="","",'Paste SD Data'!B115)</f>
        <v>A</v>
      </c>
      <c r="D118" s="26">
        <f>IF('Paste SD Data'!C115="","",'Paste SD Data'!C115)</f>
        <v>13643</v>
      </c>
      <c r="E118" s="27" t="str">
        <f>IF('Paste SD Data'!E115="","",UPPER('Paste SD Data'!E115))</f>
        <v>YASH SEN</v>
      </c>
      <c r="F118" s="27" t="str">
        <f>IF('Paste SD Data'!G115="","",UPPER('Paste SD Data'!G115))</f>
        <v>LALIT KUMAR SEN</v>
      </c>
      <c r="G118" s="27" t="str">
        <f>IF('Paste SD Data'!H115="","",UPPER('Paste SD Data'!H115))</f>
        <v>INDUBALA SEN</v>
      </c>
      <c r="H118" s="26" t="str">
        <f>IF('Paste SD Data'!I115="","",IF('Paste SD Data'!I115="M","BOY","GIRL"))</f>
        <v>BOY</v>
      </c>
      <c r="I118" s="28">
        <f>IF('Paste SD Data'!J115="","",'Paste SD Data'!J115)</f>
        <v>39867</v>
      </c>
      <c r="J118" s="34">
        <f t="shared" si="1"/>
        <v>544</v>
      </c>
      <c r="K118" s="29" t="str">
        <f>IF('Paste SD Data'!O115="","",'Paste SD Data'!O115)</f>
        <v>OBC</v>
      </c>
    </row>
    <row r="119" spans="1:11" ht="30" customHeight="1" x14ac:dyDescent="0.25">
      <c r="A119" s="25">
        <f>IF(Table1[[#This Row],[Name of Student]]="","",ROWS($A$1:A115))</f>
        <v>115</v>
      </c>
      <c r="B119" s="26">
        <f>IF('Paste SD Data'!A116="","",'Paste SD Data'!A116)</f>
        <v>7</v>
      </c>
      <c r="C119" s="26" t="str">
        <f>IF('Paste SD Data'!B116="","",'Paste SD Data'!B116)</f>
        <v>A</v>
      </c>
      <c r="D119" s="26">
        <f>IF('Paste SD Data'!C116="","",'Paste SD Data'!C116)</f>
        <v>13717</v>
      </c>
      <c r="E119" s="27" t="str">
        <f>IF('Paste SD Data'!E116="","",UPPER('Paste SD Data'!E116))</f>
        <v>ABHIJEET SARAKAR</v>
      </c>
      <c r="F119" s="27" t="str">
        <f>IF('Paste SD Data'!G116="","",UPPER('Paste SD Data'!G116))</f>
        <v>PRABHAS SARAKAR</v>
      </c>
      <c r="G119" s="27" t="str">
        <f>IF('Paste SD Data'!H116="","",UPPER('Paste SD Data'!H116))</f>
        <v>FULMALA</v>
      </c>
      <c r="H119" s="26" t="str">
        <f>IF('Paste SD Data'!I116="","",IF('Paste SD Data'!I116="M","BOY","GIRL"))</f>
        <v>BOY</v>
      </c>
      <c r="I119" s="28">
        <f>IF('Paste SD Data'!J116="","",'Paste SD Data'!J116)</f>
        <v>40052</v>
      </c>
      <c r="J119" s="34">
        <f t="shared" si="1"/>
        <v>545</v>
      </c>
      <c r="K119" s="29" t="str">
        <f>IF('Paste SD Data'!O116="","",'Paste SD Data'!O116)</f>
        <v>OBC</v>
      </c>
    </row>
    <row r="120" spans="1:11" ht="30" customHeight="1" x14ac:dyDescent="0.25">
      <c r="A120" s="25">
        <f>IF(Table1[[#This Row],[Name of Student]]="","",ROWS($A$1:A116))</f>
        <v>116</v>
      </c>
      <c r="B120" s="26">
        <f>IF('Paste SD Data'!A117="","",'Paste SD Data'!A117)</f>
        <v>7</v>
      </c>
      <c r="C120" s="26" t="str">
        <f>IF('Paste SD Data'!B117="","",'Paste SD Data'!B117)</f>
        <v>A</v>
      </c>
      <c r="D120" s="26">
        <f>IF('Paste SD Data'!C117="","",'Paste SD Data'!C117)</f>
        <v>13436</v>
      </c>
      <c r="E120" s="27" t="str">
        <f>IF('Paste SD Data'!E117="","",UPPER('Paste SD Data'!E117))</f>
        <v>ALEENA BANU</v>
      </c>
      <c r="F120" s="27" t="str">
        <f>IF('Paste SD Data'!G117="","",UPPER('Paste SD Data'!G117))</f>
        <v>RAISH HUSEN</v>
      </c>
      <c r="G120" s="27" t="str">
        <f>IF('Paste SD Data'!H117="","",UPPER('Paste SD Data'!H117))</f>
        <v>RESHMA BANU</v>
      </c>
      <c r="H120" s="26" t="str">
        <f>IF('Paste SD Data'!I117="","",IF('Paste SD Data'!I117="M","BOY","GIRL"))</f>
        <v>GIRL</v>
      </c>
      <c r="I120" s="28">
        <f>IF('Paste SD Data'!J117="","",'Paste SD Data'!J117)</f>
        <v>40091</v>
      </c>
      <c r="J120" s="34">
        <f t="shared" si="1"/>
        <v>546</v>
      </c>
      <c r="K120" s="29" t="str">
        <f>IF('Paste SD Data'!O117="","",'Paste SD Data'!O117)</f>
        <v>OBC</v>
      </c>
    </row>
    <row r="121" spans="1:11" ht="30" customHeight="1" x14ac:dyDescent="0.25">
      <c r="A121" s="25">
        <f>IF(Table1[[#This Row],[Name of Student]]="","",ROWS($A$1:A117))</f>
        <v>117</v>
      </c>
      <c r="B121" s="26">
        <f>IF('Paste SD Data'!A118="","",'Paste SD Data'!A118)</f>
        <v>7</v>
      </c>
      <c r="C121" s="26" t="str">
        <f>IF('Paste SD Data'!B118="","",'Paste SD Data'!B118)</f>
        <v>A</v>
      </c>
      <c r="D121" s="26">
        <f>IF('Paste SD Data'!C118="","",'Paste SD Data'!C118)</f>
        <v>13915</v>
      </c>
      <c r="E121" s="27" t="str">
        <f>IF('Paste SD Data'!E118="","",UPPER('Paste SD Data'!E118))</f>
        <v>BHAWANI SINGH RATHORE</v>
      </c>
      <c r="F121" s="27" t="str">
        <f>IF('Paste SD Data'!G118="","",UPPER('Paste SD Data'!G118))</f>
        <v>PRAHLAD SINGH RATHORE</v>
      </c>
      <c r="G121" s="27" t="str">
        <f>IF('Paste SD Data'!H118="","",UPPER('Paste SD Data'!H118))</f>
        <v>DEVKANYA RATHORE</v>
      </c>
      <c r="H121" s="26" t="str">
        <f>IF('Paste SD Data'!I118="","",IF('Paste SD Data'!I118="M","BOY","GIRL"))</f>
        <v>BOY</v>
      </c>
      <c r="I121" s="28">
        <f>IF('Paste SD Data'!J118="","",'Paste SD Data'!J118)</f>
        <v>39873</v>
      </c>
      <c r="J121" s="34">
        <f t="shared" si="1"/>
        <v>547</v>
      </c>
      <c r="K121" s="29" t="str">
        <f>IF('Paste SD Data'!O118="","",'Paste SD Data'!O118)</f>
        <v>OBC</v>
      </c>
    </row>
    <row r="122" spans="1:11" ht="30" customHeight="1" x14ac:dyDescent="0.25">
      <c r="A122" s="25">
        <f>IF(Table1[[#This Row],[Name of Student]]="","",ROWS($A$1:A118))</f>
        <v>118</v>
      </c>
      <c r="B122" s="26">
        <f>IF('Paste SD Data'!A119="","",'Paste SD Data'!A119)</f>
        <v>7</v>
      </c>
      <c r="C122" s="26" t="str">
        <f>IF('Paste SD Data'!B119="","",'Paste SD Data'!B119)</f>
        <v>A</v>
      </c>
      <c r="D122" s="26">
        <f>IF('Paste SD Data'!C119="","",'Paste SD Data'!C119)</f>
        <v>13379</v>
      </c>
      <c r="E122" s="27" t="str">
        <f>IF('Paste SD Data'!E119="","",UPPER('Paste SD Data'!E119))</f>
        <v>BHAWESH REGAR</v>
      </c>
      <c r="F122" s="27" t="str">
        <f>IF('Paste SD Data'!G119="","",UPPER('Paste SD Data'!G119))</f>
        <v>BHAGWAN LAL REGAR</v>
      </c>
      <c r="G122" s="27" t="str">
        <f>IF('Paste SD Data'!H119="","",UPPER('Paste SD Data'!H119))</f>
        <v>YASHODA REGAR</v>
      </c>
      <c r="H122" s="26" t="str">
        <f>IF('Paste SD Data'!I119="","",IF('Paste SD Data'!I119="M","BOY","GIRL"))</f>
        <v>BOY</v>
      </c>
      <c r="I122" s="28">
        <f>IF('Paste SD Data'!J119="","",'Paste SD Data'!J119)</f>
        <v>39837</v>
      </c>
      <c r="J122" s="34">
        <f t="shared" si="1"/>
        <v>548</v>
      </c>
      <c r="K122" s="29" t="str">
        <f>IF('Paste SD Data'!O119="","",'Paste SD Data'!O119)</f>
        <v>SC</v>
      </c>
    </row>
    <row r="123" spans="1:11" ht="30" customHeight="1" x14ac:dyDescent="0.25">
      <c r="A123" s="25">
        <f>IF(Table1[[#This Row],[Name of Student]]="","",ROWS($A$1:A119))</f>
        <v>119</v>
      </c>
      <c r="B123" s="26">
        <f>IF('Paste SD Data'!A120="","",'Paste SD Data'!A120)</f>
        <v>7</v>
      </c>
      <c r="C123" s="26" t="str">
        <f>IF('Paste SD Data'!B120="","",'Paste SD Data'!B120)</f>
        <v>A</v>
      </c>
      <c r="D123" s="26">
        <f>IF('Paste SD Data'!C120="","",'Paste SD Data'!C120)</f>
        <v>13438</v>
      </c>
      <c r="E123" s="27" t="str">
        <f>IF('Paste SD Data'!E120="","",UPPER('Paste SD Data'!E120))</f>
        <v>DEEPAK REGAR</v>
      </c>
      <c r="F123" s="27" t="str">
        <f>IF('Paste SD Data'!G120="","",UPPER('Paste SD Data'!G120))</f>
        <v>JETHUMAL REGAR</v>
      </c>
      <c r="G123" s="27" t="str">
        <f>IF('Paste SD Data'!H120="","",UPPER('Paste SD Data'!H120))</f>
        <v>SUNITA DEVI</v>
      </c>
      <c r="H123" s="26" t="str">
        <f>IF('Paste SD Data'!I120="","",IF('Paste SD Data'!I120="M","BOY","GIRL"))</f>
        <v>BOY</v>
      </c>
      <c r="I123" s="28">
        <f>IF('Paste SD Data'!J120="","",'Paste SD Data'!J120)</f>
        <v>39651</v>
      </c>
      <c r="J123" s="34">
        <f t="shared" si="1"/>
        <v>549</v>
      </c>
      <c r="K123" s="29" t="str">
        <f>IF('Paste SD Data'!O120="","",'Paste SD Data'!O120)</f>
        <v>SC</v>
      </c>
    </row>
    <row r="124" spans="1:11" ht="30" customHeight="1" x14ac:dyDescent="0.25">
      <c r="A124" s="25">
        <f>IF(Table1[[#This Row],[Name of Student]]="","",ROWS($A$1:A120))</f>
        <v>120</v>
      </c>
      <c r="B124" s="26">
        <f>IF('Paste SD Data'!A121="","",'Paste SD Data'!A121)</f>
        <v>7</v>
      </c>
      <c r="C124" s="26" t="str">
        <f>IF('Paste SD Data'!B121="","",'Paste SD Data'!B121)</f>
        <v>A</v>
      </c>
      <c r="D124" s="26">
        <f>IF('Paste SD Data'!C121="","",'Paste SD Data'!C121)</f>
        <v>13016</v>
      </c>
      <c r="E124" s="27" t="str">
        <f>IF('Paste SD Data'!E121="","",UPPER('Paste SD Data'!E121))</f>
        <v>DIMPAL MALI</v>
      </c>
      <c r="F124" s="27" t="str">
        <f>IF('Paste SD Data'!G121="","",UPPER('Paste SD Data'!G121))</f>
        <v>AMBA LAL MALI</v>
      </c>
      <c r="G124" s="27" t="str">
        <f>IF('Paste SD Data'!H121="","",UPPER('Paste SD Data'!H121))</f>
        <v>KESHAR DEVI</v>
      </c>
      <c r="H124" s="26" t="str">
        <f>IF('Paste SD Data'!I121="","",IF('Paste SD Data'!I121="M","BOY","GIRL"))</f>
        <v>GIRL</v>
      </c>
      <c r="I124" s="28">
        <f>IF('Paste SD Data'!J121="","",'Paste SD Data'!J121)</f>
        <v>39448</v>
      </c>
      <c r="J124" s="34">
        <f t="shared" si="1"/>
        <v>550</v>
      </c>
      <c r="K124" s="29" t="str">
        <f>IF('Paste SD Data'!O121="","",'Paste SD Data'!O121)</f>
        <v>OBC</v>
      </c>
    </row>
    <row r="125" spans="1:11" ht="30" customHeight="1" x14ac:dyDescent="0.25">
      <c r="A125" s="25">
        <f>IF(Table1[[#This Row],[Name of Student]]="","",ROWS($A$1:A121))</f>
        <v>121</v>
      </c>
      <c r="B125" s="26">
        <f>IF('Paste SD Data'!A122="","",'Paste SD Data'!A122)</f>
        <v>7</v>
      </c>
      <c r="C125" s="26" t="str">
        <f>IF('Paste SD Data'!B122="","",'Paste SD Data'!B122)</f>
        <v>A</v>
      </c>
      <c r="D125" s="26">
        <f>IF('Paste SD Data'!C122="","",'Paste SD Data'!C122)</f>
        <v>13059</v>
      </c>
      <c r="E125" s="27" t="str">
        <f>IF('Paste SD Data'!E122="","",UPPER('Paste SD Data'!E122))</f>
        <v>GAYATRI REGAR</v>
      </c>
      <c r="F125" s="27" t="str">
        <f>IF('Paste SD Data'!G122="","",UPPER('Paste SD Data'!G122))</f>
        <v>LAXMAN LAL REGAR</v>
      </c>
      <c r="G125" s="27" t="str">
        <f>IF('Paste SD Data'!H122="","",UPPER('Paste SD Data'!H122))</f>
        <v>KAMLA DEVI</v>
      </c>
      <c r="H125" s="26" t="str">
        <f>IF('Paste SD Data'!I122="","",IF('Paste SD Data'!I122="M","BOY","GIRL"))</f>
        <v>GIRL</v>
      </c>
      <c r="I125" s="28">
        <f>IF('Paste SD Data'!J122="","",'Paste SD Data'!J122)</f>
        <v>39622</v>
      </c>
      <c r="J125" s="34">
        <f t="shared" si="1"/>
        <v>551</v>
      </c>
      <c r="K125" s="29" t="str">
        <f>IF('Paste SD Data'!O122="","",'Paste SD Data'!O122)</f>
        <v>SC</v>
      </c>
    </row>
    <row r="126" spans="1:11" ht="30" customHeight="1" x14ac:dyDescent="0.25">
      <c r="A126" s="25">
        <f>IF(Table1[[#This Row],[Name of Student]]="","",ROWS($A$1:A122))</f>
        <v>122</v>
      </c>
      <c r="B126" s="26">
        <f>IF('Paste SD Data'!A123="","",'Paste SD Data'!A123)</f>
        <v>7</v>
      </c>
      <c r="C126" s="26" t="str">
        <f>IF('Paste SD Data'!B123="","",'Paste SD Data'!B123)</f>
        <v>A</v>
      </c>
      <c r="D126" s="26">
        <f>IF('Paste SD Data'!C123="","",'Paste SD Data'!C123)</f>
        <v>13631</v>
      </c>
      <c r="E126" s="27" t="str">
        <f>IF('Paste SD Data'!E123="","",UPPER('Paste SD Data'!E123))</f>
        <v>KHUSHI SEN</v>
      </c>
      <c r="F126" s="27" t="str">
        <f>IF('Paste SD Data'!G123="","",UPPER('Paste SD Data'!G123))</f>
        <v>NARENDRA KUMAR SEN</v>
      </c>
      <c r="G126" s="27" t="str">
        <f>IF('Paste SD Data'!H123="","",UPPER('Paste SD Data'!H123))</f>
        <v>MAMTA SEN</v>
      </c>
      <c r="H126" s="26" t="str">
        <f>IF('Paste SD Data'!I123="","",IF('Paste SD Data'!I123="M","BOY","GIRL"))</f>
        <v>GIRL</v>
      </c>
      <c r="I126" s="28">
        <f>IF('Paste SD Data'!J123="","",'Paste SD Data'!J123)</f>
        <v>39874</v>
      </c>
      <c r="J126" s="34">
        <f t="shared" si="1"/>
        <v>552</v>
      </c>
      <c r="K126" s="29" t="str">
        <f>IF('Paste SD Data'!O123="","",'Paste SD Data'!O123)</f>
        <v>OBC</v>
      </c>
    </row>
    <row r="127" spans="1:11" ht="30" customHeight="1" x14ac:dyDescent="0.25">
      <c r="A127" s="25">
        <f>IF(Table1[[#This Row],[Name of Student]]="","",ROWS($A$1:A123))</f>
        <v>123</v>
      </c>
      <c r="B127" s="26">
        <f>IF('Paste SD Data'!A124="","",'Paste SD Data'!A124)</f>
        <v>7</v>
      </c>
      <c r="C127" s="26" t="str">
        <f>IF('Paste SD Data'!B124="","",'Paste SD Data'!B124)</f>
        <v>A</v>
      </c>
      <c r="D127" s="26">
        <f>IF('Paste SD Data'!C124="","",'Paste SD Data'!C124)</f>
        <v>12241</v>
      </c>
      <c r="E127" s="27" t="str">
        <f>IF('Paste SD Data'!E124="","",UPPER('Paste SD Data'!E124))</f>
        <v>KOMAL MALI</v>
      </c>
      <c r="F127" s="27" t="str">
        <f>IF('Paste SD Data'!G124="","",UPPER('Paste SD Data'!G124))</f>
        <v>KALU LAL MALI</v>
      </c>
      <c r="G127" s="27" t="str">
        <f>IF('Paste SD Data'!H124="","",UPPER('Paste SD Data'!H124))</f>
        <v>RAMU DEVI</v>
      </c>
      <c r="H127" s="26" t="str">
        <f>IF('Paste SD Data'!I124="","",IF('Paste SD Data'!I124="M","BOY","GIRL"))</f>
        <v>GIRL</v>
      </c>
      <c r="I127" s="28">
        <f>IF('Paste SD Data'!J124="","",'Paste SD Data'!J124)</f>
        <v>39478</v>
      </c>
      <c r="J127" s="34">
        <f t="shared" si="1"/>
        <v>553</v>
      </c>
      <c r="K127" s="29" t="str">
        <f>IF('Paste SD Data'!O124="","",'Paste SD Data'!O124)</f>
        <v>OBC</v>
      </c>
    </row>
    <row r="128" spans="1:11" ht="30" customHeight="1" x14ac:dyDescent="0.25">
      <c r="A128" s="25">
        <f>IF(Table1[[#This Row],[Name of Student]]="","",ROWS($A$1:A124))</f>
        <v>124</v>
      </c>
      <c r="B128" s="26">
        <f>IF('Paste SD Data'!A125="","",'Paste SD Data'!A125)</f>
        <v>7</v>
      </c>
      <c r="C128" s="26" t="str">
        <f>IF('Paste SD Data'!B125="","",'Paste SD Data'!B125)</f>
        <v>A</v>
      </c>
      <c r="D128" s="26">
        <f>IF('Paste SD Data'!C125="","",'Paste SD Data'!C125)</f>
        <v>13425</v>
      </c>
      <c r="E128" s="27" t="str">
        <f>IF('Paste SD Data'!E125="","",UPPER('Paste SD Data'!E125))</f>
        <v>MAHESH MALI</v>
      </c>
      <c r="F128" s="27" t="str">
        <f>IF('Paste SD Data'!G125="","",UPPER('Paste SD Data'!G125))</f>
        <v>SHYAM LAL MALI</v>
      </c>
      <c r="G128" s="27" t="str">
        <f>IF('Paste SD Data'!H125="","",UPPER('Paste SD Data'!H125))</f>
        <v>PUSHPA DEVI</v>
      </c>
      <c r="H128" s="26" t="str">
        <f>IF('Paste SD Data'!I125="","",IF('Paste SD Data'!I125="M","BOY","GIRL"))</f>
        <v>BOY</v>
      </c>
      <c r="I128" s="28">
        <f>IF('Paste SD Data'!J125="","",'Paste SD Data'!J125)</f>
        <v>40706</v>
      </c>
      <c r="J128" s="34">
        <f t="shared" si="1"/>
        <v>554</v>
      </c>
      <c r="K128" s="29" t="str">
        <f>IF('Paste SD Data'!O125="","",'Paste SD Data'!O125)</f>
        <v>OBC</v>
      </c>
    </row>
    <row r="129" spans="1:11" ht="30" customHeight="1" x14ac:dyDescent="0.25">
      <c r="A129" s="25">
        <f>IF(Table1[[#This Row],[Name of Student]]="","",ROWS($A$1:A125))</f>
        <v>125</v>
      </c>
      <c r="B129" s="26">
        <f>IF('Paste SD Data'!A126="","",'Paste SD Data'!A126)</f>
        <v>7</v>
      </c>
      <c r="C129" s="26" t="str">
        <f>IF('Paste SD Data'!B126="","",'Paste SD Data'!B126)</f>
        <v>A</v>
      </c>
      <c r="D129" s="26">
        <f>IF('Paste SD Data'!C126="","",'Paste SD Data'!C126)</f>
        <v>12445</v>
      </c>
      <c r="E129" s="27" t="str">
        <f>IF('Paste SD Data'!E126="","",UPPER('Paste SD Data'!E126))</f>
        <v>MANISHA MALI</v>
      </c>
      <c r="F129" s="27" t="str">
        <f>IF('Paste SD Data'!G126="","",UPPER('Paste SD Data'!G126))</f>
        <v>JAGDISH MALI</v>
      </c>
      <c r="G129" s="27" t="str">
        <f>IF('Paste SD Data'!H126="","",UPPER('Paste SD Data'!H126))</f>
        <v>PATASI DEVI</v>
      </c>
      <c r="H129" s="26" t="str">
        <f>IF('Paste SD Data'!I126="","",IF('Paste SD Data'!I126="M","BOY","GIRL"))</f>
        <v>GIRL</v>
      </c>
      <c r="I129" s="28">
        <f>IF('Paste SD Data'!J126="","",'Paste SD Data'!J126)</f>
        <v>39355</v>
      </c>
      <c r="J129" s="34">
        <f t="shared" si="1"/>
        <v>555</v>
      </c>
      <c r="K129" s="29" t="str">
        <f>IF('Paste SD Data'!O126="","",'Paste SD Data'!O126)</f>
        <v>OBC</v>
      </c>
    </row>
    <row r="130" spans="1:11" ht="30" customHeight="1" x14ac:dyDescent="0.25">
      <c r="A130" s="25">
        <f>IF(Table1[[#This Row],[Name of Student]]="","",ROWS($A$1:A126))</f>
        <v>126</v>
      </c>
      <c r="B130" s="26">
        <f>IF('Paste SD Data'!A127="","",'Paste SD Data'!A127)</f>
        <v>7</v>
      </c>
      <c r="C130" s="26" t="str">
        <f>IF('Paste SD Data'!B127="","",'Paste SD Data'!B127)</f>
        <v>A</v>
      </c>
      <c r="D130" s="26">
        <f>IF('Paste SD Data'!C127="","",'Paste SD Data'!C127)</f>
        <v>13970</v>
      </c>
      <c r="E130" s="27" t="str">
        <f>IF('Paste SD Data'!E127="","",UPPER('Paste SD Data'!E127))</f>
        <v>MISBAH BANU</v>
      </c>
      <c r="F130" s="27" t="str">
        <f>IF('Paste SD Data'!G127="","",UPPER('Paste SD Data'!G127))</f>
        <v>SHARIF MOHAMMAD</v>
      </c>
      <c r="G130" s="27" t="str">
        <f>IF('Paste SD Data'!H127="","",UPPER('Paste SD Data'!H127))</f>
        <v>SHAMINA BANU</v>
      </c>
      <c r="H130" s="26" t="str">
        <f>IF('Paste SD Data'!I127="","",IF('Paste SD Data'!I127="M","BOY","GIRL"))</f>
        <v>GIRL</v>
      </c>
      <c r="I130" s="28">
        <f>IF('Paste SD Data'!J127="","",'Paste SD Data'!J127)</f>
        <v>40021</v>
      </c>
      <c r="J130" s="34">
        <f t="shared" si="1"/>
        <v>556</v>
      </c>
      <c r="K130" s="29" t="str">
        <f>IF('Paste SD Data'!O127="","",'Paste SD Data'!O127)</f>
        <v>GEN</v>
      </c>
    </row>
    <row r="131" spans="1:11" ht="30" customHeight="1" x14ac:dyDescent="0.25">
      <c r="A131" s="25">
        <f>IF(Table1[[#This Row],[Name of Student]]="","",ROWS($A$1:A127))</f>
        <v>127</v>
      </c>
      <c r="B131" s="26">
        <f>IF('Paste SD Data'!A128="","",'Paste SD Data'!A128)</f>
        <v>7</v>
      </c>
      <c r="C131" s="26" t="str">
        <f>IF('Paste SD Data'!B128="","",'Paste SD Data'!B128)</f>
        <v>A</v>
      </c>
      <c r="D131" s="26">
        <f>IF('Paste SD Data'!C128="","",'Paste SD Data'!C128)</f>
        <v>13690</v>
      </c>
      <c r="E131" s="27" t="str">
        <f>IF('Paste SD Data'!E128="","",UPPER('Paste SD Data'!E128))</f>
        <v>NARPAT SINGH RATNAWAT</v>
      </c>
      <c r="F131" s="27" t="str">
        <f>IF('Paste SD Data'!G128="","",UPPER('Paste SD Data'!G128))</f>
        <v>SUMER SINGH RATNAWAT</v>
      </c>
      <c r="G131" s="27" t="str">
        <f>IF('Paste SD Data'!H128="","",UPPER('Paste SD Data'!H128))</f>
        <v>DIPEEKA KANWAR</v>
      </c>
      <c r="H131" s="26" t="str">
        <f>IF('Paste SD Data'!I128="","",IF('Paste SD Data'!I128="M","BOY","GIRL"))</f>
        <v>BOY</v>
      </c>
      <c r="I131" s="28">
        <f>IF('Paste SD Data'!J128="","",'Paste SD Data'!J128)</f>
        <v>40380</v>
      </c>
      <c r="J131" s="34">
        <f t="shared" si="1"/>
        <v>557</v>
      </c>
      <c r="K131" s="29" t="str">
        <f>IF('Paste SD Data'!O128="","",'Paste SD Data'!O128)</f>
        <v>GEN</v>
      </c>
    </row>
    <row r="132" spans="1:11" ht="30" customHeight="1" x14ac:dyDescent="0.25">
      <c r="A132" s="25">
        <f>IF(Table1[[#This Row],[Name of Student]]="","",ROWS($A$1:A128))</f>
        <v>128</v>
      </c>
      <c r="B132" s="26">
        <f>IF('Paste SD Data'!A129="","",'Paste SD Data'!A129)</f>
        <v>7</v>
      </c>
      <c r="C132" s="26" t="str">
        <f>IF('Paste SD Data'!B129="","",'Paste SD Data'!B129)</f>
        <v>A</v>
      </c>
      <c r="D132" s="26">
        <f>IF('Paste SD Data'!C129="","",'Paste SD Data'!C129)</f>
        <v>13117</v>
      </c>
      <c r="E132" s="27" t="str">
        <f>IF('Paste SD Data'!E129="","",UPPER('Paste SD Data'!E129))</f>
        <v>NAVED KHAN</v>
      </c>
      <c r="F132" s="27" t="str">
        <f>IF('Paste SD Data'!G129="","",UPPER('Paste SD Data'!G129))</f>
        <v>NAEEM KHAN</v>
      </c>
      <c r="G132" s="27" t="str">
        <f>IF('Paste SD Data'!H129="","",UPPER('Paste SD Data'!H129))</f>
        <v>NAJMEEN BANU</v>
      </c>
      <c r="H132" s="26" t="str">
        <f>IF('Paste SD Data'!I129="","",IF('Paste SD Data'!I129="M","BOY","GIRL"))</f>
        <v>BOY</v>
      </c>
      <c r="I132" s="28">
        <f>IF('Paste SD Data'!J129="","",'Paste SD Data'!J129)</f>
        <v>39217</v>
      </c>
      <c r="J132" s="34">
        <f t="shared" si="1"/>
        <v>558</v>
      </c>
      <c r="K132" s="29" t="str">
        <f>IF('Paste SD Data'!O129="","",'Paste SD Data'!O129)</f>
        <v>GEN</v>
      </c>
    </row>
    <row r="133" spans="1:11" ht="30" customHeight="1" x14ac:dyDescent="0.25">
      <c r="A133" s="25">
        <f>IF(Table1[[#This Row],[Name of Student]]="","",ROWS($A$1:A129))</f>
        <v>129</v>
      </c>
      <c r="B133" s="26">
        <f>IF('Paste SD Data'!A130="","",'Paste SD Data'!A130)</f>
        <v>7</v>
      </c>
      <c r="C133" s="26" t="str">
        <f>IF('Paste SD Data'!B130="","",'Paste SD Data'!B130)</f>
        <v>A</v>
      </c>
      <c r="D133" s="26">
        <f>IF('Paste SD Data'!C130="","",'Paste SD Data'!C130)</f>
        <v>12235</v>
      </c>
      <c r="E133" s="27" t="str">
        <f>IF('Paste SD Data'!E130="","",UPPER('Paste SD Data'!E130))</f>
        <v>NAYADA BANU</v>
      </c>
      <c r="F133" s="27" t="str">
        <f>IF('Paste SD Data'!G130="","",UPPER('Paste SD Data'!G130))</f>
        <v>TAHIR MOHAMMAD</v>
      </c>
      <c r="G133" s="27" t="str">
        <f>IF('Paste SD Data'!H130="","",UPPER('Paste SD Data'!H130))</f>
        <v>SHAMA BANU</v>
      </c>
      <c r="H133" s="26" t="str">
        <f>IF('Paste SD Data'!I130="","",IF('Paste SD Data'!I130="M","BOY","GIRL"))</f>
        <v>GIRL</v>
      </c>
      <c r="I133" s="28">
        <f>IF('Paste SD Data'!J130="","",'Paste SD Data'!J130)</f>
        <v>39497</v>
      </c>
      <c r="J133" s="34">
        <f t="shared" si="1"/>
        <v>559</v>
      </c>
      <c r="K133" s="29" t="str">
        <f>IF('Paste SD Data'!O130="","",'Paste SD Data'!O130)</f>
        <v>GEN</v>
      </c>
    </row>
    <row r="134" spans="1:11" ht="30" customHeight="1" x14ac:dyDescent="0.25">
      <c r="A134" s="25">
        <f>IF(Table1[[#This Row],[Name of Student]]="","",ROWS($A$1:A130))</f>
        <v>130</v>
      </c>
      <c r="B134" s="26">
        <f>IF('Paste SD Data'!A131="","",'Paste SD Data'!A131)</f>
        <v>7</v>
      </c>
      <c r="C134" s="26" t="str">
        <f>IF('Paste SD Data'!B131="","",'Paste SD Data'!B131)</f>
        <v>A</v>
      </c>
      <c r="D134" s="26">
        <f>IF('Paste SD Data'!C131="","",'Paste SD Data'!C131)</f>
        <v>13378</v>
      </c>
      <c r="E134" s="27" t="str">
        <f>IF('Paste SD Data'!E131="","",UPPER('Paste SD Data'!E131))</f>
        <v>NEHA VAISHNAV</v>
      </c>
      <c r="F134" s="27" t="str">
        <f>IF('Paste SD Data'!G131="","",UPPER('Paste SD Data'!G131))</f>
        <v>VINOD KUMAR VAISHNAV</v>
      </c>
      <c r="G134" s="27" t="str">
        <f>IF('Paste SD Data'!H131="","",UPPER('Paste SD Data'!H131))</f>
        <v>SUMITRA DEVI</v>
      </c>
      <c r="H134" s="26" t="str">
        <f>IF('Paste SD Data'!I131="","",IF('Paste SD Data'!I131="M","BOY","GIRL"))</f>
        <v>GIRL</v>
      </c>
      <c r="I134" s="28">
        <f>IF('Paste SD Data'!J131="","",'Paste SD Data'!J131)</f>
        <v>39628</v>
      </c>
      <c r="J134" s="34">
        <f t="shared" si="1"/>
        <v>560</v>
      </c>
      <c r="K134" s="29" t="str">
        <f>IF('Paste SD Data'!O131="","",'Paste SD Data'!O131)</f>
        <v>OBC</v>
      </c>
    </row>
    <row r="135" spans="1:11" ht="30" customHeight="1" x14ac:dyDescent="0.25">
      <c r="A135" s="25">
        <f>IF(Table1[[#This Row],[Name of Student]]="","",ROWS($A$1:A131))</f>
        <v>131</v>
      </c>
      <c r="B135" s="26">
        <f>IF('Paste SD Data'!A132="","",'Paste SD Data'!A132)</f>
        <v>7</v>
      </c>
      <c r="C135" s="26" t="str">
        <f>IF('Paste SD Data'!B132="","",'Paste SD Data'!B132)</f>
        <v>A</v>
      </c>
      <c r="D135" s="26">
        <f>IF('Paste SD Data'!C132="","",'Paste SD Data'!C132)</f>
        <v>13689</v>
      </c>
      <c r="E135" s="27" t="str">
        <f>IF('Paste SD Data'!E132="","",UPPER('Paste SD Data'!E132))</f>
        <v>OM PRAKASH MALI</v>
      </c>
      <c r="F135" s="27" t="str">
        <f>IF('Paste SD Data'!G132="","",UPPER('Paste SD Data'!G132))</f>
        <v>BHERU LAL MALI</v>
      </c>
      <c r="G135" s="27" t="str">
        <f>IF('Paste SD Data'!H132="","",UPPER('Paste SD Data'!H132))</f>
        <v>NARAYANI DEVI</v>
      </c>
      <c r="H135" s="26" t="str">
        <f>IF('Paste SD Data'!I132="","",IF('Paste SD Data'!I132="M","BOY","GIRL"))</f>
        <v>BOY</v>
      </c>
      <c r="I135" s="28">
        <f>IF('Paste SD Data'!J132="","",'Paste SD Data'!J132)</f>
        <v>39802</v>
      </c>
      <c r="J135" s="34">
        <f t="shared" ref="J135:J198" si="2">J134+1</f>
        <v>561</v>
      </c>
      <c r="K135" s="29" t="str">
        <f>IF('Paste SD Data'!O132="","",'Paste SD Data'!O132)</f>
        <v>OBC</v>
      </c>
    </row>
    <row r="136" spans="1:11" ht="30" customHeight="1" x14ac:dyDescent="0.25">
      <c r="A136" s="25">
        <f>IF(Table1[[#This Row],[Name of Student]]="","",ROWS($A$1:A132))</f>
        <v>132</v>
      </c>
      <c r="B136" s="26">
        <f>IF('Paste SD Data'!A133="","",'Paste SD Data'!A133)</f>
        <v>7</v>
      </c>
      <c r="C136" s="26" t="str">
        <f>IF('Paste SD Data'!B133="","",'Paste SD Data'!B133)</f>
        <v>A</v>
      </c>
      <c r="D136" s="26">
        <f>IF('Paste SD Data'!C133="","",'Paste SD Data'!C133)</f>
        <v>13015</v>
      </c>
      <c r="E136" s="27" t="str">
        <f>IF('Paste SD Data'!E133="","",UPPER('Paste SD Data'!E133))</f>
        <v>POOJA MALI</v>
      </c>
      <c r="F136" s="27" t="str">
        <f>IF('Paste SD Data'!G133="","",UPPER('Paste SD Data'!G133))</f>
        <v>KAILASH MALI</v>
      </c>
      <c r="G136" s="27" t="str">
        <f>IF('Paste SD Data'!H133="","",UPPER('Paste SD Data'!H133))</f>
        <v>TAMU DEVI</v>
      </c>
      <c r="H136" s="26" t="str">
        <f>IF('Paste SD Data'!I133="","",IF('Paste SD Data'!I133="M","BOY","GIRL"))</f>
        <v>GIRL</v>
      </c>
      <c r="I136" s="28">
        <f>IF('Paste SD Data'!J133="","",'Paste SD Data'!J133)</f>
        <v>40059</v>
      </c>
      <c r="J136" s="34">
        <f t="shared" si="2"/>
        <v>562</v>
      </c>
      <c r="K136" s="29" t="str">
        <f>IF('Paste SD Data'!O133="","",'Paste SD Data'!O133)</f>
        <v>OBC</v>
      </c>
    </row>
    <row r="137" spans="1:11" ht="30" customHeight="1" x14ac:dyDescent="0.25">
      <c r="A137" s="25">
        <f>IF(Table1[[#This Row],[Name of Student]]="","",ROWS($A$1:A133))</f>
        <v>133</v>
      </c>
      <c r="B137" s="26">
        <f>IF('Paste SD Data'!A134="","",'Paste SD Data'!A134)</f>
        <v>7</v>
      </c>
      <c r="C137" s="26" t="str">
        <f>IF('Paste SD Data'!B134="","",'Paste SD Data'!B134)</f>
        <v>A</v>
      </c>
      <c r="D137" s="26">
        <f>IF('Paste SD Data'!C134="","",'Paste SD Data'!C134)</f>
        <v>13913</v>
      </c>
      <c r="E137" s="27" t="str">
        <f>IF('Paste SD Data'!E134="","",UPPER('Paste SD Data'!E134))</f>
        <v>PRATAP SINGH</v>
      </c>
      <c r="F137" s="27" t="str">
        <f>IF('Paste SD Data'!G134="","",UPPER('Paste SD Data'!G134))</f>
        <v>KHIM SINGH</v>
      </c>
      <c r="G137" s="27" t="str">
        <f>IF('Paste SD Data'!H134="","",UPPER('Paste SD Data'!H134))</f>
        <v>SITA DEVI</v>
      </c>
      <c r="H137" s="26" t="str">
        <f>IF('Paste SD Data'!I134="","",IF('Paste SD Data'!I134="M","BOY","GIRL"))</f>
        <v>BOY</v>
      </c>
      <c r="I137" s="28">
        <f>IF('Paste SD Data'!J134="","",'Paste SD Data'!J134)</f>
        <v>39828</v>
      </c>
      <c r="J137" s="34">
        <f t="shared" si="2"/>
        <v>563</v>
      </c>
      <c r="K137" s="29" t="str">
        <f>IF('Paste SD Data'!O134="","",'Paste SD Data'!O134)</f>
        <v>OBC</v>
      </c>
    </row>
    <row r="138" spans="1:11" ht="30" customHeight="1" x14ac:dyDescent="0.25">
      <c r="A138" s="25">
        <f>IF(Table1[[#This Row],[Name of Student]]="","",ROWS($A$1:A134))</f>
        <v>134</v>
      </c>
      <c r="B138" s="26">
        <f>IF('Paste SD Data'!A135="","",'Paste SD Data'!A135)</f>
        <v>7</v>
      </c>
      <c r="C138" s="26" t="str">
        <f>IF('Paste SD Data'!B135="","",'Paste SD Data'!B135)</f>
        <v>A</v>
      </c>
      <c r="D138" s="26">
        <f>IF('Paste SD Data'!C135="","",'Paste SD Data'!C135)</f>
        <v>13500</v>
      </c>
      <c r="E138" s="27" t="str">
        <f>IF('Paste SD Data'!E135="","",UPPER('Paste SD Data'!E135))</f>
        <v>PRAVIN KUMAR KHATIK</v>
      </c>
      <c r="F138" s="27" t="str">
        <f>IF('Paste SD Data'!G135="","",UPPER('Paste SD Data'!G135))</f>
        <v>ARJUN LAL</v>
      </c>
      <c r="G138" s="27" t="str">
        <f>IF('Paste SD Data'!H135="","",UPPER('Paste SD Data'!H135))</f>
        <v>SUGANA DEVI</v>
      </c>
      <c r="H138" s="26" t="str">
        <f>IF('Paste SD Data'!I135="","",IF('Paste SD Data'!I135="M","BOY","GIRL"))</f>
        <v>BOY</v>
      </c>
      <c r="I138" s="28">
        <f>IF('Paste SD Data'!J135="","",'Paste SD Data'!J135)</f>
        <v>39543</v>
      </c>
      <c r="J138" s="34">
        <f t="shared" si="2"/>
        <v>564</v>
      </c>
      <c r="K138" s="29" t="str">
        <f>IF('Paste SD Data'!O135="","",'Paste SD Data'!O135)</f>
        <v>SC</v>
      </c>
    </row>
    <row r="139" spans="1:11" ht="30" customHeight="1" x14ac:dyDescent="0.25">
      <c r="A139" s="25">
        <f>IF(Table1[[#This Row],[Name of Student]]="","",ROWS($A$1:A135))</f>
        <v>135</v>
      </c>
      <c r="B139" s="26">
        <f>IF('Paste SD Data'!A136="","",'Paste SD Data'!A136)</f>
        <v>7</v>
      </c>
      <c r="C139" s="26" t="str">
        <f>IF('Paste SD Data'!B136="","",'Paste SD Data'!B136)</f>
        <v>A</v>
      </c>
      <c r="D139" s="26">
        <f>IF('Paste SD Data'!C136="","",'Paste SD Data'!C136)</f>
        <v>13687</v>
      </c>
      <c r="E139" s="27" t="str">
        <f>IF('Paste SD Data'!E136="","",UPPER('Paste SD Data'!E136))</f>
        <v>RAHUL JINGAR</v>
      </c>
      <c r="F139" s="27" t="str">
        <f>IF('Paste SD Data'!G136="","",UPPER('Paste SD Data'!G136))</f>
        <v>OMPRAKASH JINGAR</v>
      </c>
      <c r="G139" s="27" t="str">
        <f>IF('Paste SD Data'!H136="","",UPPER('Paste SD Data'!H136))</f>
        <v>SUMITRA</v>
      </c>
      <c r="H139" s="26" t="str">
        <f>IF('Paste SD Data'!I136="","",IF('Paste SD Data'!I136="M","BOY","GIRL"))</f>
        <v>BOY</v>
      </c>
      <c r="I139" s="28">
        <f>IF('Paste SD Data'!J136="","",'Paste SD Data'!J136)</f>
        <v>40487</v>
      </c>
      <c r="J139" s="34">
        <f t="shared" si="2"/>
        <v>565</v>
      </c>
      <c r="K139" s="29" t="str">
        <f>IF('Paste SD Data'!O136="","",'Paste SD Data'!O136)</f>
        <v>SC</v>
      </c>
    </row>
    <row r="140" spans="1:11" ht="30" customHeight="1" x14ac:dyDescent="0.25">
      <c r="A140" s="25">
        <f>IF(Table1[[#This Row],[Name of Student]]="","",ROWS($A$1:A136))</f>
        <v>136</v>
      </c>
      <c r="B140" s="26">
        <f>IF('Paste SD Data'!A137="","",'Paste SD Data'!A137)</f>
        <v>7</v>
      </c>
      <c r="C140" s="26" t="str">
        <f>IF('Paste SD Data'!B137="","",'Paste SD Data'!B137)</f>
        <v>A</v>
      </c>
      <c r="D140" s="26">
        <f>IF('Paste SD Data'!C137="","",'Paste SD Data'!C137)</f>
        <v>12234</v>
      </c>
      <c r="E140" s="27" t="str">
        <f>IF('Paste SD Data'!E137="","",UPPER('Paste SD Data'!E137))</f>
        <v>RIJA PARVEEN</v>
      </c>
      <c r="F140" s="27" t="str">
        <f>IF('Paste SD Data'!G137="","",UPPER('Paste SD Data'!G137))</f>
        <v>ZUBAIR AHMED</v>
      </c>
      <c r="G140" s="27" t="str">
        <f>IF('Paste SD Data'!H137="","",UPPER('Paste SD Data'!H137))</f>
        <v>HANEEFA BANO</v>
      </c>
      <c r="H140" s="26" t="str">
        <f>IF('Paste SD Data'!I137="","",IF('Paste SD Data'!I137="M","BOY","GIRL"))</f>
        <v>GIRL</v>
      </c>
      <c r="I140" s="28">
        <f>IF('Paste SD Data'!J137="","",'Paste SD Data'!J137)</f>
        <v>40073</v>
      </c>
      <c r="J140" s="34">
        <f t="shared" si="2"/>
        <v>566</v>
      </c>
      <c r="K140" s="29" t="str">
        <f>IF('Paste SD Data'!O137="","",'Paste SD Data'!O137)</f>
        <v>OBC</v>
      </c>
    </row>
    <row r="141" spans="1:11" ht="30" customHeight="1" x14ac:dyDescent="0.25">
      <c r="A141" s="25">
        <f>IF(Table1[[#This Row],[Name of Student]]="","",ROWS($A$1:A137))</f>
        <v>137</v>
      </c>
      <c r="B141" s="26">
        <f>IF('Paste SD Data'!A138="","",'Paste SD Data'!A138)</f>
        <v>7</v>
      </c>
      <c r="C141" s="26" t="str">
        <f>IF('Paste SD Data'!B138="","",'Paste SD Data'!B138)</f>
        <v>A</v>
      </c>
      <c r="D141" s="26">
        <f>IF('Paste SD Data'!C138="","",'Paste SD Data'!C138)</f>
        <v>12226</v>
      </c>
      <c r="E141" s="27" t="str">
        <f>IF('Paste SD Data'!E138="","",UPPER('Paste SD Data'!E138))</f>
        <v>SATYAPAL SINGH</v>
      </c>
      <c r="F141" s="27" t="str">
        <f>IF('Paste SD Data'!G138="","",UPPER('Paste SD Data'!G138))</f>
        <v>PREM SINGH</v>
      </c>
      <c r="G141" s="27" t="str">
        <f>IF('Paste SD Data'!H138="","",UPPER('Paste SD Data'!H138))</f>
        <v>HANSA DEVI</v>
      </c>
      <c r="H141" s="26" t="str">
        <f>IF('Paste SD Data'!I138="","",IF('Paste SD Data'!I138="M","BOY","GIRL"))</f>
        <v>BOY</v>
      </c>
      <c r="I141" s="28">
        <f>IF('Paste SD Data'!J138="","",'Paste SD Data'!J138)</f>
        <v>39377</v>
      </c>
      <c r="J141" s="34">
        <f t="shared" si="2"/>
        <v>567</v>
      </c>
      <c r="K141" s="29" t="str">
        <f>IF('Paste SD Data'!O138="","",'Paste SD Data'!O138)</f>
        <v>OBC</v>
      </c>
    </row>
    <row r="142" spans="1:11" ht="30" customHeight="1" x14ac:dyDescent="0.25">
      <c r="A142" s="25">
        <f>IF(Table1[[#This Row],[Name of Student]]="","",ROWS($A$1:A138))</f>
        <v>138</v>
      </c>
      <c r="B142" s="26">
        <f>IF('Paste SD Data'!A139="","",'Paste SD Data'!A139)</f>
        <v>7</v>
      </c>
      <c r="C142" s="26" t="str">
        <f>IF('Paste SD Data'!B139="","",'Paste SD Data'!B139)</f>
        <v>A</v>
      </c>
      <c r="D142" s="26">
        <f>IF('Paste SD Data'!C139="","",'Paste SD Data'!C139)</f>
        <v>13914</v>
      </c>
      <c r="E142" s="27" t="str">
        <f>IF('Paste SD Data'!E139="","",UPPER('Paste SD Data'!E139))</f>
        <v>SHRAWAN SINGH</v>
      </c>
      <c r="F142" s="27" t="str">
        <f>IF('Paste SD Data'!G139="","",UPPER('Paste SD Data'!G139))</f>
        <v>KHIM SINGH</v>
      </c>
      <c r="G142" s="27" t="str">
        <f>IF('Paste SD Data'!H139="","",UPPER('Paste SD Data'!H139))</f>
        <v>SITA DEVI</v>
      </c>
      <c r="H142" s="26" t="str">
        <f>IF('Paste SD Data'!I139="","",IF('Paste SD Data'!I139="M","BOY","GIRL"))</f>
        <v>BOY</v>
      </c>
      <c r="I142" s="28">
        <f>IF('Paste SD Data'!J139="","",'Paste SD Data'!J139)</f>
        <v>39298</v>
      </c>
      <c r="J142" s="34">
        <f t="shared" si="2"/>
        <v>568</v>
      </c>
      <c r="K142" s="29" t="str">
        <f>IF('Paste SD Data'!O139="","",'Paste SD Data'!O139)</f>
        <v>OBC</v>
      </c>
    </row>
    <row r="143" spans="1:11" ht="30" customHeight="1" x14ac:dyDescent="0.25">
      <c r="A143" s="25">
        <f>IF(Table1[[#This Row],[Name of Student]]="","",ROWS($A$1:A139))</f>
        <v>139</v>
      </c>
      <c r="B143" s="26">
        <f>IF('Paste SD Data'!A140="","",'Paste SD Data'!A140)</f>
        <v>7</v>
      </c>
      <c r="C143" s="26" t="str">
        <f>IF('Paste SD Data'!B140="","",'Paste SD Data'!B140)</f>
        <v>A</v>
      </c>
      <c r="D143" s="26">
        <f>IF('Paste SD Data'!C140="","",'Paste SD Data'!C140)</f>
        <v>14003</v>
      </c>
      <c r="E143" s="27" t="str">
        <f>IF('Paste SD Data'!E140="","",UPPER('Paste SD Data'!E140))</f>
        <v>SUNEETA KANWAR</v>
      </c>
      <c r="F143" s="27" t="str">
        <f>IF('Paste SD Data'!G140="","",UPPER('Paste SD Data'!G140))</f>
        <v>PRATAP SINGH</v>
      </c>
      <c r="G143" s="27" t="str">
        <f>IF('Paste SD Data'!H140="","",UPPER('Paste SD Data'!H140))</f>
        <v>VASANA KANWAR</v>
      </c>
      <c r="H143" s="26" t="str">
        <f>IF('Paste SD Data'!I140="","",IF('Paste SD Data'!I140="M","BOY","GIRL"))</f>
        <v>GIRL</v>
      </c>
      <c r="I143" s="28">
        <f>IF('Paste SD Data'!J140="","",'Paste SD Data'!J140)</f>
        <v>39978</v>
      </c>
      <c r="J143" s="34">
        <f t="shared" si="2"/>
        <v>569</v>
      </c>
      <c r="K143" s="29" t="str">
        <f>IF('Paste SD Data'!O140="","",'Paste SD Data'!O140)</f>
        <v>GEN</v>
      </c>
    </row>
    <row r="144" spans="1:11" ht="30" customHeight="1" x14ac:dyDescent="0.25">
      <c r="A144" s="25">
        <f>IF(Table1[[#This Row],[Name of Student]]="","",ROWS($A$1:A140))</f>
        <v>140</v>
      </c>
      <c r="B144" s="26">
        <f>IF('Paste SD Data'!A141="","",'Paste SD Data'!A141)</f>
        <v>7</v>
      </c>
      <c r="C144" s="26" t="str">
        <f>IF('Paste SD Data'!B141="","",'Paste SD Data'!B141)</f>
        <v>A</v>
      </c>
      <c r="D144" s="26">
        <f>IF('Paste SD Data'!C141="","",'Paste SD Data'!C141)</f>
        <v>13157</v>
      </c>
      <c r="E144" s="27" t="str">
        <f>IF('Paste SD Data'!E141="","",UPPER('Paste SD Data'!E141))</f>
        <v>YOGITA VED</v>
      </c>
      <c r="F144" s="27" t="str">
        <f>IF('Paste SD Data'!G141="","",UPPER('Paste SD Data'!G141))</f>
        <v>HARISH VED</v>
      </c>
      <c r="G144" s="27" t="str">
        <f>IF('Paste SD Data'!H141="","",UPPER('Paste SD Data'!H141))</f>
        <v>MAMTA VED</v>
      </c>
      <c r="H144" s="26" t="str">
        <f>IF('Paste SD Data'!I141="","",IF('Paste SD Data'!I141="M","BOY","GIRL"))</f>
        <v>GIRL</v>
      </c>
      <c r="I144" s="28">
        <f>IF('Paste SD Data'!J141="","",'Paste SD Data'!J141)</f>
        <v>39809</v>
      </c>
      <c r="J144" s="34">
        <f t="shared" si="2"/>
        <v>570</v>
      </c>
      <c r="K144" s="29" t="str">
        <f>IF('Paste SD Data'!O141="","",'Paste SD Data'!O141)</f>
        <v>OBC</v>
      </c>
    </row>
    <row r="145" spans="1:11" ht="30" customHeight="1" x14ac:dyDescent="0.25">
      <c r="A145" s="25">
        <f>IF(Table1[[#This Row],[Name of Student]]="","",ROWS($A$1:A141))</f>
        <v>141</v>
      </c>
      <c r="B145" s="26">
        <f>IF('Paste SD Data'!A142="","",'Paste SD Data'!A142)</f>
        <v>8</v>
      </c>
      <c r="C145" s="26" t="str">
        <f>IF('Paste SD Data'!B142="","",'Paste SD Data'!B142)</f>
        <v>A</v>
      </c>
      <c r="D145" s="26">
        <f>IF('Paste SD Data'!C142="","",'Paste SD Data'!C142)</f>
        <v>13437</v>
      </c>
      <c r="E145" s="27" t="str">
        <f>IF('Paste SD Data'!E142="","",UPPER('Paste SD Data'!E142))</f>
        <v>AAYAN HUSEN</v>
      </c>
      <c r="F145" s="27" t="str">
        <f>IF('Paste SD Data'!G142="","",UPPER('Paste SD Data'!G142))</f>
        <v>RAESH HUSEN</v>
      </c>
      <c r="G145" s="27" t="str">
        <f>IF('Paste SD Data'!H142="","",UPPER('Paste SD Data'!H142))</f>
        <v>RESHMA BANU</v>
      </c>
      <c r="H145" s="26" t="str">
        <f>IF('Paste SD Data'!I142="","",IF('Paste SD Data'!I142="M","BOY","GIRL"))</f>
        <v>BOY</v>
      </c>
      <c r="I145" s="28">
        <f>IF('Paste SD Data'!J142="","",'Paste SD Data'!J142)</f>
        <v>39203</v>
      </c>
      <c r="J145" s="34">
        <f t="shared" si="2"/>
        <v>571</v>
      </c>
      <c r="K145" s="29" t="str">
        <f>IF('Paste SD Data'!O142="","",'Paste SD Data'!O142)</f>
        <v>OBC</v>
      </c>
    </row>
    <row r="146" spans="1:11" ht="30" customHeight="1" x14ac:dyDescent="0.25">
      <c r="A146" s="25">
        <f>IF(Table1[[#This Row],[Name of Student]]="","",ROWS($A$1:A142))</f>
        <v>142</v>
      </c>
      <c r="B146" s="26">
        <f>IF('Paste SD Data'!A143="","",'Paste SD Data'!A143)</f>
        <v>8</v>
      </c>
      <c r="C146" s="26" t="str">
        <f>IF('Paste SD Data'!B143="","",'Paste SD Data'!B143)</f>
        <v>A</v>
      </c>
      <c r="D146" s="26">
        <f>IF('Paste SD Data'!C143="","",'Paste SD Data'!C143)</f>
        <v>13345</v>
      </c>
      <c r="E146" s="27" t="str">
        <f>IF('Paste SD Data'!E143="","",UPPER('Paste SD Data'!E143))</f>
        <v>ANKIT KUMAR PRAJAPAT</v>
      </c>
      <c r="F146" s="27" t="str">
        <f>IF('Paste SD Data'!G143="","",UPPER('Paste SD Data'!G143))</f>
        <v>SHANTI LAL</v>
      </c>
      <c r="G146" s="27" t="str">
        <f>IF('Paste SD Data'!H143="","",UPPER('Paste SD Data'!H143))</f>
        <v>ANITA DEVI</v>
      </c>
      <c r="H146" s="26" t="str">
        <f>IF('Paste SD Data'!I143="","",IF('Paste SD Data'!I143="M","BOY","GIRL"))</f>
        <v>BOY</v>
      </c>
      <c r="I146" s="28">
        <f>IF('Paste SD Data'!J143="","",'Paste SD Data'!J143)</f>
        <v>39491</v>
      </c>
      <c r="J146" s="34">
        <f t="shared" si="2"/>
        <v>572</v>
      </c>
      <c r="K146" s="29" t="str">
        <f>IF('Paste SD Data'!O143="","",'Paste SD Data'!O143)</f>
        <v>OBC</v>
      </c>
    </row>
    <row r="147" spans="1:11" ht="30" customHeight="1" x14ac:dyDescent="0.25">
      <c r="A147" s="25">
        <f>IF(Table1[[#This Row],[Name of Student]]="","",ROWS($A$1:A143))</f>
        <v>143</v>
      </c>
      <c r="B147" s="26">
        <f>IF('Paste SD Data'!A144="","",'Paste SD Data'!A144)</f>
        <v>8</v>
      </c>
      <c r="C147" s="26" t="str">
        <f>IF('Paste SD Data'!B144="","",'Paste SD Data'!B144)</f>
        <v>A</v>
      </c>
      <c r="D147" s="26">
        <f>IF('Paste SD Data'!C144="","",'Paste SD Data'!C144)</f>
        <v>13739</v>
      </c>
      <c r="E147" s="27" t="str">
        <f>IF('Paste SD Data'!E144="","",UPPER('Paste SD Data'!E144))</f>
        <v>ANKUSH JAIN</v>
      </c>
      <c r="F147" s="27" t="str">
        <f>IF('Paste SD Data'!G144="","",UPPER('Paste SD Data'!G144))</f>
        <v>PARASMAL JAIN</v>
      </c>
      <c r="G147" s="27" t="str">
        <f>IF('Paste SD Data'!H144="","",UPPER('Paste SD Data'!H144))</f>
        <v>SEEMA JAIN</v>
      </c>
      <c r="H147" s="26" t="str">
        <f>IF('Paste SD Data'!I144="","",IF('Paste SD Data'!I144="M","BOY","GIRL"))</f>
        <v>BOY</v>
      </c>
      <c r="I147" s="28">
        <f>IF('Paste SD Data'!J144="","",'Paste SD Data'!J144)</f>
        <v>38979</v>
      </c>
      <c r="J147" s="34">
        <f t="shared" si="2"/>
        <v>573</v>
      </c>
      <c r="K147" s="29" t="str">
        <f>IF('Paste SD Data'!O144="","",'Paste SD Data'!O144)</f>
        <v>GEN</v>
      </c>
    </row>
    <row r="148" spans="1:11" ht="30" customHeight="1" x14ac:dyDescent="0.25">
      <c r="A148" s="25">
        <f>IF(Table1[[#This Row],[Name of Student]]="","",ROWS($A$1:A144))</f>
        <v>144</v>
      </c>
      <c r="B148" s="26">
        <f>IF('Paste SD Data'!A145="","",'Paste SD Data'!A145)</f>
        <v>8</v>
      </c>
      <c r="C148" s="26" t="str">
        <f>IF('Paste SD Data'!B145="","",'Paste SD Data'!B145)</f>
        <v>A</v>
      </c>
      <c r="D148" s="26">
        <f>IF('Paste SD Data'!C145="","",'Paste SD Data'!C145)</f>
        <v>13656</v>
      </c>
      <c r="E148" s="27" t="str">
        <f>IF('Paste SD Data'!E145="","",UPPER('Paste SD Data'!E145))</f>
        <v>BHUPENDRA MALI</v>
      </c>
      <c r="F148" s="27" t="str">
        <f>IF('Paste SD Data'!G145="","",UPPER('Paste SD Data'!G145))</f>
        <v>PRAKASH MALI</v>
      </c>
      <c r="G148" s="27" t="str">
        <f>IF('Paste SD Data'!H145="","",UPPER('Paste SD Data'!H145))</f>
        <v>KESAR DEVI</v>
      </c>
      <c r="H148" s="26" t="str">
        <f>IF('Paste SD Data'!I145="","",IF('Paste SD Data'!I145="M","BOY","GIRL"))</f>
        <v>BOY</v>
      </c>
      <c r="I148" s="28">
        <f>IF('Paste SD Data'!J145="","",'Paste SD Data'!J145)</f>
        <v>39504</v>
      </c>
      <c r="J148" s="34">
        <f t="shared" si="2"/>
        <v>574</v>
      </c>
      <c r="K148" s="29" t="str">
        <f>IF('Paste SD Data'!O145="","",'Paste SD Data'!O145)</f>
        <v>OBC</v>
      </c>
    </row>
    <row r="149" spans="1:11" ht="30" customHeight="1" x14ac:dyDescent="0.25">
      <c r="A149" s="25">
        <f>IF(Table1[[#This Row],[Name of Student]]="","",ROWS($A$1:A145))</f>
        <v>145</v>
      </c>
      <c r="B149" s="26">
        <f>IF('Paste SD Data'!A146="","",'Paste SD Data'!A146)</f>
        <v>8</v>
      </c>
      <c r="C149" s="26" t="str">
        <f>IF('Paste SD Data'!B146="","",'Paste SD Data'!B146)</f>
        <v>A</v>
      </c>
      <c r="D149" s="26">
        <f>IF('Paste SD Data'!C146="","",'Paste SD Data'!C146)</f>
        <v>13328</v>
      </c>
      <c r="E149" s="27" t="str">
        <f>IF('Paste SD Data'!E146="","",UPPER('Paste SD Data'!E146))</f>
        <v>CHIRAG CHOUHAN</v>
      </c>
      <c r="F149" s="27" t="str">
        <f>IF('Paste SD Data'!G146="","",UPPER('Paste SD Data'!G146))</f>
        <v>CHANDRA PRAKASH</v>
      </c>
      <c r="G149" s="27" t="str">
        <f>IF('Paste SD Data'!H146="","",UPPER('Paste SD Data'!H146))</f>
        <v>SEETA</v>
      </c>
      <c r="H149" s="26" t="str">
        <f>IF('Paste SD Data'!I146="","",IF('Paste SD Data'!I146="M","BOY","GIRL"))</f>
        <v>BOY</v>
      </c>
      <c r="I149" s="28">
        <f>IF('Paste SD Data'!J146="","",'Paste SD Data'!J146)</f>
        <v>39846</v>
      </c>
      <c r="J149" s="34">
        <f t="shared" si="2"/>
        <v>575</v>
      </c>
      <c r="K149" s="29" t="str">
        <f>IF('Paste SD Data'!O146="","",'Paste SD Data'!O146)</f>
        <v>OBC</v>
      </c>
    </row>
    <row r="150" spans="1:11" ht="30" customHeight="1" x14ac:dyDescent="0.25">
      <c r="A150" s="25">
        <f>IF(Table1[[#This Row],[Name of Student]]="","",ROWS($A$1:A146))</f>
        <v>146</v>
      </c>
      <c r="B150" s="26">
        <f>IF('Paste SD Data'!A147="","",'Paste SD Data'!A147)</f>
        <v>8</v>
      </c>
      <c r="C150" s="26" t="str">
        <f>IF('Paste SD Data'!B147="","",'Paste SD Data'!B147)</f>
        <v>A</v>
      </c>
      <c r="D150" s="26">
        <f>IF('Paste SD Data'!C147="","",'Paste SD Data'!C147)</f>
        <v>12240</v>
      </c>
      <c r="E150" s="27" t="str">
        <f>IF('Paste SD Data'!E147="","",UPPER('Paste SD Data'!E147))</f>
        <v>DEVENDRA KUMAR REGAR</v>
      </c>
      <c r="F150" s="27" t="str">
        <f>IF('Paste SD Data'!G147="","",UPPER('Paste SD Data'!G147))</f>
        <v>SANGRAM LAL REGAR</v>
      </c>
      <c r="G150" s="27" t="str">
        <f>IF('Paste SD Data'!H147="","",UPPER('Paste SD Data'!H147))</f>
        <v>SANTOSH DEVI</v>
      </c>
      <c r="H150" s="26" t="str">
        <f>IF('Paste SD Data'!I147="","",IF('Paste SD Data'!I147="M","BOY","GIRL"))</f>
        <v>BOY</v>
      </c>
      <c r="I150" s="28">
        <f>IF('Paste SD Data'!J147="","",'Paste SD Data'!J147)</f>
        <v>39914</v>
      </c>
      <c r="J150" s="34">
        <f t="shared" si="2"/>
        <v>576</v>
      </c>
      <c r="K150" s="29" t="str">
        <f>IF('Paste SD Data'!O147="","",'Paste SD Data'!O147)</f>
        <v>SC</v>
      </c>
    </row>
    <row r="151" spans="1:11" ht="30" customHeight="1" x14ac:dyDescent="0.25">
      <c r="A151" s="25">
        <f>IF(Table1[[#This Row],[Name of Student]]="","",ROWS($A$1:A147))</f>
        <v>147</v>
      </c>
      <c r="B151" s="26">
        <f>IF('Paste SD Data'!A148="","",'Paste SD Data'!A148)</f>
        <v>8</v>
      </c>
      <c r="C151" s="26" t="str">
        <f>IF('Paste SD Data'!B148="","",'Paste SD Data'!B148)</f>
        <v>A</v>
      </c>
      <c r="D151" s="26">
        <f>IF('Paste SD Data'!C148="","",'Paste SD Data'!C148)</f>
        <v>12255</v>
      </c>
      <c r="E151" s="27" t="str">
        <f>IF('Paste SD Data'!E148="","",UPPER('Paste SD Data'!E148))</f>
        <v>DIMPAL KANWAR</v>
      </c>
      <c r="F151" s="27" t="str">
        <f>IF('Paste SD Data'!G148="","",UPPER('Paste SD Data'!G148))</f>
        <v>BHAGWAT SINGH</v>
      </c>
      <c r="G151" s="27" t="str">
        <f>IF('Paste SD Data'!H148="","",UPPER('Paste SD Data'!H148))</f>
        <v>PAWAN KANWAR</v>
      </c>
      <c r="H151" s="26" t="str">
        <f>IF('Paste SD Data'!I148="","",IF('Paste SD Data'!I148="M","BOY","GIRL"))</f>
        <v>GIRL</v>
      </c>
      <c r="I151" s="28">
        <f>IF('Paste SD Data'!J148="","",'Paste SD Data'!J148)</f>
        <v>38754</v>
      </c>
      <c r="J151" s="34">
        <f t="shared" si="2"/>
        <v>577</v>
      </c>
      <c r="K151" s="29" t="str">
        <f>IF('Paste SD Data'!O148="","",'Paste SD Data'!O148)</f>
        <v>GEN</v>
      </c>
    </row>
    <row r="152" spans="1:11" ht="30" customHeight="1" x14ac:dyDescent="0.25">
      <c r="A152" s="25">
        <f>IF(Table1[[#This Row],[Name of Student]]="","",ROWS($A$1:A148))</f>
        <v>148</v>
      </c>
      <c r="B152" s="26">
        <f>IF('Paste SD Data'!A149="","",'Paste SD Data'!A149)</f>
        <v>8</v>
      </c>
      <c r="C152" s="26" t="str">
        <f>IF('Paste SD Data'!B149="","",'Paste SD Data'!B149)</f>
        <v>A</v>
      </c>
      <c r="D152" s="26">
        <f>IF('Paste SD Data'!C149="","",'Paste SD Data'!C149)</f>
        <v>12252</v>
      </c>
      <c r="E152" s="27" t="str">
        <f>IF('Paste SD Data'!E149="","",UPPER('Paste SD Data'!E149))</f>
        <v>DIMPAL LUHAR</v>
      </c>
      <c r="F152" s="27" t="str">
        <f>IF('Paste SD Data'!G149="","",UPPER('Paste SD Data'!G149))</f>
        <v>GOVIND LUHAR</v>
      </c>
      <c r="G152" s="27" t="str">
        <f>IF('Paste SD Data'!H149="","",UPPER('Paste SD Data'!H149))</f>
        <v>MEENA LUHAR</v>
      </c>
      <c r="H152" s="26" t="str">
        <f>IF('Paste SD Data'!I149="","",IF('Paste SD Data'!I149="M","BOY","GIRL"))</f>
        <v>GIRL</v>
      </c>
      <c r="I152" s="28">
        <f>IF('Paste SD Data'!J149="","",'Paste SD Data'!J149)</f>
        <v>39716</v>
      </c>
      <c r="J152" s="34">
        <f t="shared" si="2"/>
        <v>578</v>
      </c>
      <c r="K152" s="29" t="str">
        <f>IF('Paste SD Data'!O149="","",'Paste SD Data'!O149)</f>
        <v>OBC</v>
      </c>
    </row>
    <row r="153" spans="1:11" ht="30" customHeight="1" x14ac:dyDescent="0.25">
      <c r="A153" s="25">
        <f>IF(Table1[[#This Row],[Name of Student]]="","",ROWS($A$1:A149))</f>
        <v>149</v>
      </c>
      <c r="B153" s="26">
        <f>IF('Paste SD Data'!A150="","",'Paste SD Data'!A150)</f>
        <v>8</v>
      </c>
      <c r="C153" s="26" t="str">
        <f>IF('Paste SD Data'!B150="","",'Paste SD Data'!B150)</f>
        <v>A</v>
      </c>
      <c r="D153" s="26">
        <f>IF('Paste SD Data'!C150="","",'Paste SD Data'!C150)</f>
        <v>13947</v>
      </c>
      <c r="E153" s="27" t="str">
        <f>IF('Paste SD Data'!E150="","",UPPER('Paste SD Data'!E150))</f>
        <v>GOIRAV SINGH CHOUHAN</v>
      </c>
      <c r="F153" s="27" t="str">
        <f>IF('Paste SD Data'!G150="","",UPPER('Paste SD Data'!G150))</f>
        <v>MUKESH SINGH CHOUHAN</v>
      </c>
      <c r="G153" s="27" t="str">
        <f>IF('Paste SD Data'!H150="","",UPPER('Paste SD Data'!H150))</f>
        <v>MEENA DEVI</v>
      </c>
      <c r="H153" s="26" t="str">
        <f>IF('Paste SD Data'!I150="","",IF('Paste SD Data'!I150="M","BOY","GIRL"))</f>
        <v>BOY</v>
      </c>
      <c r="I153" s="28">
        <f>IF('Paste SD Data'!J150="","",'Paste SD Data'!J150)</f>
        <v>39404</v>
      </c>
      <c r="J153" s="34">
        <f t="shared" si="2"/>
        <v>579</v>
      </c>
      <c r="K153" s="29" t="str">
        <f>IF('Paste SD Data'!O150="","",'Paste SD Data'!O150)</f>
        <v>OBC</v>
      </c>
    </row>
    <row r="154" spans="1:11" ht="30" customHeight="1" x14ac:dyDescent="0.25">
      <c r="A154" s="25">
        <f>IF(Table1[[#This Row],[Name of Student]]="","",ROWS($A$1:A150))</f>
        <v>150</v>
      </c>
      <c r="B154" s="26">
        <f>IF('Paste SD Data'!A151="","",'Paste SD Data'!A151)</f>
        <v>8</v>
      </c>
      <c r="C154" s="26" t="str">
        <f>IF('Paste SD Data'!B151="","",'Paste SD Data'!B151)</f>
        <v>A</v>
      </c>
      <c r="D154" s="26">
        <f>IF('Paste SD Data'!C151="","",'Paste SD Data'!C151)</f>
        <v>12257</v>
      </c>
      <c r="E154" s="27" t="str">
        <f>IF('Paste SD Data'!E151="","",UPPER('Paste SD Data'!E151))</f>
        <v>HANSRAJ PRAJAPAT</v>
      </c>
      <c r="F154" s="27" t="str">
        <f>IF('Paste SD Data'!G151="","",UPPER('Paste SD Data'!G151))</f>
        <v>HIRA LAL PRAJAPAT</v>
      </c>
      <c r="G154" s="27" t="str">
        <f>IF('Paste SD Data'!H151="","",UPPER('Paste SD Data'!H151))</f>
        <v>METABI BAI</v>
      </c>
      <c r="H154" s="26" t="str">
        <f>IF('Paste SD Data'!I151="","",IF('Paste SD Data'!I151="M","BOY","GIRL"))</f>
        <v>BOY</v>
      </c>
      <c r="I154" s="28">
        <f>IF('Paste SD Data'!J151="","",'Paste SD Data'!J151)</f>
        <v>39514</v>
      </c>
      <c r="J154" s="34">
        <f t="shared" si="2"/>
        <v>580</v>
      </c>
      <c r="K154" s="29" t="str">
        <f>IF('Paste SD Data'!O151="","",'Paste SD Data'!O151)</f>
        <v>OBC</v>
      </c>
    </row>
    <row r="155" spans="1:11" ht="30" customHeight="1" x14ac:dyDescent="0.25">
      <c r="A155" s="25">
        <f>IF(Table1[[#This Row],[Name of Student]]="","",ROWS($A$1:A151))</f>
        <v>151</v>
      </c>
      <c r="B155" s="26">
        <f>IF('Paste SD Data'!A152="","",'Paste SD Data'!A152)</f>
        <v>8</v>
      </c>
      <c r="C155" s="26" t="str">
        <f>IF('Paste SD Data'!B152="","",'Paste SD Data'!B152)</f>
        <v>A</v>
      </c>
      <c r="D155" s="26">
        <f>IF('Paste SD Data'!C152="","",'Paste SD Data'!C152)</f>
        <v>13956</v>
      </c>
      <c r="E155" s="27" t="str">
        <f>IF('Paste SD Data'!E152="","",UPPER('Paste SD Data'!E152))</f>
        <v>HITESH CHANDEL</v>
      </c>
      <c r="F155" s="27" t="str">
        <f>IF('Paste SD Data'!G152="","",UPPER('Paste SD Data'!G152))</f>
        <v>RAJU LAL CHANDEL</v>
      </c>
      <c r="G155" s="27" t="str">
        <f>IF('Paste SD Data'!H152="","",UPPER('Paste SD Data'!H152))</f>
        <v>NIRMALA DEVI</v>
      </c>
      <c r="H155" s="26" t="str">
        <f>IF('Paste SD Data'!I152="","",IF('Paste SD Data'!I152="M","BOY","GIRL"))</f>
        <v>BOY</v>
      </c>
      <c r="I155" s="28">
        <f>IF('Paste SD Data'!J152="","",'Paste SD Data'!J152)</f>
        <v>39480</v>
      </c>
      <c r="J155" s="34">
        <f t="shared" si="2"/>
        <v>581</v>
      </c>
      <c r="K155" s="29" t="str">
        <f>IF('Paste SD Data'!O152="","",'Paste SD Data'!O152)</f>
        <v>SC</v>
      </c>
    </row>
    <row r="156" spans="1:11" ht="30" customHeight="1" x14ac:dyDescent="0.25">
      <c r="A156" s="25">
        <f>IF(Table1[[#This Row],[Name of Student]]="","",ROWS($A$1:A152))</f>
        <v>152</v>
      </c>
      <c r="B156" s="26">
        <f>IF('Paste SD Data'!A153="","",'Paste SD Data'!A153)</f>
        <v>8</v>
      </c>
      <c r="C156" s="26" t="str">
        <f>IF('Paste SD Data'!B153="","",'Paste SD Data'!B153)</f>
        <v>A</v>
      </c>
      <c r="D156" s="26">
        <f>IF('Paste SD Data'!C153="","",'Paste SD Data'!C153)</f>
        <v>13388</v>
      </c>
      <c r="E156" s="27" t="str">
        <f>IF('Paste SD Data'!E153="","",UPPER('Paste SD Data'!E153))</f>
        <v>HITESH JOSHI</v>
      </c>
      <c r="F156" s="27" t="str">
        <f>IF('Paste SD Data'!G153="","",UPPER('Paste SD Data'!G153))</f>
        <v>TEJMAL JOSHI</v>
      </c>
      <c r="G156" s="27" t="str">
        <f>IF('Paste SD Data'!H153="","",UPPER('Paste SD Data'!H153))</f>
        <v>GUDDI DEVI</v>
      </c>
      <c r="H156" s="26" t="str">
        <f>IF('Paste SD Data'!I153="","",IF('Paste SD Data'!I153="M","BOY","GIRL"))</f>
        <v>BOY</v>
      </c>
      <c r="I156" s="28">
        <f>IF('Paste SD Data'!J153="","",'Paste SD Data'!J153)</f>
        <v>39417</v>
      </c>
      <c r="J156" s="34">
        <f t="shared" si="2"/>
        <v>582</v>
      </c>
      <c r="K156" s="29" t="str">
        <f>IF('Paste SD Data'!O153="","",'Paste SD Data'!O153)</f>
        <v>GEN</v>
      </c>
    </row>
    <row r="157" spans="1:11" ht="30" customHeight="1" x14ac:dyDescent="0.25">
      <c r="A157" s="25">
        <f>IF(Table1[[#This Row],[Name of Student]]="","",ROWS($A$1:A153))</f>
        <v>153</v>
      </c>
      <c r="B157" s="26">
        <f>IF('Paste SD Data'!A154="","",'Paste SD Data'!A154)</f>
        <v>8</v>
      </c>
      <c r="C157" s="26" t="str">
        <f>IF('Paste SD Data'!B154="","",'Paste SD Data'!B154)</f>
        <v>A</v>
      </c>
      <c r="D157" s="26">
        <f>IF('Paste SD Data'!C154="","",'Paste SD Data'!C154)</f>
        <v>13022</v>
      </c>
      <c r="E157" s="27" t="str">
        <f>IF('Paste SD Data'!E154="","",UPPER('Paste SD Data'!E154))</f>
        <v>ISHWAR MALI</v>
      </c>
      <c r="F157" s="27" t="str">
        <f>IF('Paste SD Data'!G154="","",UPPER('Paste SD Data'!G154))</f>
        <v>MOHAN LAL MALI</v>
      </c>
      <c r="G157" s="27" t="str">
        <f>IF('Paste SD Data'!H154="","",UPPER('Paste SD Data'!H154))</f>
        <v>PYARI DEVI</v>
      </c>
      <c r="H157" s="26" t="str">
        <f>IF('Paste SD Data'!I154="","",IF('Paste SD Data'!I154="M","BOY","GIRL"))</f>
        <v>BOY</v>
      </c>
      <c r="I157" s="28">
        <f>IF('Paste SD Data'!J154="","",'Paste SD Data'!J154)</f>
        <v>39619</v>
      </c>
      <c r="J157" s="34">
        <f t="shared" si="2"/>
        <v>583</v>
      </c>
      <c r="K157" s="29" t="str">
        <f>IF('Paste SD Data'!O154="","",'Paste SD Data'!O154)</f>
        <v>OBC</v>
      </c>
    </row>
    <row r="158" spans="1:11" ht="30" customHeight="1" x14ac:dyDescent="0.25">
      <c r="A158" s="25">
        <f>IF(Table1[[#This Row],[Name of Student]]="","",ROWS($A$1:A154))</f>
        <v>154</v>
      </c>
      <c r="B158" s="26">
        <f>IF('Paste SD Data'!A155="","",'Paste SD Data'!A155)</f>
        <v>8</v>
      </c>
      <c r="C158" s="26" t="str">
        <f>IF('Paste SD Data'!B155="","",'Paste SD Data'!B155)</f>
        <v>A</v>
      </c>
      <c r="D158" s="26">
        <f>IF('Paste SD Data'!C155="","",'Paste SD Data'!C155)</f>
        <v>12243</v>
      </c>
      <c r="E158" s="27" t="str">
        <f>IF('Paste SD Data'!E155="","",UPPER('Paste SD Data'!E155))</f>
        <v>KHUSHBU REGAR</v>
      </c>
      <c r="F158" s="27" t="str">
        <f>IF('Paste SD Data'!G155="","",UPPER('Paste SD Data'!G155))</f>
        <v>RAM LAL REGAR</v>
      </c>
      <c r="G158" s="27" t="str">
        <f>IF('Paste SD Data'!H155="","",UPPER('Paste SD Data'!H155))</f>
        <v>SHANTA DEVI</v>
      </c>
      <c r="H158" s="26" t="str">
        <f>IF('Paste SD Data'!I155="","",IF('Paste SD Data'!I155="M","BOY","GIRL"))</f>
        <v>GIRL</v>
      </c>
      <c r="I158" s="28">
        <f>IF('Paste SD Data'!J155="","",'Paste SD Data'!J155)</f>
        <v>40179</v>
      </c>
      <c r="J158" s="34">
        <f t="shared" si="2"/>
        <v>584</v>
      </c>
      <c r="K158" s="29" t="str">
        <f>IF('Paste SD Data'!O155="","",'Paste SD Data'!O155)</f>
        <v>SC</v>
      </c>
    </row>
    <row r="159" spans="1:11" ht="30" customHeight="1" x14ac:dyDescent="0.25">
      <c r="A159" s="25">
        <f>IF(Table1[[#This Row],[Name of Student]]="","",ROWS($A$1:A155))</f>
        <v>155</v>
      </c>
      <c r="B159" s="26">
        <f>IF('Paste SD Data'!A156="","",'Paste SD Data'!A156)</f>
        <v>8</v>
      </c>
      <c r="C159" s="26" t="str">
        <f>IF('Paste SD Data'!B156="","",'Paste SD Data'!B156)</f>
        <v>A</v>
      </c>
      <c r="D159" s="26">
        <f>IF('Paste SD Data'!C156="","",'Paste SD Data'!C156)</f>
        <v>12681</v>
      </c>
      <c r="E159" s="27" t="str">
        <f>IF('Paste SD Data'!E156="","",UPPER('Paste SD Data'!E156))</f>
        <v>KHUSHI SOLANKI</v>
      </c>
      <c r="F159" s="27" t="str">
        <f>IF('Paste SD Data'!G156="","",UPPER('Paste SD Data'!G156))</f>
        <v>KANTI LAL SOLANKI</v>
      </c>
      <c r="G159" s="27" t="str">
        <f>IF('Paste SD Data'!H156="","",UPPER('Paste SD Data'!H156))</f>
        <v>PREM DEVI</v>
      </c>
      <c r="H159" s="26" t="str">
        <f>IF('Paste SD Data'!I156="","",IF('Paste SD Data'!I156="M","BOY","GIRL"))</f>
        <v>GIRL</v>
      </c>
      <c r="I159" s="28">
        <f>IF('Paste SD Data'!J156="","",'Paste SD Data'!J156)</f>
        <v>39735</v>
      </c>
      <c r="J159" s="34">
        <f t="shared" si="2"/>
        <v>585</v>
      </c>
      <c r="K159" s="29" t="str">
        <f>IF('Paste SD Data'!O156="","",'Paste SD Data'!O156)</f>
        <v>OBC</v>
      </c>
    </row>
    <row r="160" spans="1:11" ht="30" customHeight="1" x14ac:dyDescent="0.25">
      <c r="A160" s="25">
        <f>IF(Table1[[#This Row],[Name of Student]]="","",ROWS($A$1:A156))</f>
        <v>156</v>
      </c>
      <c r="B160" s="26">
        <f>IF('Paste SD Data'!A157="","",'Paste SD Data'!A157)</f>
        <v>8</v>
      </c>
      <c r="C160" s="26" t="str">
        <f>IF('Paste SD Data'!B157="","",'Paste SD Data'!B157)</f>
        <v>A</v>
      </c>
      <c r="D160" s="26">
        <f>IF('Paste SD Data'!C157="","",'Paste SD Data'!C157)</f>
        <v>12251</v>
      </c>
      <c r="E160" s="27" t="str">
        <f>IF('Paste SD Data'!E157="","",UPPER('Paste SD Data'!E157))</f>
        <v>KISHAN MALI</v>
      </c>
      <c r="F160" s="27" t="str">
        <f>IF('Paste SD Data'!G157="","",UPPER('Paste SD Data'!G157))</f>
        <v>RANA JI MALI</v>
      </c>
      <c r="G160" s="27" t="str">
        <f>IF('Paste SD Data'!H157="","",UPPER('Paste SD Data'!H157))</f>
        <v>PUSHPA DEVI</v>
      </c>
      <c r="H160" s="26" t="str">
        <f>IF('Paste SD Data'!I157="","",IF('Paste SD Data'!I157="M","BOY","GIRL"))</f>
        <v>BOY</v>
      </c>
      <c r="I160" s="28">
        <f>IF('Paste SD Data'!J157="","",'Paste SD Data'!J157)</f>
        <v>38758</v>
      </c>
      <c r="J160" s="34">
        <f t="shared" si="2"/>
        <v>586</v>
      </c>
      <c r="K160" s="29" t="str">
        <f>IF('Paste SD Data'!O157="","",'Paste SD Data'!O157)</f>
        <v>OBC</v>
      </c>
    </row>
    <row r="161" spans="1:11" ht="30" customHeight="1" x14ac:dyDescent="0.25">
      <c r="A161" s="25">
        <f>IF(Table1[[#This Row],[Name of Student]]="","",ROWS($A$1:A157))</f>
        <v>157</v>
      </c>
      <c r="B161" s="26">
        <f>IF('Paste SD Data'!A158="","",'Paste SD Data'!A158)</f>
        <v>8</v>
      </c>
      <c r="C161" s="26" t="str">
        <f>IF('Paste SD Data'!B158="","",'Paste SD Data'!B158)</f>
        <v>A</v>
      </c>
      <c r="D161" s="26">
        <f>IF('Paste SD Data'!C158="","",'Paste SD Data'!C158)</f>
        <v>12242</v>
      </c>
      <c r="E161" s="27" t="str">
        <f>IF('Paste SD Data'!E158="","",UPPER('Paste SD Data'!E158))</f>
        <v>KOMAL CHAUHAN</v>
      </c>
      <c r="F161" s="27" t="str">
        <f>IF('Paste SD Data'!G158="","",UPPER('Paste SD Data'!G158))</f>
        <v>DEVENDRA SINGH CHAUHAN</v>
      </c>
      <c r="G161" s="27" t="str">
        <f>IF('Paste SD Data'!H158="","",UPPER('Paste SD Data'!H158))</f>
        <v>PUSHPA DEVI</v>
      </c>
      <c r="H161" s="26" t="str">
        <f>IF('Paste SD Data'!I158="","",IF('Paste SD Data'!I158="M","BOY","GIRL"))</f>
        <v>GIRL</v>
      </c>
      <c r="I161" s="28">
        <f>IF('Paste SD Data'!J158="","",'Paste SD Data'!J158)</f>
        <v>39851</v>
      </c>
      <c r="J161" s="34">
        <f t="shared" si="2"/>
        <v>587</v>
      </c>
      <c r="K161" s="29" t="str">
        <f>IF('Paste SD Data'!O158="","",'Paste SD Data'!O158)</f>
        <v>OBC</v>
      </c>
    </row>
    <row r="162" spans="1:11" ht="30" customHeight="1" x14ac:dyDescent="0.25">
      <c r="A162" s="25">
        <f>IF(Table1[[#This Row],[Name of Student]]="","",ROWS($A$1:A158))</f>
        <v>158</v>
      </c>
      <c r="B162" s="26">
        <f>IF('Paste SD Data'!A159="","",'Paste SD Data'!A159)</f>
        <v>8</v>
      </c>
      <c r="C162" s="26" t="str">
        <f>IF('Paste SD Data'!B159="","",'Paste SD Data'!B159)</f>
        <v>A</v>
      </c>
      <c r="D162" s="26">
        <f>IF('Paste SD Data'!C159="","",'Paste SD Data'!C159)</f>
        <v>12259</v>
      </c>
      <c r="E162" s="27" t="str">
        <f>IF('Paste SD Data'!E159="","",UPPER('Paste SD Data'!E159))</f>
        <v>KRISHNA MALI</v>
      </c>
      <c r="F162" s="27" t="str">
        <f>IF('Paste SD Data'!G159="","",UPPER('Paste SD Data'!G159))</f>
        <v>VINOD MALI</v>
      </c>
      <c r="G162" s="27" t="str">
        <f>IF('Paste SD Data'!H159="","",UPPER('Paste SD Data'!H159))</f>
        <v>CHANDRIKA</v>
      </c>
      <c r="H162" s="26" t="str">
        <f>IF('Paste SD Data'!I159="","",IF('Paste SD Data'!I159="M","BOY","GIRL"))</f>
        <v>GIRL</v>
      </c>
      <c r="I162" s="28">
        <f>IF('Paste SD Data'!J159="","",'Paste SD Data'!J159)</f>
        <v>39924</v>
      </c>
      <c r="J162" s="34">
        <f t="shared" si="2"/>
        <v>588</v>
      </c>
      <c r="K162" s="29" t="str">
        <f>IF('Paste SD Data'!O159="","",'Paste SD Data'!O159)</f>
        <v>OBC</v>
      </c>
    </row>
    <row r="163" spans="1:11" ht="30" customHeight="1" x14ac:dyDescent="0.25">
      <c r="A163" s="25">
        <f>IF(Table1[[#This Row],[Name of Student]]="","",ROWS($A$1:A159))</f>
        <v>159</v>
      </c>
      <c r="B163" s="26">
        <f>IF('Paste SD Data'!A160="","",'Paste SD Data'!A160)</f>
        <v>8</v>
      </c>
      <c r="C163" s="26" t="str">
        <f>IF('Paste SD Data'!B160="","",'Paste SD Data'!B160)</f>
        <v>A</v>
      </c>
      <c r="D163" s="26">
        <f>IF('Paste SD Data'!C160="","",'Paste SD Data'!C160)</f>
        <v>13412</v>
      </c>
      <c r="E163" s="27" t="str">
        <f>IF('Paste SD Data'!E160="","",UPPER('Paste SD Data'!E160))</f>
        <v>MAHADEV MALI</v>
      </c>
      <c r="F163" s="27" t="str">
        <f>IF('Paste SD Data'!G160="","",UPPER('Paste SD Data'!G160))</f>
        <v>SURESH MALI</v>
      </c>
      <c r="G163" s="27" t="str">
        <f>IF('Paste SD Data'!H160="","",UPPER('Paste SD Data'!H160))</f>
        <v>VIMLA DEVI</v>
      </c>
      <c r="H163" s="26" t="str">
        <f>IF('Paste SD Data'!I160="","",IF('Paste SD Data'!I160="M","BOY","GIRL"))</f>
        <v>BOY</v>
      </c>
      <c r="I163" s="28">
        <f>IF('Paste SD Data'!J160="","",'Paste SD Data'!J160)</f>
        <v>39536</v>
      </c>
      <c r="J163" s="34">
        <f t="shared" si="2"/>
        <v>589</v>
      </c>
      <c r="K163" s="29" t="str">
        <f>IF('Paste SD Data'!O160="","",'Paste SD Data'!O160)</f>
        <v>OBC</v>
      </c>
    </row>
    <row r="164" spans="1:11" ht="30" customHeight="1" x14ac:dyDescent="0.25">
      <c r="A164" s="25">
        <f>IF(Table1[[#This Row],[Name of Student]]="","",ROWS($A$1:A160))</f>
        <v>160</v>
      </c>
      <c r="B164" s="26">
        <f>IF('Paste SD Data'!A161="","",'Paste SD Data'!A161)</f>
        <v>8</v>
      </c>
      <c r="C164" s="26" t="str">
        <f>IF('Paste SD Data'!B161="","",'Paste SD Data'!B161)</f>
        <v>A</v>
      </c>
      <c r="D164" s="26">
        <f>IF('Paste SD Data'!C161="","",'Paste SD Data'!C161)</f>
        <v>13986</v>
      </c>
      <c r="E164" s="27" t="str">
        <f>IF('Paste SD Data'!E161="","",UPPER('Paste SD Data'!E161))</f>
        <v>MANISH SUTHAR</v>
      </c>
      <c r="F164" s="27" t="str">
        <f>IF('Paste SD Data'!G161="","",UPPER('Paste SD Data'!G161))</f>
        <v>OM PRAKASH SUTHAR</v>
      </c>
      <c r="G164" s="27" t="str">
        <f>IF('Paste SD Data'!H161="","",UPPER('Paste SD Data'!H161))</f>
        <v>TAMU DEVI</v>
      </c>
      <c r="H164" s="26" t="str">
        <f>IF('Paste SD Data'!I161="","",IF('Paste SD Data'!I161="M","BOY","GIRL"))</f>
        <v>BOY</v>
      </c>
      <c r="I164" s="28">
        <f>IF('Paste SD Data'!J161="","",'Paste SD Data'!J161)</f>
        <v>39744</v>
      </c>
      <c r="J164" s="34">
        <f t="shared" si="2"/>
        <v>590</v>
      </c>
      <c r="K164" s="29" t="str">
        <f>IF('Paste SD Data'!O161="","",'Paste SD Data'!O161)</f>
        <v>OBC</v>
      </c>
    </row>
    <row r="165" spans="1:11" ht="30" customHeight="1" x14ac:dyDescent="0.25">
      <c r="A165" s="25">
        <f>IF(Table1[[#This Row],[Name of Student]]="","",ROWS($A$1:A161))</f>
        <v>161</v>
      </c>
      <c r="B165" s="26">
        <f>IF('Paste SD Data'!A162="","",'Paste SD Data'!A162)</f>
        <v>8</v>
      </c>
      <c r="C165" s="26" t="str">
        <f>IF('Paste SD Data'!B162="","",'Paste SD Data'!B162)</f>
        <v>A</v>
      </c>
      <c r="D165" s="26">
        <f>IF('Paste SD Data'!C162="","",'Paste SD Data'!C162)</f>
        <v>13680</v>
      </c>
      <c r="E165" s="27" t="str">
        <f>IF('Paste SD Data'!E162="","",UPPER('Paste SD Data'!E162))</f>
        <v>MAYA RAGER</v>
      </c>
      <c r="F165" s="27" t="str">
        <f>IF('Paste SD Data'!G162="","",UPPER('Paste SD Data'!G162))</f>
        <v>NENA LAL RAGER</v>
      </c>
      <c r="G165" s="27" t="str">
        <f>IF('Paste SD Data'!H162="","",UPPER('Paste SD Data'!H162))</f>
        <v>KANCHAN DEVI</v>
      </c>
      <c r="H165" s="26" t="str">
        <f>IF('Paste SD Data'!I162="","",IF('Paste SD Data'!I162="M","BOY","GIRL"))</f>
        <v>GIRL</v>
      </c>
      <c r="I165" s="28">
        <f>IF('Paste SD Data'!J162="","",'Paste SD Data'!J162)</f>
        <v>39635</v>
      </c>
      <c r="J165" s="34">
        <f t="shared" si="2"/>
        <v>591</v>
      </c>
      <c r="K165" s="29" t="str">
        <f>IF('Paste SD Data'!O162="","",'Paste SD Data'!O162)</f>
        <v>SC</v>
      </c>
    </row>
    <row r="166" spans="1:11" ht="30" customHeight="1" x14ac:dyDescent="0.25">
      <c r="A166" s="25">
        <f>IF(Table1[[#This Row],[Name of Student]]="","",ROWS($A$1:A162))</f>
        <v>162</v>
      </c>
      <c r="B166" s="26">
        <f>IF('Paste SD Data'!A163="","",'Paste SD Data'!A163)</f>
        <v>8</v>
      </c>
      <c r="C166" s="26" t="str">
        <f>IF('Paste SD Data'!B163="","",'Paste SD Data'!B163)</f>
        <v>A</v>
      </c>
      <c r="D166" s="26">
        <f>IF('Paste SD Data'!C163="","",'Paste SD Data'!C163)</f>
        <v>13021</v>
      </c>
      <c r="E166" s="27" t="str">
        <f>IF('Paste SD Data'!E163="","",UPPER('Paste SD Data'!E163))</f>
        <v>NARESH MALI</v>
      </c>
      <c r="F166" s="27" t="str">
        <f>IF('Paste SD Data'!G163="","",UPPER('Paste SD Data'!G163))</f>
        <v>OMPRAKASH MALI</v>
      </c>
      <c r="G166" s="27" t="str">
        <f>IF('Paste SD Data'!H163="","",UPPER('Paste SD Data'!H163))</f>
        <v>PREMI DEVI</v>
      </c>
      <c r="H166" s="26" t="str">
        <f>IF('Paste SD Data'!I163="","",IF('Paste SD Data'!I163="M","BOY","GIRL"))</f>
        <v>BOY</v>
      </c>
      <c r="I166" s="28">
        <f>IF('Paste SD Data'!J163="","",'Paste SD Data'!J163)</f>
        <v>39638</v>
      </c>
      <c r="J166" s="34">
        <f t="shared" si="2"/>
        <v>592</v>
      </c>
      <c r="K166" s="29" t="str">
        <f>IF('Paste SD Data'!O163="","",'Paste SD Data'!O163)</f>
        <v>OBC</v>
      </c>
    </row>
    <row r="167" spans="1:11" ht="30" customHeight="1" x14ac:dyDescent="0.25">
      <c r="A167" s="25">
        <f>IF(Table1[[#This Row],[Name of Student]]="","",ROWS($A$1:A163))</f>
        <v>163</v>
      </c>
      <c r="B167" s="26">
        <f>IF('Paste SD Data'!A164="","",'Paste SD Data'!A164)</f>
        <v>8</v>
      </c>
      <c r="C167" s="26" t="str">
        <f>IF('Paste SD Data'!B164="","",'Paste SD Data'!B164)</f>
        <v>A</v>
      </c>
      <c r="D167" s="26">
        <f>IF('Paste SD Data'!C164="","",'Paste SD Data'!C164)</f>
        <v>13329</v>
      </c>
      <c r="E167" s="27" t="str">
        <f>IF('Paste SD Data'!E164="","",UPPER('Paste SD Data'!E164))</f>
        <v>PATHAN SIJAN AZAD KHAN</v>
      </c>
      <c r="F167" s="27" t="str">
        <f>IF('Paste SD Data'!G164="","",UPPER('Paste SD Data'!G164))</f>
        <v>AZAD KHAN</v>
      </c>
      <c r="G167" s="27" t="str">
        <f>IF('Paste SD Data'!H164="","",UPPER('Paste SD Data'!H164))</f>
        <v>PATHAN ISHRATBANU AZAD KHAN</v>
      </c>
      <c r="H167" s="26" t="str">
        <f>IF('Paste SD Data'!I164="","",IF('Paste SD Data'!I164="M","BOY","GIRL"))</f>
        <v>BOY</v>
      </c>
      <c r="I167" s="28">
        <f>IF('Paste SD Data'!J164="","",'Paste SD Data'!J164)</f>
        <v>39727</v>
      </c>
      <c r="J167" s="34">
        <f t="shared" si="2"/>
        <v>593</v>
      </c>
      <c r="K167" s="29" t="str">
        <f>IF('Paste SD Data'!O164="","",'Paste SD Data'!O164)</f>
        <v>GEN</v>
      </c>
    </row>
    <row r="168" spans="1:11" ht="30" customHeight="1" x14ac:dyDescent="0.25">
      <c r="A168" s="25">
        <f>IF(Table1[[#This Row],[Name of Student]]="","",ROWS($A$1:A164))</f>
        <v>164</v>
      </c>
      <c r="B168" s="26">
        <f>IF('Paste SD Data'!A165="","",'Paste SD Data'!A165)</f>
        <v>8</v>
      </c>
      <c r="C168" s="26" t="str">
        <f>IF('Paste SD Data'!B165="","",'Paste SD Data'!B165)</f>
        <v>A</v>
      </c>
      <c r="D168" s="26">
        <f>IF('Paste SD Data'!C165="","",'Paste SD Data'!C165)</f>
        <v>13110</v>
      </c>
      <c r="E168" s="27" t="str">
        <f>IF('Paste SD Data'!E165="","",UPPER('Paste SD Data'!E165))</f>
        <v>PAWAN MEWARA</v>
      </c>
      <c r="F168" s="27" t="str">
        <f>IF('Paste SD Data'!G165="","",UPPER('Paste SD Data'!G165))</f>
        <v>GOPI LAL MEWARA</v>
      </c>
      <c r="G168" s="27" t="str">
        <f>IF('Paste SD Data'!H165="","",UPPER('Paste SD Data'!H165))</f>
        <v>PARAS DEVI</v>
      </c>
      <c r="H168" s="26" t="str">
        <f>IF('Paste SD Data'!I165="","",IF('Paste SD Data'!I165="M","BOY","GIRL"))</f>
        <v>BOY</v>
      </c>
      <c r="I168" s="28">
        <f>IF('Paste SD Data'!J165="","",'Paste SD Data'!J165)</f>
        <v>39495</v>
      </c>
      <c r="J168" s="34">
        <f t="shared" si="2"/>
        <v>594</v>
      </c>
      <c r="K168" s="29" t="str">
        <f>IF('Paste SD Data'!O165="","",'Paste SD Data'!O165)</f>
        <v>OBC</v>
      </c>
    </row>
    <row r="169" spans="1:11" ht="30" customHeight="1" x14ac:dyDescent="0.25">
      <c r="A169" s="25">
        <f>IF(Table1[[#This Row],[Name of Student]]="","",ROWS($A$1:A165))</f>
        <v>165</v>
      </c>
      <c r="B169" s="26">
        <f>IF('Paste SD Data'!A166="","",'Paste SD Data'!A166)</f>
        <v>8</v>
      </c>
      <c r="C169" s="26" t="str">
        <f>IF('Paste SD Data'!B166="","",'Paste SD Data'!B166)</f>
        <v>A</v>
      </c>
      <c r="D169" s="26">
        <f>IF('Paste SD Data'!C166="","",'Paste SD Data'!C166)</f>
        <v>13414</v>
      </c>
      <c r="E169" s="27" t="str">
        <f>IF('Paste SD Data'!E166="","",UPPER('Paste SD Data'!E166))</f>
        <v>PRADEEP</v>
      </c>
      <c r="F169" s="27" t="str">
        <f>IF('Paste SD Data'!G166="","",UPPER('Paste SD Data'!G166))</f>
        <v>RAKESH VED</v>
      </c>
      <c r="G169" s="27" t="str">
        <f>IF('Paste SD Data'!H166="","",UPPER('Paste SD Data'!H166))</f>
        <v>MANJU DEVI</v>
      </c>
      <c r="H169" s="26" t="str">
        <f>IF('Paste SD Data'!I166="","",IF('Paste SD Data'!I166="M","BOY","GIRL"))</f>
        <v>BOY</v>
      </c>
      <c r="I169" s="28">
        <f>IF('Paste SD Data'!J166="","",'Paste SD Data'!J166)</f>
        <v>39491</v>
      </c>
      <c r="J169" s="34">
        <f t="shared" si="2"/>
        <v>595</v>
      </c>
      <c r="K169" s="29" t="str">
        <f>IF('Paste SD Data'!O166="","",'Paste SD Data'!O166)</f>
        <v>OBC</v>
      </c>
    </row>
    <row r="170" spans="1:11" ht="30" customHeight="1" x14ac:dyDescent="0.25">
      <c r="A170" s="25">
        <f>IF(Table1[[#This Row],[Name of Student]]="","",ROWS($A$1:A166))</f>
        <v>166</v>
      </c>
      <c r="B170" s="26">
        <f>IF('Paste SD Data'!A167="","",'Paste SD Data'!A167)</f>
        <v>8</v>
      </c>
      <c r="C170" s="26" t="str">
        <f>IF('Paste SD Data'!B167="","",'Paste SD Data'!B167)</f>
        <v>A</v>
      </c>
      <c r="D170" s="26">
        <f>IF('Paste SD Data'!C167="","",'Paste SD Data'!C167)</f>
        <v>13415</v>
      </c>
      <c r="E170" s="27" t="str">
        <f>IF('Paste SD Data'!E167="","",UPPER('Paste SD Data'!E167))</f>
        <v>PRAKASH CHAND</v>
      </c>
      <c r="F170" s="27" t="str">
        <f>IF('Paste SD Data'!G167="","",UPPER('Paste SD Data'!G167))</f>
        <v>HARI LAL</v>
      </c>
      <c r="G170" s="27" t="str">
        <f>IF('Paste SD Data'!H167="","",UPPER('Paste SD Data'!H167))</f>
        <v>SHANTA DEVI</v>
      </c>
      <c r="H170" s="26" t="str">
        <f>IF('Paste SD Data'!I167="","",IF('Paste SD Data'!I167="M","BOY","GIRL"))</f>
        <v>BOY</v>
      </c>
      <c r="I170" s="28">
        <f>IF('Paste SD Data'!J167="","",'Paste SD Data'!J167)</f>
        <v>39778</v>
      </c>
      <c r="J170" s="34">
        <f t="shared" si="2"/>
        <v>596</v>
      </c>
      <c r="K170" s="29" t="str">
        <f>IF('Paste SD Data'!O167="","",'Paste SD Data'!O167)</f>
        <v>SC</v>
      </c>
    </row>
    <row r="171" spans="1:11" ht="30" customHeight="1" x14ac:dyDescent="0.25">
      <c r="A171" s="25">
        <f>IF(Table1[[#This Row],[Name of Student]]="","",ROWS($A$1:A167))</f>
        <v>167</v>
      </c>
      <c r="B171" s="26">
        <f>IF('Paste SD Data'!A168="","",'Paste SD Data'!A168)</f>
        <v>8</v>
      </c>
      <c r="C171" s="26" t="str">
        <f>IF('Paste SD Data'!B168="","",'Paste SD Data'!B168)</f>
        <v>A</v>
      </c>
      <c r="D171" s="26">
        <f>IF('Paste SD Data'!C168="","",'Paste SD Data'!C168)</f>
        <v>13129</v>
      </c>
      <c r="E171" s="27" t="str">
        <f>IF('Paste SD Data'!E168="","",UPPER('Paste SD Data'!E168))</f>
        <v>PREM SINGH RAWAT</v>
      </c>
      <c r="F171" s="27" t="str">
        <f>IF('Paste SD Data'!G168="","",UPPER('Paste SD Data'!G168))</f>
        <v>TRILOK SINGH</v>
      </c>
      <c r="G171" s="27" t="str">
        <f>IF('Paste SD Data'!H168="","",UPPER('Paste SD Data'!H168))</f>
        <v>DEVI BEN</v>
      </c>
      <c r="H171" s="26" t="str">
        <f>IF('Paste SD Data'!I168="","",IF('Paste SD Data'!I168="M","BOY","GIRL"))</f>
        <v>BOY</v>
      </c>
      <c r="I171" s="28">
        <f>IF('Paste SD Data'!J168="","",'Paste SD Data'!J168)</f>
        <v>38875</v>
      </c>
      <c r="J171" s="34">
        <f t="shared" si="2"/>
        <v>597</v>
      </c>
      <c r="K171" s="29" t="str">
        <f>IF('Paste SD Data'!O168="","",'Paste SD Data'!O168)</f>
        <v>OBC</v>
      </c>
    </row>
    <row r="172" spans="1:11" ht="30" customHeight="1" x14ac:dyDescent="0.25">
      <c r="A172" s="25">
        <f>IF(Table1[[#This Row],[Name of Student]]="","",ROWS($A$1:A168))</f>
        <v>168</v>
      </c>
      <c r="B172" s="26">
        <f>IF('Paste SD Data'!A169="","",'Paste SD Data'!A169)</f>
        <v>8</v>
      </c>
      <c r="C172" s="26" t="str">
        <f>IF('Paste SD Data'!B169="","",'Paste SD Data'!B169)</f>
        <v>A</v>
      </c>
      <c r="D172" s="26">
        <f>IF('Paste SD Data'!C169="","",'Paste SD Data'!C169)</f>
        <v>13719</v>
      </c>
      <c r="E172" s="27" t="str">
        <f>IF('Paste SD Data'!E169="","",UPPER('Paste SD Data'!E169))</f>
        <v>PROSEN SARKAR</v>
      </c>
      <c r="F172" s="27" t="str">
        <f>IF('Paste SD Data'!G169="","",UPPER('Paste SD Data'!G169))</f>
        <v>PRABHAS SARKAR</v>
      </c>
      <c r="G172" s="27" t="str">
        <f>IF('Paste SD Data'!H169="","",UPPER('Paste SD Data'!H169))</f>
        <v>FULMAL</v>
      </c>
      <c r="H172" s="26" t="str">
        <f>IF('Paste SD Data'!I169="","",IF('Paste SD Data'!I169="M","BOY","GIRL"))</f>
        <v>BOY</v>
      </c>
      <c r="I172" s="28">
        <f>IF('Paste SD Data'!J169="","",'Paste SD Data'!J169)</f>
        <v>38840</v>
      </c>
      <c r="J172" s="34">
        <f t="shared" si="2"/>
        <v>598</v>
      </c>
      <c r="K172" s="29" t="str">
        <f>IF('Paste SD Data'!O169="","",'Paste SD Data'!O169)</f>
        <v>GEN</v>
      </c>
    </row>
    <row r="173" spans="1:11" ht="30" customHeight="1" x14ac:dyDescent="0.25">
      <c r="A173" s="25">
        <f>IF(Table1[[#This Row],[Name of Student]]="","",ROWS($A$1:A169))</f>
        <v>169</v>
      </c>
      <c r="B173" s="26">
        <f>IF('Paste SD Data'!A170="","",'Paste SD Data'!A170)</f>
        <v>8</v>
      </c>
      <c r="C173" s="26" t="str">
        <f>IF('Paste SD Data'!B170="","",'Paste SD Data'!B170)</f>
        <v>A</v>
      </c>
      <c r="D173" s="26">
        <f>IF('Paste SD Data'!C170="","",'Paste SD Data'!C170)</f>
        <v>12250</v>
      </c>
      <c r="E173" s="27" t="str">
        <f>IF('Paste SD Data'!E170="","",UPPER('Paste SD Data'!E170))</f>
        <v>RAHUL MALI</v>
      </c>
      <c r="F173" s="27" t="str">
        <f>IF('Paste SD Data'!G170="","",UPPER('Paste SD Data'!G170))</f>
        <v>RANA JI MALI</v>
      </c>
      <c r="G173" s="27" t="str">
        <f>IF('Paste SD Data'!H170="","",UPPER('Paste SD Data'!H170))</f>
        <v>PUSHPA DEVI</v>
      </c>
      <c r="H173" s="26" t="str">
        <f>IF('Paste SD Data'!I170="","",IF('Paste SD Data'!I170="M","BOY","GIRL"))</f>
        <v>BOY</v>
      </c>
      <c r="I173" s="28">
        <f>IF('Paste SD Data'!J170="","",'Paste SD Data'!J170)</f>
        <v>39126</v>
      </c>
      <c r="J173" s="34">
        <f t="shared" si="2"/>
        <v>599</v>
      </c>
      <c r="K173" s="29" t="str">
        <f>IF('Paste SD Data'!O170="","",'Paste SD Data'!O170)</f>
        <v>OBC</v>
      </c>
    </row>
    <row r="174" spans="1:11" ht="30" customHeight="1" x14ac:dyDescent="0.25">
      <c r="A174" s="25">
        <f>IF(Table1[[#This Row],[Name of Student]]="","",ROWS($A$1:A170))</f>
        <v>170</v>
      </c>
      <c r="B174" s="26">
        <f>IF('Paste SD Data'!A171="","",'Paste SD Data'!A171)</f>
        <v>8</v>
      </c>
      <c r="C174" s="26" t="str">
        <f>IF('Paste SD Data'!B171="","",'Paste SD Data'!B171)</f>
        <v>A</v>
      </c>
      <c r="D174" s="26">
        <f>IF('Paste SD Data'!C171="","",'Paste SD Data'!C171)</f>
        <v>13344</v>
      </c>
      <c r="E174" s="27" t="str">
        <f>IF('Paste SD Data'!E171="","",UPPER('Paste SD Data'!E171))</f>
        <v>RAJU SINGH</v>
      </c>
      <c r="F174" s="27" t="str">
        <f>IF('Paste SD Data'!G171="","",UPPER('Paste SD Data'!G171))</f>
        <v>BHANWAR SINGH</v>
      </c>
      <c r="G174" s="27" t="str">
        <f>IF('Paste SD Data'!H171="","",UPPER('Paste SD Data'!H171))</f>
        <v>TAMU DEVI</v>
      </c>
      <c r="H174" s="26" t="str">
        <f>IF('Paste SD Data'!I171="","",IF('Paste SD Data'!I171="M","BOY","GIRL"))</f>
        <v>BOY</v>
      </c>
      <c r="I174" s="28">
        <f>IF('Paste SD Data'!J171="","",'Paste SD Data'!J171)</f>
        <v>39427</v>
      </c>
      <c r="J174" s="34">
        <f t="shared" si="2"/>
        <v>600</v>
      </c>
      <c r="K174" s="29" t="str">
        <f>IF('Paste SD Data'!O171="","",'Paste SD Data'!O171)</f>
        <v>OBC</v>
      </c>
    </row>
    <row r="175" spans="1:11" ht="30" customHeight="1" x14ac:dyDescent="0.25">
      <c r="A175" s="25">
        <f>IF(Table1[[#This Row],[Name of Student]]="","",ROWS($A$1:A171))</f>
        <v>171</v>
      </c>
      <c r="B175" s="26">
        <f>IF('Paste SD Data'!A172="","",'Paste SD Data'!A172)</f>
        <v>8</v>
      </c>
      <c r="C175" s="26" t="str">
        <f>IF('Paste SD Data'!B172="","",'Paste SD Data'!B172)</f>
        <v>A</v>
      </c>
      <c r="D175" s="26">
        <f>IF('Paste SD Data'!C172="","",'Paste SD Data'!C172)</f>
        <v>13327</v>
      </c>
      <c r="E175" s="27" t="str">
        <f>IF('Paste SD Data'!E172="","",UPPER('Paste SD Data'!E172))</f>
        <v>RAKESH SINGH</v>
      </c>
      <c r="F175" s="27" t="str">
        <f>IF('Paste SD Data'!G172="","",UPPER('Paste SD Data'!G172))</f>
        <v>MOTI SINGH</v>
      </c>
      <c r="G175" s="27" t="str">
        <f>IF('Paste SD Data'!H172="","",UPPER('Paste SD Data'!H172))</f>
        <v>SANTOSH DEVI</v>
      </c>
      <c r="H175" s="26" t="str">
        <f>IF('Paste SD Data'!I172="","",IF('Paste SD Data'!I172="M","BOY","GIRL"))</f>
        <v>BOY</v>
      </c>
      <c r="I175" s="28">
        <f>IF('Paste SD Data'!J172="","",'Paste SD Data'!J172)</f>
        <v>39165</v>
      </c>
      <c r="J175" s="34">
        <f t="shared" si="2"/>
        <v>601</v>
      </c>
      <c r="K175" s="29" t="str">
        <f>IF('Paste SD Data'!O172="","",'Paste SD Data'!O172)</f>
        <v>OBC</v>
      </c>
    </row>
    <row r="176" spans="1:11" ht="30" customHeight="1" x14ac:dyDescent="0.25">
      <c r="A176" s="25">
        <f>IF(Table1[[#This Row],[Name of Student]]="","",ROWS($A$1:A172))</f>
        <v>172</v>
      </c>
      <c r="B176" s="26">
        <f>IF('Paste SD Data'!A173="","",'Paste SD Data'!A173)</f>
        <v>8</v>
      </c>
      <c r="C176" s="26" t="str">
        <f>IF('Paste SD Data'!B173="","",'Paste SD Data'!B173)</f>
        <v>A</v>
      </c>
      <c r="D176" s="26">
        <f>IF('Paste SD Data'!C173="","",'Paste SD Data'!C173)</f>
        <v>13348</v>
      </c>
      <c r="E176" s="27" t="str">
        <f>IF('Paste SD Data'!E173="","",UPPER('Paste SD Data'!E173))</f>
        <v>RAMESH CHANDRA SALVI</v>
      </c>
      <c r="F176" s="27" t="str">
        <f>IF('Paste SD Data'!G173="","",UPPER('Paste SD Data'!G173))</f>
        <v>SOHAN LAL SALVI</v>
      </c>
      <c r="G176" s="27" t="str">
        <f>IF('Paste SD Data'!H173="","",UPPER('Paste SD Data'!H173))</f>
        <v>SUKHI DEVI</v>
      </c>
      <c r="H176" s="26" t="str">
        <f>IF('Paste SD Data'!I173="","",IF('Paste SD Data'!I173="M","BOY","GIRL"))</f>
        <v>BOY</v>
      </c>
      <c r="I176" s="28">
        <f>IF('Paste SD Data'!J173="","",'Paste SD Data'!J173)</f>
        <v>39722</v>
      </c>
      <c r="J176" s="34">
        <f t="shared" si="2"/>
        <v>602</v>
      </c>
      <c r="K176" s="29" t="str">
        <f>IF('Paste SD Data'!O173="","",'Paste SD Data'!O173)</f>
        <v>SC</v>
      </c>
    </row>
    <row r="177" spans="1:11" ht="30" customHeight="1" x14ac:dyDescent="0.25">
      <c r="A177" s="25">
        <f>IF(Table1[[#This Row],[Name of Student]]="","",ROWS($A$1:A173))</f>
        <v>173</v>
      </c>
      <c r="B177" s="26">
        <f>IF('Paste SD Data'!A174="","",'Paste SD Data'!A174)</f>
        <v>8</v>
      </c>
      <c r="C177" s="26" t="str">
        <f>IF('Paste SD Data'!B174="","",'Paste SD Data'!B174)</f>
        <v>A</v>
      </c>
      <c r="D177" s="26">
        <f>IF('Paste SD Data'!C174="","",'Paste SD Data'!C174)</f>
        <v>13955</v>
      </c>
      <c r="E177" s="27" t="str">
        <f>IF('Paste SD Data'!E174="","",UPPER('Paste SD Data'!E174))</f>
        <v>SHANKAR LAL GURJAR</v>
      </c>
      <c r="F177" s="27" t="str">
        <f>IF('Paste SD Data'!G174="","",UPPER('Paste SD Data'!G174))</f>
        <v>TILOK GURJAR</v>
      </c>
      <c r="G177" s="27" t="str">
        <f>IF('Paste SD Data'!H174="","",UPPER('Paste SD Data'!H174))</f>
        <v>KAMLA DEVI</v>
      </c>
      <c r="H177" s="26" t="str">
        <f>IF('Paste SD Data'!I174="","",IF('Paste SD Data'!I174="M","BOY","GIRL"))</f>
        <v>BOY</v>
      </c>
      <c r="I177" s="28">
        <f>IF('Paste SD Data'!J174="","",'Paste SD Data'!J174)</f>
        <v>39087</v>
      </c>
      <c r="J177" s="34">
        <f t="shared" si="2"/>
        <v>603</v>
      </c>
      <c r="K177" s="29" t="str">
        <f>IF('Paste SD Data'!O174="","",'Paste SD Data'!O174)</f>
        <v>SBC</v>
      </c>
    </row>
    <row r="178" spans="1:11" ht="30" customHeight="1" x14ac:dyDescent="0.25">
      <c r="A178" s="25">
        <f>IF(Table1[[#This Row],[Name of Student]]="","",ROWS($A$1:A174))</f>
        <v>174</v>
      </c>
      <c r="B178" s="26">
        <f>IF('Paste SD Data'!A175="","",'Paste SD Data'!A175)</f>
        <v>8</v>
      </c>
      <c r="C178" s="26" t="str">
        <f>IF('Paste SD Data'!B175="","",'Paste SD Data'!B175)</f>
        <v>A</v>
      </c>
      <c r="D178" s="26">
        <f>IF('Paste SD Data'!C175="","",'Paste SD Data'!C175)</f>
        <v>13624</v>
      </c>
      <c r="E178" s="27" t="str">
        <f>IF('Paste SD Data'!E175="","",UPPER('Paste SD Data'!E175))</f>
        <v>SONU MALI</v>
      </c>
      <c r="F178" s="27" t="str">
        <f>IF('Paste SD Data'!G175="","",UPPER('Paste SD Data'!G175))</f>
        <v>KAILASH MALI</v>
      </c>
      <c r="G178" s="27" t="str">
        <f>IF('Paste SD Data'!H175="","",UPPER('Paste SD Data'!H175))</f>
        <v>MEENA KUMARI</v>
      </c>
      <c r="H178" s="26" t="str">
        <f>IF('Paste SD Data'!I175="","",IF('Paste SD Data'!I175="M","BOY","GIRL"))</f>
        <v>BOY</v>
      </c>
      <c r="I178" s="28">
        <f>IF('Paste SD Data'!J175="","",'Paste SD Data'!J175)</f>
        <v>39083</v>
      </c>
      <c r="J178" s="34">
        <f t="shared" si="2"/>
        <v>604</v>
      </c>
      <c r="K178" s="29" t="str">
        <f>IF('Paste SD Data'!O175="","",'Paste SD Data'!O175)</f>
        <v>OBC</v>
      </c>
    </row>
    <row r="179" spans="1:11" ht="30" customHeight="1" x14ac:dyDescent="0.25">
      <c r="A179" s="25">
        <f>IF(Table1[[#This Row],[Name of Student]]="","",ROWS($A$1:A175))</f>
        <v>175</v>
      </c>
      <c r="B179" s="26">
        <f>IF('Paste SD Data'!A176="","",'Paste SD Data'!A176)</f>
        <v>8</v>
      </c>
      <c r="C179" s="26" t="str">
        <f>IF('Paste SD Data'!B176="","",'Paste SD Data'!B176)</f>
        <v>A</v>
      </c>
      <c r="D179" s="26">
        <f>IF('Paste SD Data'!C176="","",'Paste SD Data'!C176)</f>
        <v>13330</v>
      </c>
      <c r="E179" s="27" t="str">
        <f>IF('Paste SD Data'!E176="","",UPPER('Paste SD Data'!E176))</f>
        <v>TEJ SINGH</v>
      </c>
      <c r="F179" s="27" t="str">
        <f>IF('Paste SD Data'!G176="","",UPPER('Paste SD Data'!G176))</f>
        <v>NARAYAN SINGH</v>
      </c>
      <c r="G179" s="27" t="str">
        <f>IF('Paste SD Data'!H176="","",UPPER('Paste SD Data'!H176))</f>
        <v>GEETA BAI</v>
      </c>
      <c r="H179" s="26" t="str">
        <f>IF('Paste SD Data'!I176="","",IF('Paste SD Data'!I176="M","BOY","GIRL"))</f>
        <v>BOY</v>
      </c>
      <c r="I179" s="28">
        <f>IF('Paste SD Data'!J176="","",'Paste SD Data'!J176)</f>
        <v>39123</v>
      </c>
      <c r="J179" s="34">
        <f t="shared" si="2"/>
        <v>605</v>
      </c>
      <c r="K179" s="29" t="str">
        <f>IF('Paste SD Data'!O176="","",'Paste SD Data'!O176)</f>
        <v>OBC</v>
      </c>
    </row>
    <row r="180" spans="1:11" ht="30" customHeight="1" x14ac:dyDescent="0.25">
      <c r="A180" s="25">
        <f>IF(Table1[[#This Row],[Name of Student]]="","",ROWS($A$1:A176))</f>
        <v>176</v>
      </c>
      <c r="B180" s="26">
        <f>IF('Paste SD Data'!A177="","",'Paste SD Data'!A177)</f>
        <v>8</v>
      </c>
      <c r="C180" s="26" t="str">
        <f>IF('Paste SD Data'!B177="","",'Paste SD Data'!B177)</f>
        <v>A</v>
      </c>
      <c r="D180" s="26">
        <f>IF('Paste SD Data'!C177="","",'Paste SD Data'!C177)</f>
        <v>12253</v>
      </c>
      <c r="E180" s="27" t="str">
        <f>IF('Paste SD Data'!E177="","",UPPER('Paste SD Data'!E177))</f>
        <v>TOKIR</v>
      </c>
      <c r="F180" s="27" t="str">
        <f>IF('Paste SD Data'!G177="","",UPPER('Paste SD Data'!G177))</f>
        <v>TAHIR MOHAMMAD</v>
      </c>
      <c r="G180" s="27" t="str">
        <f>IF('Paste SD Data'!H177="","",UPPER('Paste SD Data'!H177))</f>
        <v>SHAMA BANU</v>
      </c>
      <c r="H180" s="26" t="str">
        <f>IF('Paste SD Data'!I177="","",IF('Paste SD Data'!I177="M","BOY","GIRL"))</f>
        <v>BOY</v>
      </c>
      <c r="I180" s="28">
        <f>IF('Paste SD Data'!J177="","",'Paste SD Data'!J177)</f>
        <v>38909</v>
      </c>
      <c r="J180" s="34">
        <f t="shared" si="2"/>
        <v>606</v>
      </c>
      <c r="K180" s="29" t="str">
        <f>IF('Paste SD Data'!O177="","",'Paste SD Data'!O177)</f>
        <v>GEN</v>
      </c>
    </row>
    <row r="181" spans="1:11" ht="30" customHeight="1" x14ac:dyDescent="0.25">
      <c r="A181" s="25">
        <f>IF(Table1[[#This Row],[Name of Student]]="","",ROWS($A$1:A177))</f>
        <v>177</v>
      </c>
      <c r="B181" s="26">
        <f>IF('Paste SD Data'!A178="","",'Paste SD Data'!A178)</f>
        <v>8</v>
      </c>
      <c r="C181" s="26" t="str">
        <f>IF('Paste SD Data'!B178="","",'Paste SD Data'!B178)</f>
        <v>A</v>
      </c>
      <c r="D181" s="26">
        <f>IF('Paste SD Data'!C178="","",'Paste SD Data'!C178)</f>
        <v>12249</v>
      </c>
      <c r="E181" s="27" t="str">
        <f>IF('Paste SD Data'!E178="","",UPPER('Paste SD Data'!E178))</f>
        <v>VARSHA MALI</v>
      </c>
      <c r="F181" s="27" t="str">
        <f>IF('Paste SD Data'!G178="","",UPPER('Paste SD Data'!G178))</f>
        <v>HARISH MALI</v>
      </c>
      <c r="G181" s="27" t="str">
        <f>IF('Paste SD Data'!H178="","",UPPER('Paste SD Data'!H178))</f>
        <v>USHA</v>
      </c>
      <c r="H181" s="26" t="str">
        <f>IF('Paste SD Data'!I178="","",IF('Paste SD Data'!I178="M","BOY","GIRL"))</f>
        <v>GIRL</v>
      </c>
      <c r="I181" s="28">
        <f>IF('Paste SD Data'!J178="","",'Paste SD Data'!J178)</f>
        <v>39713</v>
      </c>
      <c r="J181" s="34">
        <f t="shared" si="2"/>
        <v>607</v>
      </c>
      <c r="K181" s="29" t="str">
        <f>IF('Paste SD Data'!O178="","",'Paste SD Data'!O178)</f>
        <v>OBC</v>
      </c>
    </row>
    <row r="182" spans="1:11" ht="30" customHeight="1" x14ac:dyDescent="0.25">
      <c r="A182" s="25">
        <f>IF(Table1[[#This Row],[Name of Student]]="","",ROWS($A$1:A178))</f>
        <v>178</v>
      </c>
      <c r="B182" s="26">
        <f>IF('Paste SD Data'!A179="","",'Paste SD Data'!A179)</f>
        <v>9</v>
      </c>
      <c r="C182" s="26" t="str">
        <f>IF('Paste SD Data'!B179="","",'Paste SD Data'!B179)</f>
        <v>A</v>
      </c>
      <c r="D182" s="26">
        <f>IF('Paste SD Data'!C179="","",'Paste SD Data'!C179)</f>
        <v>13997</v>
      </c>
      <c r="E182" s="27" t="str">
        <f>IF('Paste SD Data'!E179="","",UPPER('Paste SD Data'!E179))</f>
        <v>AJAY KUMAR GAWARIYA</v>
      </c>
      <c r="F182" s="27" t="str">
        <f>IF('Paste SD Data'!G179="","",UPPER('Paste SD Data'!G179))</f>
        <v>BADRI LAL GAWARIYA</v>
      </c>
      <c r="G182" s="27" t="str">
        <f>IF('Paste SD Data'!H179="","",UPPER('Paste SD Data'!H179))</f>
        <v>PRIYA DEVI</v>
      </c>
      <c r="H182" s="26" t="str">
        <f>IF('Paste SD Data'!I179="","",IF('Paste SD Data'!I179="M","BOY","GIRL"))</f>
        <v>BOY</v>
      </c>
      <c r="I182" s="28">
        <f>IF('Paste SD Data'!J179="","",'Paste SD Data'!J179)</f>
        <v>39510</v>
      </c>
      <c r="J182" s="34">
        <f t="shared" si="2"/>
        <v>608</v>
      </c>
      <c r="K182" s="29" t="str">
        <f>IF('Paste SD Data'!O179="","",'Paste SD Data'!O179)</f>
        <v>SC</v>
      </c>
    </row>
    <row r="183" spans="1:11" ht="30" customHeight="1" x14ac:dyDescent="0.25">
      <c r="A183" s="25">
        <f>IF(Table1[[#This Row],[Name of Student]]="","",ROWS($A$1:A179))</f>
        <v>179</v>
      </c>
      <c r="B183" s="26">
        <f>IF('Paste SD Data'!A180="","",'Paste SD Data'!A180)</f>
        <v>9</v>
      </c>
      <c r="C183" s="26" t="str">
        <f>IF('Paste SD Data'!B180="","",'Paste SD Data'!B180)</f>
        <v>A</v>
      </c>
      <c r="D183" s="26">
        <f>IF('Paste SD Data'!C180="","",'Paste SD Data'!C180)</f>
        <v>13722</v>
      </c>
      <c r="E183" s="27" t="str">
        <f>IF('Paste SD Data'!E180="","",UPPER('Paste SD Data'!E180))</f>
        <v>AMRIT RAWAL</v>
      </c>
      <c r="F183" s="27" t="str">
        <f>IF('Paste SD Data'!G180="","",UPPER('Paste SD Data'!G180))</f>
        <v>PARAS RAWAL</v>
      </c>
      <c r="G183" s="27" t="str">
        <f>IF('Paste SD Data'!H180="","",UPPER('Paste SD Data'!H180))</f>
        <v>REETA DEVI</v>
      </c>
      <c r="H183" s="26" t="str">
        <f>IF('Paste SD Data'!I180="","",IF('Paste SD Data'!I180="M","BOY","GIRL"))</f>
        <v>BOY</v>
      </c>
      <c r="I183" s="28">
        <f>IF('Paste SD Data'!J180="","",'Paste SD Data'!J180)</f>
        <v>39486</v>
      </c>
      <c r="J183" s="34">
        <f t="shared" si="2"/>
        <v>609</v>
      </c>
      <c r="K183" s="29" t="str">
        <f>IF('Paste SD Data'!O180="","",'Paste SD Data'!O180)</f>
        <v>OBC</v>
      </c>
    </row>
    <row r="184" spans="1:11" ht="30" customHeight="1" x14ac:dyDescent="0.25">
      <c r="A184" s="25">
        <f>IF(Table1[[#This Row],[Name of Student]]="","",ROWS($A$1:A180))</f>
        <v>180</v>
      </c>
      <c r="B184" s="26">
        <f>IF('Paste SD Data'!A181="","",'Paste SD Data'!A181)</f>
        <v>9</v>
      </c>
      <c r="C184" s="26" t="str">
        <f>IF('Paste SD Data'!B181="","",'Paste SD Data'!B181)</f>
        <v>A</v>
      </c>
      <c r="D184" s="26">
        <f>IF('Paste SD Data'!C181="","",'Paste SD Data'!C181)</f>
        <v>13841</v>
      </c>
      <c r="E184" s="27" t="str">
        <f>IF('Paste SD Data'!E181="","",UPPER('Paste SD Data'!E181))</f>
        <v>ANIL KUMAR NAT</v>
      </c>
      <c r="F184" s="27" t="str">
        <f>IF('Paste SD Data'!G181="","",UPPER('Paste SD Data'!G181))</f>
        <v>BHERU LAL NAT</v>
      </c>
      <c r="G184" s="27" t="str">
        <f>IF('Paste SD Data'!H181="","",UPPER('Paste SD Data'!H181))</f>
        <v>SURJA DEVI</v>
      </c>
      <c r="H184" s="26" t="str">
        <f>IF('Paste SD Data'!I181="","",IF('Paste SD Data'!I181="M","BOY","GIRL"))</f>
        <v>BOY</v>
      </c>
      <c r="I184" s="28">
        <f>IF('Paste SD Data'!J181="","",'Paste SD Data'!J181)</f>
        <v>38975</v>
      </c>
      <c r="J184" s="34">
        <f t="shared" si="2"/>
        <v>610</v>
      </c>
      <c r="K184" s="29" t="str">
        <f>IF('Paste SD Data'!O181="","",'Paste SD Data'!O181)</f>
        <v>SC</v>
      </c>
    </row>
    <row r="185" spans="1:11" ht="30" customHeight="1" x14ac:dyDescent="0.25">
      <c r="A185" s="25">
        <f>IF(Table1[[#This Row],[Name of Student]]="","",ROWS($A$1:A181))</f>
        <v>181</v>
      </c>
      <c r="B185" s="26">
        <f>IF('Paste SD Data'!A182="","",'Paste SD Data'!A182)</f>
        <v>9</v>
      </c>
      <c r="C185" s="26" t="str">
        <f>IF('Paste SD Data'!B182="","",'Paste SD Data'!B182)</f>
        <v>A</v>
      </c>
      <c r="D185" s="26">
        <f>IF('Paste SD Data'!C182="","",'Paste SD Data'!C182)</f>
        <v>13839</v>
      </c>
      <c r="E185" s="27" t="str">
        <f>IF('Paste SD Data'!E182="","",UPPER('Paste SD Data'!E182))</f>
        <v>ARJUN LOUHAR</v>
      </c>
      <c r="F185" s="27" t="str">
        <f>IF('Paste SD Data'!G182="","",UPPER('Paste SD Data'!G182))</f>
        <v>DEVI LAL LOUHAR</v>
      </c>
      <c r="G185" s="27" t="str">
        <f>IF('Paste SD Data'!H182="","",UPPER('Paste SD Data'!H182))</f>
        <v>SANTOSH</v>
      </c>
      <c r="H185" s="26" t="str">
        <f>IF('Paste SD Data'!I182="","",IF('Paste SD Data'!I182="M","BOY","GIRL"))</f>
        <v>BOY</v>
      </c>
      <c r="I185" s="28">
        <f>IF('Paste SD Data'!J182="","",'Paste SD Data'!J182)</f>
        <v>39410</v>
      </c>
      <c r="J185" s="34">
        <f t="shared" si="2"/>
        <v>611</v>
      </c>
      <c r="K185" s="29" t="str">
        <f>IF('Paste SD Data'!O182="","",'Paste SD Data'!O182)</f>
        <v>OBC</v>
      </c>
    </row>
    <row r="186" spans="1:11" ht="30" customHeight="1" x14ac:dyDescent="0.25">
      <c r="A186" s="25">
        <f>IF(Table1[[#This Row],[Name of Student]]="","",ROWS($A$1:A182))</f>
        <v>182</v>
      </c>
      <c r="B186" s="26">
        <f>IF('Paste SD Data'!A183="","",'Paste SD Data'!A183)</f>
        <v>9</v>
      </c>
      <c r="C186" s="26" t="str">
        <f>IF('Paste SD Data'!B183="","",'Paste SD Data'!B183)</f>
        <v>A</v>
      </c>
      <c r="D186" s="26">
        <f>IF('Paste SD Data'!C183="","",'Paste SD Data'!C183)</f>
        <v>13926</v>
      </c>
      <c r="E186" s="27" t="str">
        <f>IF('Paste SD Data'!E183="","",UPPER('Paste SD Data'!E183))</f>
        <v>ARVIND KALAL</v>
      </c>
      <c r="F186" s="27" t="str">
        <f>IF('Paste SD Data'!G183="","",UPPER('Paste SD Data'!G183))</f>
        <v>INDRAMAL KALAL</v>
      </c>
      <c r="G186" s="27" t="str">
        <f>IF('Paste SD Data'!H183="","",UPPER('Paste SD Data'!H183))</f>
        <v>RADHA DEVI</v>
      </c>
      <c r="H186" s="26" t="str">
        <f>IF('Paste SD Data'!I183="","",IF('Paste SD Data'!I183="M","BOY","GIRL"))</f>
        <v>BOY</v>
      </c>
      <c r="I186" s="28">
        <f>IF('Paste SD Data'!J183="","",'Paste SD Data'!J183)</f>
        <v>38370</v>
      </c>
      <c r="J186" s="34">
        <f t="shared" si="2"/>
        <v>612</v>
      </c>
      <c r="K186" s="29" t="str">
        <f>IF('Paste SD Data'!O183="","",'Paste SD Data'!O183)</f>
        <v>OBC</v>
      </c>
    </row>
    <row r="187" spans="1:11" ht="30" customHeight="1" x14ac:dyDescent="0.25">
      <c r="A187" s="25">
        <f>IF(Table1[[#This Row],[Name of Student]]="","",ROWS($A$1:A183))</f>
        <v>183</v>
      </c>
      <c r="B187" s="26">
        <f>IF('Paste SD Data'!A184="","",'Paste SD Data'!A184)</f>
        <v>9</v>
      </c>
      <c r="C187" s="26" t="str">
        <f>IF('Paste SD Data'!B184="","",'Paste SD Data'!B184)</f>
        <v>A</v>
      </c>
      <c r="D187" s="26">
        <f>IF('Paste SD Data'!C184="","",'Paste SD Data'!C184)</f>
        <v>13991</v>
      </c>
      <c r="E187" s="27" t="str">
        <f>IF('Paste SD Data'!E184="","",UPPER('Paste SD Data'!E184))</f>
        <v>AVINASH MEENA</v>
      </c>
      <c r="F187" s="27" t="str">
        <f>IF('Paste SD Data'!G184="","",UPPER('Paste SD Data'!G184))</f>
        <v>SURESH CHAND MEENA</v>
      </c>
      <c r="G187" s="27" t="str">
        <f>IF('Paste SD Data'!H184="","",UPPER('Paste SD Data'!H184))</f>
        <v>RASHALI DEVI</v>
      </c>
      <c r="H187" s="26" t="str">
        <f>IF('Paste SD Data'!I184="","",IF('Paste SD Data'!I184="M","BOY","GIRL"))</f>
        <v>BOY</v>
      </c>
      <c r="I187" s="28">
        <f>IF('Paste SD Data'!J184="","",'Paste SD Data'!J184)</f>
        <v>39640</v>
      </c>
      <c r="J187" s="34">
        <f t="shared" si="2"/>
        <v>613</v>
      </c>
      <c r="K187" s="29" t="str">
        <f>IF('Paste SD Data'!O184="","",'Paste SD Data'!O184)</f>
        <v>ST</v>
      </c>
    </row>
    <row r="188" spans="1:11" ht="30" customHeight="1" x14ac:dyDescent="0.25">
      <c r="A188" s="25">
        <f>IF(Table1[[#This Row],[Name of Student]]="","",ROWS($A$1:A184))</f>
        <v>184</v>
      </c>
      <c r="B188" s="26">
        <f>IF('Paste SD Data'!A185="","",'Paste SD Data'!A185)</f>
        <v>9</v>
      </c>
      <c r="C188" s="26" t="str">
        <f>IF('Paste SD Data'!B185="","",'Paste SD Data'!B185)</f>
        <v>A</v>
      </c>
      <c r="D188" s="26">
        <f>IF('Paste SD Data'!C185="","",'Paste SD Data'!C185)</f>
        <v>13819</v>
      </c>
      <c r="E188" s="27" t="str">
        <f>IF('Paste SD Data'!E185="","",UPPER('Paste SD Data'!E185))</f>
        <v>BABU SINGH</v>
      </c>
      <c r="F188" s="27" t="str">
        <f>IF('Paste SD Data'!G185="","",UPPER('Paste SD Data'!G185))</f>
        <v>LAXMAN SINGH</v>
      </c>
      <c r="G188" s="27" t="str">
        <f>IF('Paste SD Data'!H185="","",UPPER('Paste SD Data'!H185))</f>
        <v>MANGI DEVI</v>
      </c>
      <c r="H188" s="26" t="str">
        <f>IF('Paste SD Data'!I185="","",IF('Paste SD Data'!I185="M","BOY","GIRL"))</f>
        <v>BOY</v>
      </c>
      <c r="I188" s="28">
        <f>IF('Paste SD Data'!J185="","",'Paste SD Data'!J185)</f>
        <v>39818</v>
      </c>
      <c r="J188" s="34">
        <f t="shared" si="2"/>
        <v>614</v>
      </c>
      <c r="K188" s="29" t="str">
        <f>IF('Paste SD Data'!O185="","",'Paste SD Data'!O185)</f>
        <v>OBC</v>
      </c>
    </row>
    <row r="189" spans="1:11" ht="30" customHeight="1" x14ac:dyDescent="0.25">
      <c r="A189" s="25">
        <f>IF(Table1[[#This Row],[Name of Student]]="","",ROWS($A$1:A185))</f>
        <v>185</v>
      </c>
      <c r="B189" s="26">
        <f>IF('Paste SD Data'!A186="","",'Paste SD Data'!A186)</f>
        <v>9</v>
      </c>
      <c r="C189" s="26" t="str">
        <f>IF('Paste SD Data'!B186="","",'Paste SD Data'!B186)</f>
        <v>A</v>
      </c>
      <c r="D189" s="26">
        <f>IF('Paste SD Data'!C186="","",'Paste SD Data'!C186)</f>
        <v>13704</v>
      </c>
      <c r="E189" s="27" t="str">
        <f>IF('Paste SD Data'!E186="","",UPPER('Paste SD Data'!E186))</f>
        <v>BHAIRU SINGH</v>
      </c>
      <c r="F189" s="27" t="str">
        <f>IF('Paste SD Data'!G186="","",UPPER('Paste SD Data'!G186))</f>
        <v>GHEESA SINGH</v>
      </c>
      <c r="G189" s="27" t="str">
        <f>IF('Paste SD Data'!H186="","",UPPER('Paste SD Data'!H186))</f>
        <v>GHEESI DEVI</v>
      </c>
      <c r="H189" s="26" t="str">
        <f>IF('Paste SD Data'!I186="","",IF('Paste SD Data'!I186="M","BOY","GIRL"))</f>
        <v>BOY</v>
      </c>
      <c r="I189" s="28">
        <f>IF('Paste SD Data'!J186="","",'Paste SD Data'!J186)</f>
        <v>39752</v>
      </c>
      <c r="J189" s="34">
        <f t="shared" si="2"/>
        <v>615</v>
      </c>
      <c r="K189" s="29" t="str">
        <f>IF('Paste SD Data'!O186="","",'Paste SD Data'!O186)</f>
        <v>OBC</v>
      </c>
    </row>
    <row r="190" spans="1:11" ht="30" customHeight="1" x14ac:dyDescent="0.25">
      <c r="A190" s="25">
        <f>IF(Table1[[#This Row],[Name of Student]]="","",ROWS($A$1:A186))</f>
        <v>186</v>
      </c>
      <c r="B190" s="26">
        <f>IF('Paste SD Data'!A187="","",'Paste SD Data'!A187)</f>
        <v>9</v>
      </c>
      <c r="C190" s="26" t="str">
        <f>IF('Paste SD Data'!B187="","",'Paste SD Data'!B187)</f>
        <v>A</v>
      </c>
      <c r="D190" s="26">
        <f>IF('Paste SD Data'!C187="","",'Paste SD Data'!C187)</f>
        <v>13705</v>
      </c>
      <c r="E190" s="27" t="str">
        <f>IF('Paste SD Data'!E187="","",UPPER('Paste SD Data'!E187))</f>
        <v>BHAIRU SINGH</v>
      </c>
      <c r="F190" s="27" t="str">
        <f>IF('Paste SD Data'!G187="","",UPPER('Paste SD Data'!G187))</f>
        <v>NAINA SINGH</v>
      </c>
      <c r="G190" s="27" t="str">
        <f>IF('Paste SD Data'!H187="","",UPPER('Paste SD Data'!H187))</f>
        <v>MEENA DEVI</v>
      </c>
      <c r="H190" s="26" t="str">
        <f>IF('Paste SD Data'!I187="","",IF('Paste SD Data'!I187="M","BOY","GIRL"))</f>
        <v>BOY</v>
      </c>
      <c r="I190" s="28">
        <f>IF('Paste SD Data'!J187="","",'Paste SD Data'!J187)</f>
        <v>38932</v>
      </c>
      <c r="J190" s="34">
        <f t="shared" si="2"/>
        <v>616</v>
      </c>
      <c r="K190" s="29" t="str">
        <f>IF('Paste SD Data'!O187="","",'Paste SD Data'!O187)</f>
        <v>OBC</v>
      </c>
    </row>
    <row r="191" spans="1:11" ht="30" customHeight="1" x14ac:dyDescent="0.25">
      <c r="A191" s="25">
        <f>IF(Table1[[#This Row],[Name of Student]]="","",ROWS($A$1:A187))</f>
        <v>187</v>
      </c>
      <c r="B191" s="26">
        <f>IF('Paste SD Data'!A188="","",'Paste SD Data'!A188)</f>
        <v>9</v>
      </c>
      <c r="C191" s="26" t="str">
        <f>IF('Paste SD Data'!B188="","",'Paste SD Data'!B188)</f>
        <v>A</v>
      </c>
      <c r="D191" s="26">
        <f>IF('Paste SD Data'!C188="","",'Paste SD Data'!C188)</f>
        <v>13702</v>
      </c>
      <c r="E191" s="27" t="str">
        <f>IF('Paste SD Data'!E188="","",UPPER('Paste SD Data'!E188))</f>
        <v>BHAVESH GURJAR</v>
      </c>
      <c r="F191" s="27" t="str">
        <f>IF('Paste SD Data'!G188="","",UPPER('Paste SD Data'!G188))</f>
        <v>NARAYAN LAL GURJAR</v>
      </c>
      <c r="G191" s="27" t="str">
        <f>IF('Paste SD Data'!H188="","",UPPER('Paste SD Data'!H188))</f>
        <v>DAKHU DEVI</v>
      </c>
      <c r="H191" s="26" t="str">
        <f>IF('Paste SD Data'!I188="","",IF('Paste SD Data'!I188="M","BOY","GIRL"))</f>
        <v>BOY</v>
      </c>
      <c r="I191" s="28">
        <f>IF('Paste SD Data'!J188="","",'Paste SD Data'!J188)</f>
        <v>39685</v>
      </c>
      <c r="J191" s="34">
        <f t="shared" si="2"/>
        <v>617</v>
      </c>
      <c r="K191" s="29" t="str">
        <f>IF('Paste SD Data'!O188="","",'Paste SD Data'!O188)</f>
        <v>SBC</v>
      </c>
    </row>
    <row r="192" spans="1:11" ht="30" customHeight="1" x14ac:dyDescent="0.25">
      <c r="A192" s="25">
        <f>IF(Table1[[#This Row],[Name of Student]]="","",ROWS($A$1:A188))</f>
        <v>188</v>
      </c>
      <c r="B192" s="26">
        <f>IF('Paste SD Data'!A189="","",'Paste SD Data'!A189)</f>
        <v>9</v>
      </c>
      <c r="C192" s="26" t="str">
        <f>IF('Paste SD Data'!B189="","",'Paste SD Data'!B189)</f>
        <v>A</v>
      </c>
      <c r="D192" s="26">
        <f>IF('Paste SD Data'!C189="","",'Paste SD Data'!C189)</f>
        <v>13972</v>
      </c>
      <c r="E192" s="27" t="str">
        <f>IF('Paste SD Data'!E189="","",UPPER('Paste SD Data'!E189))</f>
        <v>BHAVESH KUMAR</v>
      </c>
      <c r="F192" s="27" t="str">
        <f>IF('Paste SD Data'!G189="","",UPPER('Paste SD Data'!G189))</f>
        <v>GOPI LAL GURJAR</v>
      </c>
      <c r="G192" s="27" t="str">
        <f>IF('Paste SD Data'!H189="","",UPPER('Paste SD Data'!H189))</f>
        <v>PRABHU DEVI</v>
      </c>
      <c r="H192" s="26" t="str">
        <f>IF('Paste SD Data'!I189="","",IF('Paste SD Data'!I189="M","BOY","GIRL"))</f>
        <v>BOY</v>
      </c>
      <c r="I192" s="28">
        <f>IF('Paste SD Data'!J189="","",'Paste SD Data'!J189)</f>
        <v>39115</v>
      </c>
      <c r="J192" s="34">
        <f t="shared" si="2"/>
        <v>618</v>
      </c>
      <c r="K192" s="29" t="str">
        <f>IF('Paste SD Data'!O189="","",'Paste SD Data'!O189)</f>
        <v>SBC</v>
      </c>
    </row>
    <row r="193" spans="1:11" ht="30" customHeight="1" x14ac:dyDescent="0.25">
      <c r="A193" s="25">
        <f>IF(Table1[[#This Row],[Name of Student]]="","",ROWS($A$1:A189))</f>
        <v>189</v>
      </c>
      <c r="B193" s="26">
        <f>IF('Paste SD Data'!A190="","",'Paste SD Data'!A190)</f>
        <v>9</v>
      </c>
      <c r="C193" s="26" t="str">
        <f>IF('Paste SD Data'!B190="","",'Paste SD Data'!B190)</f>
        <v>A</v>
      </c>
      <c r="D193" s="26">
        <f>IF('Paste SD Data'!C190="","",'Paste SD Data'!C190)</f>
        <v>12265</v>
      </c>
      <c r="E193" s="27" t="str">
        <f>IF('Paste SD Data'!E190="","",UPPER('Paste SD Data'!E190))</f>
        <v>BHAVESH MALI</v>
      </c>
      <c r="F193" s="27" t="str">
        <f>IF('Paste SD Data'!G190="","",UPPER('Paste SD Data'!G190))</f>
        <v>KAILASH MALI</v>
      </c>
      <c r="G193" s="27" t="str">
        <f>IF('Paste SD Data'!H190="","",UPPER('Paste SD Data'!H190))</f>
        <v>SANTOSH</v>
      </c>
      <c r="H193" s="26" t="str">
        <f>IF('Paste SD Data'!I190="","",IF('Paste SD Data'!I190="M","BOY","GIRL"))</f>
        <v>BOY</v>
      </c>
      <c r="I193" s="28">
        <f>IF('Paste SD Data'!J190="","",'Paste SD Data'!J190)</f>
        <v>38940</v>
      </c>
      <c r="J193" s="34">
        <f t="shared" si="2"/>
        <v>619</v>
      </c>
      <c r="K193" s="29" t="str">
        <f>IF('Paste SD Data'!O190="","",'Paste SD Data'!O190)</f>
        <v>OBC</v>
      </c>
    </row>
    <row r="194" spans="1:11" ht="30" customHeight="1" x14ac:dyDescent="0.25">
      <c r="A194" s="25">
        <f>IF(Table1[[#This Row],[Name of Student]]="","",ROWS($A$1:A190))</f>
        <v>190</v>
      </c>
      <c r="B194" s="26">
        <f>IF('Paste SD Data'!A191="","",'Paste SD Data'!A191)</f>
        <v>9</v>
      </c>
      <c r="C194" s="26" t="str">
        <f>IF('Paste SD Data'!B191="","",'Paste SD Data'!B191)</f>
        <v>A</v>
      </c>
      <c r="D194" s="26">
        <f>IF('Paste SD Data'!C191="","",'Paste SD Data'!C191)</f>
        <v>12619</v>
      </c>
      <c r="E194" s="27" t="str">
        <f>IF('Paste SD Data'!E191="","",UPPER('Paste SD Data'!E191))</f>
        <v>BHAVESH REGAR</v>
      </c>
      <c r="F194" s="27" t="str">
        <f>IF('Paste SD Data'!G191="","",UPPER('Paste SD Data'!G191))</f>
        <v>SHOBHA LAL REGAR</v>
      </c>
      <c r="G194" s="27" t="str">
        <f>IF('Paste SD Data'!H191="","",UPPER('Paste SD Data'!H191))</f>
        <v>GEETA DEVI</v>
      </c>
      <c r="H194" s="26" t="str">
        <f>IF('Paste SD Data'!I191="","",IF('Paste SD Data'!I191="M","BOY","GIRL"))</f>
        <v>BOY</v>
      </c>
      <c r="I194" s="28">
        <f>IF('Paste SD Data'!J191="","",'Paste SD Data'!J191)</f>
        <v>40000</v>
      </c>
      <c r="J194" s="34">
        <f t="shared" si="2"/>
        <v>620</v>
      </c>
      <c r="K194" s="29" t="str">
        <f>IF('Paste SD Data'!O191="","",'Paste SD Data'!O191)</f>
        <v>SC</v>
      </c>
    </row>
    <row r="195" spans="1:11" ht="30" customHeight="1" x14ac:dyDescent="0.25">
      <c r="A195" s="25">
        <f>IF(Table1[[#This Row],[Name of Student]]="","",ROWS($A$1:A191))</f>
        <v>191</v>
      </c>
      <c r="B195" s="26">
        <f>IF('Paste SD Data'!A192="","",'Paste SD Data'!A192)</f>
        <v>9</v>
      </c>
      <c r="C195" s="26" t="str">
        <f>IF('Paste SD Data'!B192="","",'Paste SD Data'!B192)</f>
        <v>A</v>
      </c>
      <c r="D195" s="26">
        <f>IF('Paste SD Data'!C192="","",'Paste SD Data'!C192)</f>
        <v>13996</v>
      </c>
      <c r="E195" s="27" t="str">
        <f>IF('Paste SD Data'!E192="","",UPPER('Paste SD Data'!E192))</f>
        <v>BHERU SINGH TANK</v>
      </c>
      <c r="F195" s="27" t="str">
        <f>IF('Paste SD Data'!G192="","",UPPER('Paste SD Data'!G192))</f>
        <v>HIMMAT SINGH TANK</v>
      </c>
      <c r="G195" s="27" t="str">
        <f>IF('Paste SD Data'!H192="","",UPPER('Paste SD Data'!H192))</f>
        <v>KANTA KANWAR</v>
      </c>
      <c r="H195" s="26" t="str">
        <f>IF('Paste SD Data'!I192="","",IF('Paste SD Data'!I192="M","BOY","GIRL"))</f>
        <v>BOY</v>
      </c>
      <c r="I195" s="28">
        <f>IF('Paste SD Data'!J192="","",'Paste SD Data'!J192)</f>
        <v>39210</v>
      </c>
      <c r="J195" s="34">
        <f t="shared" si="2"/>
        <v>621</v>
      </c>
      <c r="K195" s="29" t="str">
        <f>IF('Paste SD Data'!O192="","",'Paste SD Data'!O192)</f>
        <v>OBC</v>
      </c>
    </row>
    <row r="196" spans="1:11" ht="30" customHeight="1" x14ac:dyDescent="0.25">
      <c r="A196" s="25">
        <f>IF(Table1[[#This Row],[Name of Student]]="","",ROWS($A$1:A192))</f>
        <v>192</v>
      </c>
      <c r="B196" s="26">
        <f>IF('Paste SD Data'!A193="","",'Paste SD Data'!A193)</f>
        <v>9</v>
      </c>
      <c r="C196" s="26" t="str">
        <f>IF('Paste SD Data'!B193="","",'Paste SD Data'!B193)</f>
        <v>A</v>
      </c>
      <c r="D196" s="26">
        <f>IF('Paste SD Data'!C193="","",'Paste SD Data'!C193)</f>
        <v>13855</v>
      </c>
      <c r="E196" s="27" t="str">
        <f>IF('Paste SD Data'!E193="","",UPPER('Paste SD Data'!E193))</f>
        <v>CHANDRA PRAKASH SALVI</v>
      </c>
      <c r="F196" s="27" t="str">
        <f>IF('Paste SD Data'!G193="","",UPPER('Paste SD Data'!G193))</f>
        <v>CHANDAN MAL SALVI</v>
      </c>
      <c r="G196" s="27" t="str">
        <f>IF('Paste SD Data'!H193="","",UPPER('Paste SD Data'!H193))</f>
        <v>HEMI DEVI</v>
      </c>
      <c r="H196" s="26" t="str">
        <f>IF('Paste SD Data'!I193="","",IF('Paste SD Data'!I193="M","BOY","GIRL"))</f>
        <v>BOY</v>
      </c>
      <c r="I196" s="28">
        <f>IF('Paste SD Data'!J193="","",'Paste SD Data'!J193)</f>
        <v>38096</v>
      </c>
      <c r="J196" s="34">
        <f t="shared" si="2"/>
        <v>622</v>
      </c>
      <c r="K196" s="29" t="str">
        <f>IF('Paste SD Data'!O193="","",'Paste SD Data'!O193)</f>
        <v>SC</v>
      </c>
    </row>
    <row r="197" spans="1:11" ht="30" customHeight="1" x14ac:dyDescent="0.25">
      <c r="A197" s="25">
        <f>IF(Table1[[#This Row],[Name of Student]]="","",ROWS($A$1:A193))</f>
        <v>193</v>
      </c>
      <c r="B197" s="26">
        <f>IF('Paste SD Data'!A194="","",'Paste SD Data'!A194)</f>
        <v>9</v>
      </c>
      <c r="C197" s="26" t="str">
        <f>IF('Paste SD Data'!B194="","",'Paste SD Data'!B194)</f>
        <v>A</v>
      </c>
      <c r="D197" s="26">
        <f>IF('Paste SD Data'!C194="","",'Paste SD Data'!C194)</f>
        <v>13027</v>
      </c>
      <c r="E197" s="27" t="str">
        <f>IF('Paste SD Data'!E194="","",UPPER('Paste SD Data'!E194))</f>
        <v>CHETAN PRAJAPAT</v>
      </c>
      <c r="F197" s="27" t="str">
        <f>IF('Paste SD Data'!G194="","",UPPER('Paste SD Data'!G194))</f>
        <v>CHAND MAL</v>
      </c>
      <c r="G197" s="27" t="str">
        <f>IF('Paste SD Data'!H194="","",UPPER('Paste SD Data'!H194))</f>
        <v>LADI PRAJAPAT</v>
      </c>
      <c r="H197" s="26" t="str">
        <f>IF('Paste SD Data'!I194="","",IF('Paste SD Data'!I194="M","BOY","GIRL"))</f>
        <v>BOY</v>
      </c>
      <c r="I197" s="28">
        <f>IF('Paste SD Data'!J194="","",'Paste SD Data'!J194)</f>
        <v>39329</v>
      </c>
      <c r="J197" s="34">
        <f t="shared" si="2"/>
        <v>623</v>
      </c>
      <c r="K197" s="29" t="str">
        <f>IF('Paste SD Data'!O194="","",'Paste SD Data'!O194)</f>
        <v>OBC</v>
      </c>
    </row>
    <row r="198" spans="1:11" ht="30" customHeight="1" x14ac:dyDescent="0.25">
      <c r="A198" s="25">
        <f>IF(Table1[[#This Row],[Name of Student]]="","",ROWS($A$1:A194))</f>
        <v>194</v>
      </c>
      <c r="B198" s="26">
        <f>IF('Paste SD Data'!A195="","",'Paste SD Data'!A195)</f>
        <v>9</v>
      </c>
      <c r="C198" s="26" t="str">
        <f>IF('Paste SD Data'!B195="","",'Paste SD Data'!B195)</f>
        <v>A</v>
      </c>
      <c r="D198" s="26">
        <f>IF('Paste SD Data'!C195="","",'Paste SD Data'!C195)</f>
        <v>12827</v>
      </c>
      <c r="E198" s="27" t="str">
        <f>IF('Paste SD Data'!E195="","",UPPER('Paste SD Data'!E195))</f>
        <v>CHHOTU LAL NAT</v>
      </c>
      <c r="F198" s="27" t="str">
        <f>IF('Paste SD Data'!G195="","",UPPER('Paste SD Data'!G195))</f>
        <v>MADAN LAL NAT</v>
      </c>
      <c r="G198" s="27" t="str">
        <f>IF('Paste SD Data'!H195="","",UPPER('Paste SD Data'!H195))</f>
        <v>BALI DEVI</v>
      </c>
      <c r="H198" s="26" t="str">
        <f>IF('Paste SD Data'!I195="","",IF('Paste SD Data'!I195="M","BOY","GIRL"))</f>
        <v>BOY</v>
      </c>
      <c r="I198" s="28">
        <f>IF('Paste SD Data'!J195="","",'Paste SD Data'!J195)</f>
        <v>39333</v>
      </c>
      <c r="J198" s="34">
        <f t="shared" si="2"/>
        <v>624</v>
      </c>
      <c r="K198" s="29" t="str">
        <f>IF('Paste SD Data'!O195="","",'Paste SD Data'!O195)</f>
        <v>SC</v>
      </c>
    </row>
    <row r="199" spans="1:11" ht="30" customHeight="1" x14ac:dyDescent="0.25">
      <c r="A199" s="25">
        <f>IF(Table1[[#This Row],[Name of Student]]="","",ROWS($A$1:A195))</f>
        <v>195</v>
      </c>
      <c r="B199" s="26">
        <f>IF('Paste SD Data'!A196="","",'Paste SD Data'!A196)</f>
        <v>9</v>
      </c>
      <c r="C199" s="26" t="str">
        <f>IF('Paste SD Data'!B196="","",'Paste SD Data'!B196)</f>
        <v>A</v>
      </c>
      <c r="D199" s="26">
        <f>IF('Paste SD Data'!C196="","",'Paste SD Data'!C196)</f>
        <v>13747</v>
      </c>
      <c r="E199" s="27" t="str">
        <f>IF('Paste SD Data'!E196="","",UPPER('Paste SD Data'!E196))</f>
        <v>DAKSHRAJ SINGH CHUNDAWAT</v>
      </c>
      <c r="F199" s="27" t="str">
        <f>IF('Paste SD Data'!G196="","",UPPER('Paste SD Data'!G196))</f>
        <v>RAJENDRA SINGH CHUNDAWAT</v>
      </c>
      <c r="G199" s="27" t="str">
        <f>IF('Paste SD Data'!H196="","",UPPER('Paste SD Data'!H196))</f>
        <v>GAYATRI KANWAR</v>
      </c>
      <c r="H199" s="26" t="str">
        <f>IF('Paste SD Data'!I196="","",IF('Paste SD Data'!I196="M","BOY","GIRL"))</f>
        <v>BOY</v>
      </c>
      <c r="I199" s="28">
        <f>IF('Paste SD Data'!J196="","",'Paste SD Data'!J196)</f>
        <v>39104</v>
      </c>
      <c r="J199" s="34">
        <f t="shared" ref="J199:J262" si="3">J198+1</f>
        <v>625</v>
      </c>
      <c r="K199" s="29" t="str">
        <f>IF('Paste SD Data'!O196="","",'Paste SD Data'!O196)</f>
        <v>GEN</v>
      </c>
    </row>
    <row r="200" spans="1:11" ht="30" customHeight="1" x14ac:dyDescent="0.25">
      <c r="A200" s="25">
        <f>IF(Table1[[#This Row],[Name of Student]]="","",ROWS($A$1:A196))</f>
        <v>196</v>
      </c>
      <c r="B200" s="26">
        <f>IF('Paste SD Data'!A197="","",'Paste SD Data'!A197)</f>
        <v>9</v>
      </c>
      <c r="C200" s="26" t="str">
        <f>IF('Paste SD Data'!B197="","",'Paste SD Data'!B197)</f>
        <v>A</v>
      </c>
      <c r="D200" s="26">
        <f>IF('Paste SD Data'!C197="","",'Paste SD Data'!C197)</f>
        <v>13794</v>
      </c>
      <c r="E200" s="27" t="str">
        <f>IF('Paste SD Data'!E197="","",UPPER('Paste SD Data'!E197))</f>
        <v>DAL CHAND</v>
      </c>
      <c r="F200" s="27" t="str">
        <f>IF('Paste SD Data'!G197="","",UPPER('Paste SD Data'!G197))</f>
        <v>KALU RAM</v>
      </c>
      <c r="G200" s="27" t="str">
        <f>IF('Paste SD Data'!H197="","",UPPER('Paste SD Data'!H197))</f>
        <v>KELA DEVI</v>
      </c>
      <c r="H200" s="26" t="str">
        <f>IF('Paste SD Data'!I197="","",IF('Paste SD Data'!I197="M","BOY","GIRL"))</f>
        <v>BOY</v>
      </c>
      <c r="I200" s="28">
        <f>IF('Paste SD Data'!J197="","",'Paste SD Data'!J197)</f>
        <v>38733</v>
      </c>
      <c r="J200" s="34">
        <f t="shared" si="3"/>
        <v>626</v>
      </c>
      <c r="K200" s="29" t="str">
        <f>IF('Paste SD Data'!O197="","",'Paste SD Data'!O197)</f>
        <v>SC</v>
      </c>
    </row>
    <row r="201" spans="1:11" ht="30" customHeight="1" x14ac:dyDescent="0.25">
      <c r="A201" s="25">
        <f>IF(Table1[[#This Row],[Name of Student]]="","",ROWS($A$1:A197))</f>
        <v>197</v>
      </c>
      <c r="B201" s="26">
        <f>IF('Paste SD Data'!A198="","",'Paste SD Data'!A198)</f>
        <v>9</v>
      </c>
      <c r="C201" s="26" t="str">
        <f>IF('Paste SD Data'!B198="","",'Paste SD Data'!B198)</f>
        <v>A</v>
      </c>
      <c r="D201" s="26">
        <f>IF('Paste SD Data'!C198="","",'Paste SD Data'!C198)</f>
        <v>13858</v>
      </c>
      <c r="E201" s="27" t="str">
        <f>IF('Paste SD Data'!E198="","",UPPER('Paste SD Data'!E198))</f>
        <v>DEEPAK SALVI</v>
      </c>
      <c r="F201" s="27" t="str">
        <f>IF('Paste SD Data'!G198="","",UPPER('Paste SD Data'!G198))</f>
        <v>DINESH CHANDRA</v>
      </c>
      <c r="G201" s="27" t="str">
        <f>IF('Paste SD Data'!H198="","",UPPER('Paste SD Data'!H198))</f>
        <v>JASHODA DEVI</v>
      </c>
      <c r="H201" s="26" t="str">
        <f>IF('Paste SD Data'!I198="","",IF('Paste SD Data'!I198="M","BOY","GIRL"))</f>
        <v>BOY</v>
      </c>
      <c r="I201" s="28">
        <f>IF('Paste SD Data'!J198="","",'Paste SD Data'!J198)</f>
        <v>39438</v>
      </c>
      <c r="J201" s="34">
        <f t="shared" si="3"/>
        <v>627</v>
      </c>
      <c r="K201" s="29" t="str">
        <f>IF('Paste SD Data'!O198="","",'Paste SD Data'!O198)</f>
        <v>SC</v>
      </c>
    </row>
    <row r="202" spans="1:11" ht="30" customHeight="1" x14ac:dyDescent="0.25">
      <c r="A202" s="25">
        <f>IF(Table1[[#This Row],[Name of Student]]="","",ROWS($A$1:A198))</f>
        <v>198</v>
      </c>
      <c r="B202" s="26">
        <f>IF('Paste SD Data'!A199="","",'Paste SD Data'!A199)</f>
        <v>9</v>
      </c>
      <c r="C202" s="26" t="str">
        <f>IF('Paste SD Data'!B199="","",'Paste SD Data'!B199)</f>
        <v>A</v>
      </c>
      <c r="D202" s="26">
        <f>IF('Paste SD Data'!C199="","",'Paste SD Data'!C199)</f>
        <v>13745</v>
      </c>
      <c r="E202" s="27" t="str">
        <f>IF('Paste SD Data'!E199="","",UPPER('Paste SD Data'!E199))</f>
        <v>DEVENDRA KUMAR SONI</v>
      </c>
      <c r="F202" s="27" t="str">
        <f>IF('Paste SD Data'!G199="","",UPPER('Paste SD Data'!G199))</f>
        <v>DAL CHAND SONI</v>
      </c>
      <c r="G202" s="27" t="str">
        <f>IF('Paste SD Data'!H199="","",UPPER('Paste SD Data'!H199))</f>
        <v>LAXMI DEVI</v>
      </c>
      <c r="H202" s="26" t="str">
        <f>IF('Paste SD Data'!I199="","",IF('Paste SD Data'!I199="M","BOY","GIRL"))</f>
        <v>BOY</v>
      </c>
      <c r="I202" s="28">
        <f>IF('Paste SD Data'!J199="","",'Paste SD Data'!J199)</f>
        <v>39298</v>
      </c>
      <c r="J202" s="34">
        <f t="shared" si="3"/>
        <v>628</v>
      </c>
      <c r="K202" s="29" t="str">
        <f>IF('Paste SD Data'!O199="","",'Paste SD Data'!O199)</f>
        <v>OBC</v>
      </c>
    </row>
    <row r="203" spans="1:11" ht="30" customHeight="1" x14ac:dyDescent="0.25">
      <c r="A203" s="25">
        <f>IF(Table1[[#This Row],[Name of Student]]="","",ROWS($A$1:A199))</f>
        <v>199</v>
      </c>
      <c r="B203" s="26">
        <f>IF('Paste SD Data'!A200="","",'Paste SD Data'!A200)</f>
        <v>9</v>
      </c>
      <c r="C203" s="26" t="str">
        <f>IF('Paste SD Data'!B200="","",'Paste SD Data'!B200)</f>
        <v>A</v>
      </c>
      <c r="D203" s="26">
        <f>IF('Paste SD Data'!C200="","",'Paste SD Data'!C200)</f>
        <v>13765</v>
      </c>
      <c r="E203" s="27" t="str">
        <f>IF('Paste SD Data'!E200="","",UPPER('Paste SD Data'!E200))</f>
        <v>DEVENDRA SINGH</v>
      </c>
      <c r="F203" s="27" t="str">
        <f>IF('Paste SD Data'!G200="","",UPPER('Paste SD Data'!G200))</f>
        <v>MOHAN SINGH</v>
      </c>
      <c r="G203" s="27" t="str">
        <f>IF('Paste SD Data'!H200="","",UPPER('Paste SD Data'!H200))</f>
        <v>KANCHAN DEVI</v>
      </c>
      <c r="H203" s="26" t="str">
        <f>IF('Paste SD Data'!I200="","",IF('Paste SD Data'!I200="M","BOY","GIRL"))</f>
        <v>BOY</v>
      </c>
      <c r="I203" s="28">
        <f>IF('Paste SD Data'!J200="","",'Paste SD Data'!J200)</f>
        <v>38955</v>
      </c>
      <c r="J203" s="34">
        <f t="shared" si="3"/>
        <v>629</v>
      </c>
      <c r="K203" s="29" t="str">
        <f>IF('Paste SD Data'!O200="","",'Paste SD Data'!O200)</f>
        <v>OBC</v>
      </c>
    </row>
    <row r="204" spans="1:11" ht="30" customHeight="1" x14ac:dyDescent="0.25">
      <c r="A204" s="25">
        <f>IF(Table1[[#This Row],[Name of Student]]="","",ROWS($A$1:A200))</f>
        <v>200</v>
      </c>
      <c r="B204" s="26">
        <f>IF('Paste SD Data'!A201="","",'Paste SD Data'!A201)</f>
        <v>9</v>
      </c>
      <c r="C204" s="26" t="str">
        <f>IF('Paste SD Data'!B201="","",'Paste SD Data'!B201)</f>
        <v>A</v>
      </c>
      <c r="D204" s="26">
        <f>IF('Paste SD Data'!C201="","",'Paste SD Data'!C201)</f>
        <v>13851</v>
      </c>
      <c r="E204" s="27" t="str">
        <f>IF('Paste SD Data'!E201="","",UPPER('Paste SD Data'!E201))</f>
        <v>DEVKINANDAN GURJAR</v>
      </c>
      <c r="F204" s="27" t="str">
        <f>IF('Paste SD Data'!G201="","",UPPER('Paste SD Data'!G201))</f>
        <v>PRAHLAD GURJAR</v>
      </c>
      <c r="G204" s="27" t="str">
        <f>IF('Paste SD Data'!H201="","",UPPER('Paste SD Data'!H201))</f>
        <v>SITA DEVI</v>
      </c>
      <c r="H204" s="26" t="str">
        <f>IF('Paste SD Data'!I201="","",IF('Paste SD Data'!I201="M","BOY","GIRL"))</f>
        <v>BOY</v>
      </c>
      <c r="I204" s="28">
        <f>IF('Paste SD Data'!J201="","",'Paste SD Data'!J201)</f>
        <v>38957</v>
      </c>
      <c r="J204" s="34">
        <f t="shared" si="3"/>
        <v>630</v>
      </c>
      <c r="K204" s="29" t="str">
        <f>IF('Paste SD Data'!O201="","",'Paste SD Data'!O201)</f>
        <v>SBC</v>
      </c>
    </row>
    <row r="205" spans="1:11" ht="30" customHeight="1" x14ac:dyDescent="0.25">
      <c r="A205" s="25">
        <f>IF(Table1[[#This Row],[Name of Student]]="","",ROWS($A$1:A201))</f>
        <v>201</v>
      </c>
      <c r="B205" s="26">
        <f>IF('Paste SD Data'!A202="","",'Paste SD Data'!A202)</f>
        <v>9</v>
      </c>
      <c r="C205" s="26" t="str">
        <f>IF('Paste SD Data'!B202="","",'Paste SD Data'!B202)</f>
        <v>A</v>
      </c>
      <c r="D205" s="26">
        <f>IF('Paste SD Data'!C202="","",'Paste SD Data'!C202)</f>
        <v>13499</v>
      </c>
      <c r="E205" s="27" t="str">
        <f>IF('Paste SD Data'!E202="","",UPPER('Paste SD Data'!E202))</f>
        <v>DILEEP SINGH</v>
      </c>
      <c r="F205" s="27" t="str">
        <f>IF('Paste SD Data'!G202="","",UPPER('Paste SD Data'!G202))</f>
        <v>CHANDAN SINGH</v>
      </c>
      <c r="G205" s="27" t="str">
        <f>IF('Paste SD Data'!H202="","",UPPER('Paste SD Data'!H202))</f>
        <v>HANJA DEVI</v>
      </c>
      <c r="H205" s="26" t="str">
        <f>IF('Paste SD Data'!I202="","",IF('Paste SD Data'!I202="M","BOY","GIRL"))</f>
        <v>BOY</v>
      </c>
      <c r="I205" s="28">
        <f>IF('Paste SD Data'!J202="","",'Paste SD Data'!J202)</f>
        <v>39448</v>
      </c>
      <c r="J205" s="34">
        <f t="shared" si="3"/>
        <v>631</v>
      </c>
      <c r="K205" s="29" t="str">
        <f>IF('Paste SD Data'!O202="","",'Paste SD Data'!O202)</f>
        <v>OBC</v>
      </c>
    </row>
    <row r="206" spans="1:11" ht="30" customHeight="1" x14ac:dyDescent="0.25">
      <c r="A206" s="25">
        <f>IF(Table1[[#This Row],[Name of Student]]="","",ROWS($A$1:A202))</f>
        <v>202</v>
      </c>
      <c r="B206" s="26">
        <f>IF('Paste SD Data'!A203="","",'Paste SD Data'!A203)</f>
        <v>9</v>
      </c>
      <c r="C206" s="26" t="str">
        <f>IF('Paste SD Data'!B203="","",'Paste SD Data'!B203)</f>
        <v>A</v>
      </c>
      <c r="D206" s="26">
        <f>IF('Paste SD Data'!C203="","",'Paste SD Data'!C203)</f>
        <v>13848</v>
      </c>
      <c r="E206" s="27" t="str">
        <f>IF('Paste SD Data'!E203="","",UPPER('Paste SD Data'!E203))</f>
        <v>GANPAT SINGH</v>
      </c>
      <c r="F206" s="27" t="str">
        <f>IF('Paste SD Data'!G203="","",UPPER('Paste SD Data'!G203))</f>
        <v>ISHWAR SINGH</v>
      </c>
      <c r="G206" s="27" t="str">
        <f>IF('Paste SD Data'!H203="","",UPPER('Paste SD Data'!H203))</f>
        <v>JASHODA DEVI</v>
      </c>
      <c r="H206" s="26" t="str">
        <f>IF('Paste SD Data'!I203="","",IF('Paste SD Data'!I203="M","BOY","GIRL"))</f>
        <v>BOY</v>
      </c>
      <c r="I206" s="28">
        <f>IF('Paste SD Data'!J203="","",'Paste SD Data'!J203)</f>
        <v>39107</v>
      </c>
      <c r="J206" s="34">
        <f t="shared" si="3"/>
        <v>632</v>
      </c>
      <c r="K206" s="29" t="str">
        <f>IF('Paste SD Data'!O203="","",'Paste SD Data'!O203)</f>
        <v>OBC</v>
      </c>
    </row>
    <row r="207" spans="1:11" ht="30" customHeight="1" x14ac:dyDescent="0.25">
      <c r="A207" s="25">
        <f>IF(Table1[[#This Row],[Name of Student]]="","",ROWS($A$1:A203))</f>
        <v>203</v>
      </c>
      <c r="B207" s="26">
        <f>IF('Paste SD Data'!A204="","",'Paste SD Data'!A204)</f>
        <v>9</v>
      </c>
      <c r="C207" s="26" t="str">
        <f>IF('Paste SD Data'!B204="","",'Paste SD Data'!B204)</f>
        <v>A</v>
      </c>
      <c r="D207" s="26">
        <f>IF('Paste SD Data'!C204="","",'Paste SD Data'!C204)</f>
        <v>13721</v>
      </c>
      <c r="E207" s="27" t="str">
        <f>IF('Paste SD Data'!E204="","",UPPER('Paste SD Data'!E204))</f>
        <v>GANSHYAM BHIL</v>
      </c>
      <c r="F207" s="27" t="str">
        <f>IF('Paste SD Data'!G204="","",UPPER('Paste SD Data'!G204))</f>
        <v>PURAN LAL BHIL</v>
      </c>
      <c r="G207" s="27" t="str">
        <f>IF('Paste SD Data'!H204="","",UPPER('Paste SD Data'!H204))</f>
        <v>MEERA DEVI</v>
      </c>
      <c r="H207" s="26" t="str">
        <f>IF('Paste SD Data'!I204="","",IF('Paste SD Data'!I204="M","BOY","GIRL"))</f>
        <v>BOY</v>
      </c>
      <c r="I207" s="28">
        <f>IF('Paste SD Data'!J204="","",'Paste SD Data'!J204)</f>
        <v>39058</v>
      </c>
      <c r="J207" s="34">
        <f t="shared" si="3"/>
        <v>633</v>
      </c>
      <c r="K207" s="29" t="str">
        <f>IF('Paste SD Data'!O204="","",'Paste SD Data'!O204)</f>
        <v>ST</v>
      </c>
    </row>
    <row r="208" spans="1:11" ht="30" customHeight="1" x14ac:dyDescent="0.25">
      <c r="A208" s="25">
        <f>IF(Table1[[#This Row],[Name of Student]]="","",ROWS($A$1:A204))</f>
        <v>204</v>
      </c>
      <c r="B208" s="26">
        <f>IF('Paste SD Data'!A205="","",'Paste SD Data'!A205)</f>
        <v>9</v>
      </c>
      <c r="C208" s="26" t="str">
        <f>IF('Paste SD Data'!B205="","",'Paste SD Data'!B205)</f>
        <v>A</v>
      </c>
      <c r="D208" s="26">
        <f>IF('Paste SD Data'!C205="","",'Paste SD Data'!C205)</f>
        <v>13796</v>
      </c>
      <c r="E208" s="27" t="str">
        <f>IF('Paste SD Data'!E205="","",UPPER('Paste SD Data'!E205))</f>
        <v>GEHARI LAL SALVI</v>
      </c>
      <c r="F208" s="27" t="str">
        <f>IF('Paste SD Data'!G205="","",UPPER('Paste SD Data'!G205))</f>
        <v>BHURA LAL</v>
      </c>
      <c r="G208" s="27" t="str">
        <f>IF('Paste SD Data'!H205="","",UPPER('Paste SD Data'!H205))</f>
        <v>SENI DEVI</v>
      </c>
      <c r="H208" s="26" t="str">
        <f>IF('Paste SD Data'!I205="","",IF('Paste SD Data'!I205="M","BOY","GIRL"))</f>
        <v>BOY</v>
      </c>
      <c r="I208" s="28">
        <f>IF('Paste SD Data'!J205="","",'Paste SD Data'!J205)</f>
        <v>38939</v>
      </c>
      <c r="J208" s="34">
        <f t="shared" si="3"/>
        <v>634</v>
      </c>
      <c r="K208" s="29" t="str">
        <f>IF('Paste SD Data'!O205="","",'Paste SD Data'!O205)</f>
        <v>SC</v>
      </c>
    </row>
    <row r="209" spans="1:11" ht="30" customHeight="1" x14ac:dyDescent="0.25">
      <c r="A209" s="25">
        <f>IF(Table1[[#This Row],[Name of Student]]="","",ROWS($A$1:A205))</f>
        <v>205</v>
      </c>
      <c r="B209" s="26">
        <f>IF('Paste SD Data'!A206="","",'Paste SD Data'!A206)</f>
        <v>9</v>
      </c>
      <c r="C209" s="26" t="str">
        <f>IF('Paste SD Data'!B206="","",'Paste SD Data'!B206)</f>
        <v>A</v>
      </c>
      <c r="D209" s="26">
        <f>IF('Paste SD Data'!C206="","",'Paste SD Data'!C206)</f>
        <v>13925</v>
      </c>
      <c r="E209" s="27" t="str">
        <f>IF('Paste SD Data'!E206="","",UPPER('Paste SD Data'!E206))</f>
        <v>GOVIND LAL SALVI</v>
      </c>
      <c r="F209" s="27" t="str">
        <f>IF('Paste SD Data'!G206="","",UPPER('Paste SD Data'!G206))</f>
        <v>NAINA RAM</v>
      </c>
      <c r="G209" s="27" t="str">
        <f>IF('Paste SD Data'!H206="","",UPPER('Paste SD Data'!H206))</f>
        <v>KAILASHI DEVI</v>
      </c>
      <c r="H209" s="26" t="str">
        <f>IF('Paste SD Data'!I206="","",IF('Paste SD Data'!I206="M","BOY","GIRL"))</f>
        <v>BOY</v>
      </c>
      <c r="I209" s="28">
        <f>IF('Paste SD Data'!J206="","",'Paste SD Data'!J206)</f>
        <v>38553</v>
      </c>
      <c r="J209" s="34">
        <f t="shared" si="3"/>
        <v>635</v>
      </c>
      <c r="K209" s="29" t="str">
        <f>IF('Paste SD Data'!O206="","",'Paste SD Data'!O206)</f>
        <v>SC</v>
      </c>
    </row>
    <row r="210" spans="1:11" ht="30" customHeight="1" x14ac:dyDescent="0.25">
      <c r="A210" s="25">
        <f>IF(Table1[[#This Row],[Name of Student]]="","",ROWS($A$1:A206))</f>
        <v>206</v>
      </c>
      <c r="B210" s="26">
        <f>IF('Paste SD Data'!A207="","",'Paste SD Data'!A207)</f>
        <v>9</v>
      </c>
      <c r="C210" s="26" t="str">
        <f>IF('Paste SD Data'!B207="","",'Paste SD Data'!B207)</f>
        <v>A</v>
      </c>
      <c r="D210" s="26">
        <f>IF('Paste SD Data'!C207="","",'Paste SD Data'!C207)</f>
        <v>13854</v>
      </c>
      <c r="E210" s="27" t="str">
        <f>IF('Paste SD Data'!E207="","",UPPER('Paste SD Data'!E207))</f>
        <v>HEMANT KUMAR SALVI</v>
      </c>
      <c r="F210" s="27" t="str">
        <f>IF('Paste SD Data'!G207="","",UPPER('Paste SD Data'!G207))</f>
        <v>NARAYAN LAL</v>
      </c>
      <c r="G210" s="27" t="str">
        <f>IF('Paste SD Data'!H207="","",UPPER('Paste SD Data'!H207))</f>
        <v>LAXMI DEVI</v>
      </c>
      <c r="H210" s="26" t="str">
        <f>IF('Paste SD Data'!I207="","",IF('Paste SD Data'!I207="M","BOY","GIRL"))</f>
        <v>BOY</v>
      </c>
      <c r="I210" s="28">
        <f>IF('Paste SD Data'!J207="","",'Paste SD Data'!J207)</f>
        <v>39032</v>
      </c>
      <c r="J210" s="34">
        <f t="shared" si="3"/>
        <v>636</v>
      </c>
      <c r="K210" s="29" t="str">
        <f>IF('Paste SD Data'!O207="","",'Paste SD Data'!O207)</f>
        <v>SC</v>
      </c>
    </row>
    <row r="211" spans="1:11" ht="30" customHeight="1" x14ac:dyDescent="0.25">
      <c r="A211" s="25">
        <f>IF(Table1[[#This Row],[Name of Student]]="","",ROWS($A$1:A207))</f>
        <v>207</v>
      </c>
      <c r="B211" s="26">
        <f>IF('Paste SD Data'!A208="","",'Paste SD Data'!A208)</f>
        <v>9</v>
      </c>
      <c r="C211" s="26" t="str">
        <f>IF('Paste SD Data'!B208="","",'Paste SD Data'!B208)</f>
        <v>A</v>
      </c>
      <c r="D211" s="26">
        <f>IF('Paste SD Data'!C208="","",'Paste SD Data'!C208)</f>
        <v>12266</v>
      </c>
      <c r="E211" s="27" t="str">
        <f>IF('Paste SD Data'!E208="","",UPPER('Paste SD Data'!E208))</f>
        <v>HEMRAJ MALI</v>
      </c>
      <c r="F211" s="27" t="str">
        <f>IF('Paste SD Data'!G208="","",UPPER('Paste SD Data'!G208))</f>
        <v>PYARE LAL MALI</v>
      </c>
      <c r="G211" s="27" t="str">
        <f>IF('Paste SD Data'!H208="","",UPPER('Paste SD Data'!H208))</f>
        <v>DALI DEVI</v>
      </c>
      <c r="H211" s="26" t="str">
        <f>IF('Paste SD Data'!I208="","",IF('Paste SD Data'!I208="M","BOY","GIRL"))</f>
        <v>BOY</v>
      </c>
      <c r="I211" s="28">
        <f>IF('Paste SD Data'!J208="","",'Paste SD Data'!J208)</f>
        <v>38427</v>
      </c>
      <c r="J211" s="34">
        <f t="shared" si="3"/>
        <v>637</v>
      </c>
      <c r="K211" s="29" t="str">
        <f>IF('Paste SD Data'!O208="","",'Paste SD Data'!O208)</f>
        <v>OBC</v>
      </c>
    </row>
    <row r="212" spans="1:11" ht="30" customHeight="1" x14ac:dyDescent="0.25">
      <c r="A212" s="25">
        <f>IF(Table1[[#This Row],[Name of Student]]="","",ROWS($A$1:A208))</f>
        <v>208</v>
      </c>
      <c r="B212" s="26">
        <f>IF('Paste SD Data'!A209="","",'Paste SD Data'!A209)</f>
        <v>9</v>
      </c>
      <c r="C212" s="26" t="str">
        <f>IF('Paste SD Data'!B209="","",'Paste SD Data'!B209)</f>
        <v>A</v>
      </c>
      <c r="D212" s="26">
        <f>IF('Paste SD Data'!C209="","",'Paste SD Data'!C209)</f>
        <v>13744</v>
      </c>
      <c r="E212" s="27" t="str">
        <f>IF('Paste SD Data'!E209="","",UPPER('Paste SD Data'!E209))</f>
        <v>HIMANSHU SALVI</v>
      </c>
      <c r="F212" s="27" t="str">
        <f>IF('Paste SD Data'!G209="","",UPPER('Paste SD Data'!G209))</f>
        <v>BHANWARLAL SALVI</v>
      </c>
      <c r="G212" s="27" t="str">
        <f>IF('Paste SD Data'!H209="","",UPPER('Paste SD Data'!H209))</f>
        <v>VIMLA DEVI</v>
      </c>
      <c r="H212" s="26" t="str">
        <f>IF('Paste SD Data'!I209="","",IF('Paste SD Data'!I209="M","BOY","GIRL"))</f>
        <v>BOY</v>
      </c>
      <c r="I212" s="28">
        <f>IF('Paste SD Data'!J209="","",'Paste SD Data'!J209)</f>
        <v>39360</v>
      </c>
      <c r="J212" s="34">
        <f t="shared" si="3"/>
        <v>638</v>
      </c>
      <c r="K212" s="29" t="str">
        <f>IF('Paste SD Data'!O209="","",'Paste SD Data'!O209)</f>
        <v>SC</v>
      </c>
    </row>
    <row r="213" spans="1:11" ht="30" customHeight="1" x14ac:dyDescent="0.25">
      <c r="A213" s="25">
        <f>IF(Table1[[#This Row],[Name of Student]]="","",ROWS($A$1:A209))</f>
        <v>209</v>
      </c>
      <c r="B213" s="26">
        <f>IF('Paste SD Data'!A210="","",'Paste SD Data'!A210)</f>
        <v>9</v>
      </c>
      <c r="C213" s="26" t="str">
        <f>IF('Paste SD Data'!B210="","",'Paste SD Data'!B210)</f>
        <v>A</v>
      </c>
      <c r="D213" s="26">
        <f>IF('Paste SD Data'!C210="","",'Paste SD Data'!C210)</f>
        <v>12818</v>
      </c>
      <c r="E213" s="27" t="str">
        <f>IF('Paste SD Data'!E210="","",UPPER('Paste SD Data'!E210))</f>
        <v>HIMESH VED</v>
      </c>
      <c r="F213" s="27" t="str">
        <f>IF('Paste SD Data'!G210="","",UPPER('Paste SD Data'!G210))</f>
        <v>KANHAIYA LAL</v>
      </c>
      <c r="G213" s="27" t="str">
        <f>IF('Paste SD Data'!H210="","",UPPER('Paste SD Data'!H210))</f>
        <v>MAMTA BEN</v>
      </c>
      <c r="H213" s="26" t="str">
        <f>IF('Paste SD Data'!I210="","",IF('Paste SD Data'!I210="M","BOY","GIRL"))</f>
        <v>BOY</v>
      </c>
      <c r="I213" s="28">
        <f>IF('Paste SD Data'!J210="","",'Paste SD Data'!J210)</f>
        <v>38978</v>
      </c>
      <c r="J213" s="34">
        <f t="shared" si="3"/>
        <v>639</v>
      </c>
      <c r="K213" s="29" t="str">
        <f>IF('Paste SD Data'!O210="","",'Paste SD Data'!O210)</f>
        <v>OBC</v>
      </c>
    </row>
    <row r="214" spans="1:11" ht="30" customHeight="1" x14ac:dyDescent="0.25">
      <c r="A214" s="25">
        <f>IF(Table1[[#This Row],[Name of Student]]="","",ROWS($A$1:A210))</f>
        <v>210</v>
      </c>
      <c r="B214" s="26">
        <f>IF('Paste SD Data'!A211="","",'Paste SD Data'!A211)</f>
        <v>9</v>
      </c>
      <c r="C214" s="26" t="str">
        <f>IF('Paste SD Data'!B211="","",'Paste SD Data'!B211)</f>
        <v>A</v>
      </c>
      <c r="D214" s="26">
        <f>IF('Paste SD Data'!C211="","",'Paste SD Data'!C211)</f>
        <v>13856</v>
      </c>
      <c r="E214" s="27" t="str">
        <f>IF('Paste SD Data'!E211="","",UPPER('Paste SD Data'!E211))</f>
        <v>HITESH KUMAR SALVI</v>
      </c>
      <c r="F214" s="27" t="str">
        <f>IF('Paste SD Data'!G211="","",UPPER('Paste SD Data'!G211))</f>
        <v>CHANDAN MAL</v>
      </c>
      <c r="G214" s="27" t="str">
        <f>IF('Paste SD Data'!H211="","",UPPER('Paste SD Data'!H211))</f>
        <v>HEMI DEVI</v>
      </c>
      <c r="H214" s="26" t="str">
        <f>IF('Paste SD Data'!I211="","",IF('Paste SD Data'!I211="M","BOY","GIRL"))</f>
        <v>BOY</v>
      </c>
      <c r="I214" s="28">
        <f>IF('Paste SD Data'!J211="","",'Paste SD Data'!J211)</f>
        <v>38786</v>
      </c>
      <c r="J214" s="34">
        <f t="shared" si="3"/>
        <v>640</v>
      </c>
      <c r="K214" s="29" t="str">
        <f>IF('Paste SD Data'!O211="","",'Paste SD Data'!O211)</f>
        <v>SC</v>
      </c>
    </row>
    <row r="215" spans="1:11" ht="30" customHeight="1" x14ac:dyDescent="0.25">
      <c r="A215" s="25">
        <f>IF(Table1[[#This Row],[Name of Student]]="","",ROWS($A$1:A211))</f>
        <v>211</v>
      </c>
      <c r="B215" s="26">
        <f>IF('Paste SD Data'!A212="","",'Paste SD Data'!A212)</f>
        <v>9</v>
      </c>
      <c r="C215" s="26" t="str">
        <f>IF('Paste SD Data'!B212="","",'Paste SD Data'!B212)</f>
        <v>A</v>
      </c>
      <c r="D215" s="26">
        <f>IF('Paste SD Data'!C212="","",'Paste SD Data'!C212)</f>
        <v>13903</v>
      </c>
      <c r="E215" s="27" t="str">
        <f>IF('Paste SD Data'!E212="","",UPPER('Paste SD Data'!E212))</f>
        <v>HITESH REGAR</v>
      </c>
      <c r="F215" s="27" t="str">
        <f>IF('Paste SD Data'!G212="","",UPPER('Paste SD Data'!G212))</f>
        <v>HAJARI LAL</v>
      </c>
      <c r="G215" s="27" t="str">
        <f>IF('Paste SD Data'!H212="","",UPPER('Paste SD Data'!H212))</f>
        <v>RANI DEVI</v>
      </c>
      <c r="H215" s="26" t="str">
        <f>IF('Paste SD Data'!I212="","",IF('Paste SD Data'!I212="M","BOY","GIRL"))</f>
        <v>BOY</v>
      </c>
      <c r="I215" s="28">
        <f>IF('Paste SD Data'!J212="","",'Paste SD Data'!J212)</f>
        <v>39606</v>
      </c>
      <c r="J215" s="34">
        <f t="shared" si="3"/>
        <v>641</v>
      </c>
      <c r="K215" s="29" t="str">
        <f>IF('Paste SD Data'!O212="","",'Paste SD Data'!O212)</f>
        <v>SC</v>
      </c>
    </row>
    <row r="216" spans="1:11" ht="30" customHeight="1" x14ac:dyDescent="0.25">
      <c r="A216" s="25">
        <f>IF(Table1[[#This Row],[Name of Student]]="","",ROWS($A$1:A212))</f>
        <v>212</v>
      </c>
      <c r="B216" s="26">
        <f>IF('Paste SD Data'!A213="","",'Paste SD Data'!A213)</f>
        <v>9</v>
      </c>
      <c r="C216" s="26" t="str">
        <f>IF('Paste SD Data'!B213="","",'Paste SD Data'!B213)</f>
        <v>A</v>
      </c>
      <c r="D216" s="26">
        <f>IF('Paste SD Data'!C213="","",'Paste SD Data'!C213)</f>
        <v>13842</v>
      </c>
      <c r="E216" s="27" t="str">
        <f>IF('Paste SD Data'!E213="","",UPPER('Paste SD Data'!E213))</f>
        <v>INDAR SINGH</v>
      </c>
      <c r="F216" s="27" t="str">
        <f>IF('Paste SD Data'!G213="","",UPPER('Paste SD Data'!G213))</f>
        <v>SOHAN SINGH</v>
      </c>
      <c r="G216" s="27" t="str">
        <f>IF('Paste SD Data'!H213="","",UPPER('Paste SD Data'!H213))</f>
        <v>PREM KANWAR</v>
      </c>
      <c r="H216" s="26" t="str">
        <f>IF('Paste SD Data'!I213="","",IF('Paste SD Data'!I213="M","BOY","GIRL"))</f>
        <v>BOY</v>
      </c>
      <c r="I216" s="28">
        <f>IF('Paste SD Data'!J213="","",'Paste SD Data'!J213)</f>
        <v>39488</v>
      </c>
      <c r="J216" s="34">
        <f t="shared" si="3"/>
        <v>642</v>
      </c>
      <c r="K216" s="29" t="str">
        <f>IF('Paste SD Data'!O213="","",'Paste SD Data'!O213)</f>
        <v>GEN</v>
      </c>
    </row>
    <row r="217" spans="1:11" ht="30" customHeight="1" x14ac:dyDescent="0.25">
      <c r="A217" s="25">
        <f>IF(Table1[[#This Row],[Name of Student]]="","",ROWS($A$1:A213))</f>
        <v>213</v>
      </c>
      <c r="B217" s="26">
        <f>IF('Paste SD Data'!A214="","",'Paste SD Data'!A214)</f>
        <v>9</v>
      </c>
      <c r="C217" s="26" t="str">
        <f>IF('Paste SD Data'!B214="","",'Paste SD Data'!B214)</f>
        <v>A</v>
      </c>
      <c r="D217" s="26">
        <f>IF('Paste SD Data'!C214="","",'Paste SD Data'!C214)</f>
        <v>13743</v>
      </c>
      <c r="E217" s="27" t="str">
        <f>IF('Paste SD Data'!E214="","",UPPER('Paste SD Data'!E214))</f>
        <v>ISHWAR SINGH</v>
      </c>
      <c r="F217" s="27" t="str">
        <f>IF('Paste SD Data'!G214="","",UPPER('Paste SD Data'!G214))</f>
        <v>UDAY SINGH</v>
      </c>
      <c r="G217" s="27" t="str">
        <f>IF('Paste SD Data'!H214="","",UPPER('Paste SD Data'!H214))</f>
        <v>BHANWARI DEVI</v>
      </c>
      <c r="H217" s="26" t="str">
        <f>IF('Paste SD Data'!I214="","",IF('Paste SD Data'!I214="M","BOY","GIRL"))</f>
        <v>BOY</v>
      </c>
      <c r="I217" s="28">
        <f>IF('Paste SD Data'!J214="","",'Paste SD Data'!J214)</f>
        <v>39425</v>
      </c>
      <c r="J217" s="34">
        <f t="shared" si="3"/>
        <v>643</v>
      </c>
      <c r="K217" s="29" t="str">
        <f>IF('Paste SD Data'!O214="","",'Paste SD Data'!O214)</f>
        <v>OBC</v>
      </c>
    </row>
    <row r="218" spans="1:11" ht="30" customHeight="1" x14ac:dyDescent="0.25">
      <c r="A218" s="25">
        <f>IF(Table1[[#This Row],[Name of Student]]="","",ROWS($A$1:A214))</f>
        <v>214</v>
      </c>
      <c r="B218" s="26">
        <f>IF('Paste SD Data'!A215="","",'Paste SD Data'!A215)</f>
        <v>9</v>
      </c>
      <c r="C218" s="26" t="str">
        <f>IF('Paste SD Data'!B215="","",'Paste SD Data'!B215)</f>
        <v>A</v>
      </c>
      <c r="D218" s="26">
        <f>IF('Paste SD Data'!C215="","",'Paste SD Data'!C215)</f>
        <v>13793</v>
      </c>
      <c r="E218" s="27" t="str">
        <f>IF('Paste SD Data'!E215="","",UPPER('Paste SD Data'!E215))</f>
        <v>JAGDISH SINGH</v>
      </c>
      <c r="F218" s="27" t="str">
        <f>IF('Paste SD Data'!G215="","",UPPER('Paste SD Data'!G215))</f>
        <v>GOPAL SINGH</v>
      </c>
      <c r="G218" s="27" t="str">
        <f>IF('Paste SD Data'!H215="","",UPPER('Paste SD Data'!H215))</f>
        <v>MEERA DEVI</v>
      </c>
      <c r="H218" s="26" t="str">
        <f>IF('Paste SD Data'!I215="","",IF('Paste SD Data'!I215="M","BOY","GIRL"))</f>
        <v>BOY</v>
      </c>
      <c r="I218" s="28">
        <f>IF('Paste SD Data'!J215="","",'Paste SD Data'!J215)</f>
        <v>38845</v>
      </c>
      <c r="J218" s="34">
        <f t="shared" si="3"/>
        <v>644</v>
      </c>
      <c r="K218" s="29" t="str">
        <f>IF('Paste SD Data'!O215="","",'Paste SD Data'!O215)</f>
        <v>OBC</v>
      </c>
    </row>
    <row r="219" spans="1:11" ht="30" customHeight="1" x14ac:dyDescent="0.25">
      <c r="A219" s="25">
        <f>IF(Table1[[#This Row],[Name of Student]]="","",ROWS($A$1:A215))</f>
        <v>215</v>
      </c>
      <c r="B219" s="26">
        <f>IF('Paste SD Data'!A216="","",'Paste SD Data'!A216)</f>
        <v>9</v>
      </c>
      <c r="C219" s="26" t="str">
        <f>IF('Paste SD Data'!B216="","",'Paste SD Data'!B216)</f>
        <v>A</v>
      </c>
      <c r="D219" s="26">
        <f>IF('Paste SD Data'!C216="","",'Paste SD Data'!C216)</f>
        <v>12446</v>
      </c>
      <c r="E219" s="27" t="str">
        <f>IF('Paste SD Data'!E216="","",UPPER('Paste SD Data'!E216))</f>
        <v>JAI SINGH SOLANKI</v>
      </c>
      <c r="F219" s="27" t="str">
        <f>IF('Paste SD Data'!G216="","",UPPER('Paste SD Data'!G216))</f>
        <v>CHAIN SINGH SOLANKI</v>
      </c>
      <c r="G219" s="27" t="str">
        <f>IF('Paste SD Data'!H216="","",UPPER('Paste SD Data'!H216))</f>
        <v>CHANDRAKANTA</v>
      </c>
      <c r="H219" s="26" t="str">
        <f>IF('Paste SD Data'!I216="","",IF('Paste SD Data'!I216="M","BOY","GIRL"))</f>
        <v>BOY</v>
      </c>
      <c r="I219" s="28">
        <f>IF('Paste SD Data'!J216="","",'Paste SD Data'!J216)</f>
        <v>38760</v>
      </c>
      <c r="J219" s="34">
        <f t="shared" si="3"/>
        <v>645</v>
      </c>
      <c r="K219" s="29" t="str">
        <f>IF('Paste SD Data'!O216="","",'Paste SD Data'!O216)</f>
        <v>OBC</v>
      </c>
    </row>
    <row r="220" spans="1:11" ht="30" customHeight="1" x14ac:dyDescent="0.25">
      <c r="A220" s="25">
        <f>IF(Table1[[#This Row],[Name of Student]]="","",ROWS($A$1:A216))</f>
        <v>216</v>
      </c>
      <c r="B220" s="26">
        <f>IF('Paste SD Data'!A217="","",'Paste SD Data'!A217)</f>
        <v>9</v>
      </c>
      <c r="C220" s="26" t="str">
        <f>IF('Paste SD Data'!B217="","",'Paste SD Data'!B217)</f>
        <v>A</v>
      </c>
      <c r="D220" s="26">
        <f>IF('Paste SD Data'!C217="","",'Paste SD Data'!C217)</f>
        <v>13706</v>
      </c>
      <c r="E220" s="27" t="str">
        <f>IF('Paste SD Data'!E217="","",UPPER('Paste SD Data'!E217))</f>
        <v>JASHWANT REGAR</v>
      </c>
      <c r="F220" s="27" t="str">
        <f>IF('Paste SD Data'!G217="","",UPPER('Paste SD Data'!G217))</f>
        <v>RATAN LAL REGAR</v>
      </c>
      <c r="G220" s="27" t="str">
        <f>IF('Paste SD Data'!H217="","",UPPER('Paste SD Data'!H217))</f>
        <v>SHANTA DEVI</v>
      </c>
      <c r="H220" s="26" t="str">
        <f>IF('Paste SD Data'!I217="","",IF('Paste SD Data'!I217="M","BOY","GIRL"))</f>
        <v>BOY</v>
      </c>
      <c r="I220" s="28">
        <f>IF('Paste SD Data'!J217="","",'Paste SD Data'!J217)</f>
        <v>39329</v>
      </c>
      <c r="J220" s="34">
        <f t="shared" si="3"/>
        <v>646</v>
      </c>
      <c r="K220" s="29" t="str">
        <f>IF('Paste SD Data'!O217="","",'Paste SD Data'!O217)</f>
        <v>SC</v>
      </c>
    </row>
    <row r="221" spans="1:11" ht="30" customHeight="1" x14ac:dyDescent="0.25">
      <c r="A221" s="25">
        <f>IF(Table1[[#This Row],[Name of Student]]="","",ROWS($A$1:A217))</f>
        <v>217</v>
      </c>
      <c r="B221" s="26">
        <f>IF('Paste SD Data'!A218="","",'Paste SD Data'!A218)</f>
        <v>9</v>
      </c>
      <c r="C221" s="26" t="str">
        <f>IF('Paste SD Data'!B218="","",'Paste SD Data'!B218)</f>
        <v>A</v>
      </c>
      <c r="D221" s="26">
        <f>IF('Paste SD Data'!C218="","",'Paste SD Data'!C218)</f>
        <v>13857</v>
      </c>
      <c r="E221" s="27" t="str">
        <f>IF('Paste SD Data'!E218="","",UPPER('Paste SD Data'!E218))</f>
        <v>JASWANT LAL SALVI</v>
      </c>
      <c r="F221" s="27" t="str">
        <f>IF('Paste SD Data'!G218="","",UPPER('Paste SD Data'!G218))</f>
        <v>BHADA RAM</v>
      </c>
      <c r="G221" s="27" t="str">
        <f>IF('Paste SD Data'!H218="","",UPPER('Paste SD Data'!H218))</f>
        <v>CHAINI BAI</v>
      </c>
      <c r="H221" s="26" t="str">
        <f>IF('Paste SD Data'!I218="","",IF('Paste SD Data'!I218="M","BOY","GIRL"))</f>
        <v>BOY</v>
      </c>
      <c r="I221" s="28">
        <f>IF('Paste SD Data'!J218="","",'Paste SD Data'!J218)</f>
        <v>38422</v>
      </c>
      <c r="J221" s="34">
        <f t="shared" si="3"/>
        <v>647</v>
      </c>
      <c r="K221" s="29" t="str">
        <f>IF('Paste SD Data'!O218="","",'Paste SD Data'!O218)</f>
        <v>SC</v>
      </c>
    </row>
    <row r="222" spans="1:11" ht="30" customHeight="1" x14ac:dyDescent="0.25">
      <c r="A222" s="25">
        <f>IF(Table1[[#This Row],[Name of Student]]="","",ROWS($A$1:A218))</f>
        <v>218</v>
      </c>
      <c r="B222" s="26">
        <f>IF('Paste SD Data'!A219="","",'Paste SD Data'!A219)</f>
        <v>9</v>
      </c>
      <c r="C222" s="26" t="str">
        <f>IF('Paste SD Data'!B219="","",'Paste SD Data'!B219)</f>
        <v>A</v>
      </c>
      <c r="D222" s="26">
        <f>IF('Paste SD Data'!C219="","",'Paste SD Data'!C219)</f>
        <v>13762</v>
      </c>
      <c r="E222" s="27" t="str">
        <f>IF('Paste SD Data'!E219="","",UPPER('Paste SD Data'!E219))</f>
        <v>JASWANT SINGH</v>
      </c>
      <c r="F222" s="27" t="str">
        <f>IF('Paste SD Data'!G219="","",UPPER('Paste SD Data'!G219))</f>
        <v>GOPAL SINGH</v>
      </c>
      <c r="G222" s="27" t="str">
        <f>IF('Paste SD Data'!H219="","",UPPER('Paste SD Data'!H219))</f>
        <v>TARA DEVI</v>
      </c>
      <c r="H222" s="26" t="str">
        <f>IF('Paste SD Data'!I219="","",IF('Paste SD Data'!I219="M","BOY","GIRL"))</f>
        <v>BOY</v>
      </c>
      <c r="I222" s="28">
        <f>IF('Paste SD Data'!J219="","",'Paste SD Data'!J219)</f>
        <v>40265</v>
      </c>
      <c r="J222" s="34">
        <f t="shared" si="3"/>
        <v>648</v>
      </c>
      <c r="K222" s="29" t="str">
        <f>IF('Paste SD Data'!O219="","",'Paste SD Data'!O219)</f>
        <v>OBC</v>
      </c>
    </row>
    <row r="223" spans="1:11" ht="30" customHeight="1" x14ac:dyDescent="0.25">
      <c r="A223" s="25">
        <f>IF(Table1[[#This Row],[Name of Student]]="","",ROWS($A$1:A219))</f>
        <v>219</v>
      </c>
      <c r="B223" s="26">
        <f>IF('Paste SD Data'!A220="","",'Paste SD Data'!A220)</f>
        <v>9</v>
      </c>
      <c r="C223" s="26" t="str">
        <f>IF('Paste SD Data'!B220="","",'Paste SD Data'!B220)</f>
        <v>A</v>
      </c>
      <c r="D223" s="26">
        <f>IF('Paste SD Data'!C220="","",'Paste SD Data'!C220)</f>
        <v>13746</v>
      </c>
      <c r="E223" s="27" t="str">
        <f>IF('Paste SD Data'!E220="","",UPPER('Paste SD Data'!E220))</f>
        <v>JITENDRA NATH</v>
      </c>
      <c r="F223" s="27" t="str">
        <f>IF('Paste SD Data'!G220="","",UPPER('Paste SD Data'!G220))</f>
        <v>LADU NATH</v>
      </c>
      <c r="G223" s="27" t="str">
        <f>IF('Paste SD Data'!H220="","",UPPER('Paste SD Data'!H220))</f>
        <v>PYARI DEVI</v>
      </c>
      <c r="H223" s="26" t="str">
        <f>IF('Paste SD Data'!I220="","",IF('Paste SD Data'!I220="M","BOY","GIRL"))</f>
        <v>BOY</v>
      </c>
      <c r="I223" s="28">
        <f>IF('Paste SD Data'!J220="","",'Paste SD Data'!J220)</f>
        <v>39431</v>
      </c>
      <c r="J223" s="34">
        <f t="shared" si="3"/>
        <v>649</v>
      </c>
      <c r="K223" s="29" t="str">
        <f>IF('Paste SD Data'!O220="","",'Paste SD Data'!O220)</f>
        <v>OBC</v>
      </c>
    </row>
    <row r="224" spans="1:11" ht="30" customHeight="1" x14ac:dyDescent="0.25">
      <c r="A224" s="25">
        <f>IF(Table1[[#This Row],[Name of Student]]="","",ROWS($A$1:A220))</f>
        <v>220</v>
      </c>
      <c r="B224" s="26">
        <f>IF('Paste SD Data'!A221="","",'Paste SD Data'!A221)</f>
        <v>9</v>
      </c>
      <c r="C224" s="26" t="str">
        <f>IF('Paste SD Data'!B221="","",'Paste SD Data'!B221)</f>
        <v>A</v>
      </c>
      <c r="D224" s="26">
        <f>IF('Paste SD Data'!C221="","",'Paste SD Data'!C221)</f>
        <v>13720</v>
      </c>
      <c r="E224" s="27" t="str">
        <f>IF('Paste SD Data'!E221="","",UPPER('Paste SD Data'!E221))</f>
        <v>KAILASH DAS</v>
      </c>
      <c r="F224" s="27" t="str">
        <f>IF('Paste SD Data'!G221="","",UPPER('Paste SD Data'!G221))</f>
        <v>ARJUN DAS</v>
      </c>
      <c r="G224" s="27" t="str">
        <f>IF('Paste SD Data'!H221="","",UPPER('Paste SD Data'!H221))</f>
        <v>MANJU DEVI</v>
      </c>
      <c r="H224" s="26" t="str">
        <f>IF('Paste SD Data'!I221="","",IF('Paste SD Data'!I221="M","BOY","GIRL"))</f>
        <v>BOY</v>
      </c>
      <c r="I224" s="28">
        <f>IF('Paste SD Data'!J221="","",'Paste SD Data'!J221)</f>
        <v>38977</v>
      </c>
      <c r="J224" s="34">
        <f t="shared" si="3"/>
        <v>650</v>
      </c>
      <c r="K224" s="29" t="str">
        <f>IF('Paste SD Data'!O221="","",'Paste SD Data'!O221)</f>
        <v>OBC</v>
      </c>
    </row>
    <row r="225" spans="1:11" ht="30" customHeight="1" x14ac:dyDescent="0.25">
      <c r="A225" s="25">
        <f>IF(Table1[[#This Row],[Name of Student]]="","",ROWS($A$1:A221))</f>
        <v>221</v>
      </c>
      <c r="B225" s="26">
        <f>IF('Paste SD Data'!A222="","",'Paste SD Data'!A222)</f>
        <v>9</v>
      </c>
      <c r="C225" s="26" t="str">
        <f>IF('Paste SD Data'!B222="","",'Paste SD Data'!B222)</f>
        <v>A</v>
      </c>
      <c r="D225" s="26">
        <f>IF('Paste SD Data'!C222="","",'Paste SD Data'!C222)</f>
        <v>13928</v>
      </c>
      <c r="E225" s="27" t="str">
        <f>IF('Paste SD Data'!E222="","",UPPER('Paste SD Data'!E222))</f>
        <v>KAILASH SINGH</v>
      </c>
      <c r="F225" s="27" t="str">
        <f>IF('Paste SD Data'!G222="","",UPPER('Paste SD Data'!G222))</f>
        <v>VARAD SINGH</v>
      </c>
      <c r="G225" s="27" t="str">
        <f>IF('Paste SD Data'!H222="","",UPPER('Paste SD Data'!H222))</f>
        <v>SANTOSH KANWAR</v>
      </c>
      <c r="H225" s="26" t="str">
        <f>IF('Paste SD Data'!I222="","",IF('Paste SD Data'!I222="M","BOY","GIRL"))</f>
        <v>BOY</v>
      </c>
      <c r="I225" s="28">
        <f>IF('Paste SD Data'!J222="","",'Paste SD Data'!J222)</f>
        <v>39248</v>
      </c>
      <c r="J225" s="34">
        <f t="shared" si="3"/>
        <v>651</v>
      </c>
      <c r="K225" s="29" t="str">
        <f>IF('Paste SD Data'!O222="","",'Paste SD Data'!O222)</f>
        <v>OBC</v>
      </c>
    </row>
    <row r="226" spans="1:11" ht="30" customHeight="1" x14ac:dyDescent="0.25">
      <c r="A226" s="25">
        <f>IF(Table1[[#This Row],[Name of Student]]="","",ROWS($A$1:A222))</f>
        <v>222</v>
      </c>
      <c r="B226" s="26">
        <f>IF('Paste SD Data'!A223="","",'Paste SD Data'!A223)</f>
        <v>9</v>
      </c>
      <c r="C226" s="26" t="str">
        <f>IF('Paste SD Data'!B223="","",'Paste SD Data'!B223)</f>
        <v>A</v>
      </c>
      <c r="D226" s="26">
        <f>IF('Paste SD Data'!C223="","",'Paste SD Data'!C223)</f>
        <v>12264</v>
      </c>
      <c r="E226" s="27" t="str">
        <f>IF('Paste SD Data'!E223="","",UPPER('Paste SD Data'!E223))</f>
        <v>KAMLESH MALI</v>
      </c>
      <c r="F226" s="27" t="str">
        <f>IF('Paste SD Data'!G223="","",UPPER('Paste SD Data'!G223))</f>
        <v>KAILASH MALI</v>
      </c>
      <c r="G226" s="27" t="str">
        <f>IF('Paste SD Data'!H223="","",UPPER('Paste SD Data'!H223))</f>
        <v>PUSHPA DEVI</v>
      </c>
      <c r="H226" s="26" t="str">
        <f>IF('Paste SD Data'!I223="","",IF('Paste SD Data'!I223="M","BOY","GIRL"))</f>
        <v>BOY</v>
      </c>
      <c r="I226" s="28">
        <f>IF('Paste SD Data'!J223="","",'Paste SD Data'!J223)</f>
        <v>39666</v>
      </c>
      <c r="J226" s="34">
        <f t="shared" si="3"/>
        <v>652</v>
      </c>
      <c r="K226" s="29" t="str">
        <f>IF('Paste SD Data'!O223="","",'Paste SD Data'!O223)</f>
        <v>OBC</v>
      </c>
    </row>
    <row r="227" spans="1:11" ht="30" customHeight="1" x14ac:dyDescent="0.25">
      <c r="A227" s="25">
        <f>IF(Table1[[#This Row],[Name of Student]]="","",ROWS($A$1:A223))</f>
        <v>223</v>
      </c>
      <c r="B227" s="26">
        <f>IF('Paste SD Data'!A224="","",'Paste SD Data'!A224)</f>
        <v>9</v>
      </c>
      <c r="C227" s="26" t="str">
        <f>IF('Paste SD Data'!B224="","",'Paste SD Data'!B224)</f>
        <v>A</v>
      </c>
      <c r="D227" s="26">
        <f>IF('Paste SD Data'!C224="","",'Paste SD Data'!C224)</f>
        <v>13938</v>
      </c>
      <c r="E227" s="27" t="str">
        <f>IF('Paste SD Data'!E224="","",UPPER('Paste SD Data'!E224))</f>
        <v>KAMLESH SINGH RAWAT</v>
      </c>
      <c r="F227" s="27" t="str">
        <f>IF('Paste SD Data'!G224="","",UPPER('Paste SD Data'!G224))</f>
        <v>RANJEET SINGH</v>
      </c>
      <c r="G227" s="27" t="str">
        <f>IF('Paste SD Data'!H224="","",UPPER('Paste SD Data'!H224))</f>
        <v>SUSHEELA DEVI</v>
      </c>
      <c r="H227" s="26" t="str">
        <f>IF('Paste SD Data'!I224="","",IF('Paste SD Data'!I224="M","BOY","GIRL"))</f>
        <v>BOY</v>
      </c>
      <c r="I227" s="28">
        <f>IF('Paste SD Data'!J224="","",'Paste SD Data'!J224)</f>
        <v>39112</v>
      </c>
      <c r="J227" s="34">
        <f t="shared" si="3"/>
        <v>653</v>
      </c>
      <c r="K227" s="29" t="str">
        <f>IF('Paste SD Data'!O224="","",'Paste SD Data'!O224)</f>
        <v>OBC</v>
      </c>
    </row>
    <row r="228" spans="1:11" ht="30" customHeight="1" x14ac:dyDescent="0.25">
      <c r="A228" s="25">
        <f>IF(Table1[[#This Row],[Name of Student]]="","",ROWS($A$1:A224))</f>
        <v>224</v>
      </c>
      <c r="B228" s="26">
        <f>IF('Paste SD Data'!A225="","",'Paste SD Data'!A225)</f>
        <v>9</v>
      </c>
      <c r="C228" s="26" t="str">
        <f>IF('Paste SD Data'!B225="","",'Paste SD Data'!B225)</f>
        <v>A</v>
      </c>
      <c r="D228" s="26">
        <f>IF('Paste SD Data'!C225="","",'Paste SD Data'!C225)</f>
        <v>13795</v>
      </c>
      <c r="E228" s="27" t="str">
        <f>IF('Paste SD Data'!E225="","",UPPER('Paste SD Data'!E225))</f>
        <v>KAMLESH VAN</v>
      </c>
      <c r="F228" s="27" t="str">
        <f>IF('Paste SD Data'!G225="","",UPPER('Paste SD Data'!G225))</f>
        <v>LAXMAN VAN</v>
      </c>
      <c r="G228" s="27" t="str">
        <f>IF('Paste SD Data'!H225="","",UPPER('Paste SD Data'!H225))</f>
        <v>BHURI DEVI</v>
      </c>
      <c r="H228" s="26" t="str">
        <f>IF('Paste SD Data'!I225="","",IF('Paste SD Data'!I225="M","BOY","GIRL"))</f>
        <v>BOY</v>
      </c>
      <c r="I228" s="28">
        <f>IF('Paste SD Data'!J225="","",'Paste SD Data'!J225)</f>
        <v>39998</v>
      </c>
      <c r="J228" s="34">
        <f t="shared" si="3"/>
        <v>654</v>
      </c>
      <c r="K228" s="29" t="str">
        <f>IF('Paste SD Data'!O225="","",'Paste SD Data'!O225)</f>
        <v>OBC</v>
      </c>
    </row>
    <row r="229" spans="1:11" ht="30" customHeight="1" x14ac:dyDescent="0.25">
      <c r="A229" s="25">
        <f>IF(Table1[[#This Row],[Name of Student]]="","",ROWS($A$1:A225))</f>
        <v>225</v>
      </c>
      <c r="B229" s="26">
        <f>IF('Paste SD Data'!A226="","",'Paste SD Data'!A226)</f>
        <v>9</v>
      </c>
      <c r="C229" s="26" t="str">
        <f>IF('Paste SD Data'!B226="","",'Paste SD Data'!B226)</f>
        <v>A</v>
      </c>
      <c r="D229" s="26">
        <f>IF('Paste SD Data'!C226="","",'Paste SD Data'!C226)</f>
        <v>13792</v>
      </c>
      <c r="E229" s="27" t="str">
        <f>IF('Paste SD Data'!E226="","",UPPER('Paste SD Data'!E226))</f>
        <v>KARTIK PURI</v>
      </c>
      <c r="F229" s="27" t="str">
        <f>IF('Paste SD Data'!G226="","",UPPER('Paste SD Data'!G226))</f>
        <v>PARAS PURI</v>
      </c>
      <c r="G229" s="27" t="str">
        <f>IF('Paste SD Data'!H226="","",UPPER('Paste SD Data'!H226))</f>
        <v>RANJANA DEVI</v>
      </c>
      <c r="H229" s="26" t="str">
        <f>IF('Paste SD Data'!I226="","",IF('Paste SD Data'!I226="M","BOY","GIRL"))</f>
        <v>BOY</v>
      </c>
      <c r="I229" s="28">
        <f>IF('Paste SD Data'!J226="","",'Paste SD Data'!J226)</f>
        <v>38783</v>
      </c>
      <c r="J229" s="34">
        <f t="shared" si="3"/>
        <v>655</v>
      </c>
      <c r="K229" s="29" t="str">
        <f>IF('Paste SD Data'!O226="","",'Paste SD Data'!O226)</f>
        <v>OBC</v>
      </c>
    </row>
    <row r="230" spans="1:11" ht="30" customHeight="1" x14ac:dyDescent="0.25">
      <c r="A230" s="25">
        <f>IF(Table1[[#This Row],[Name of Student]]="","",ROWS($A$1:A226))</f>
        <v>226</v>
      </c>
      <c r="B230" s="26">
        <f>IF('Paste SD Data'!A227="","",'Paste SD Data'!A227)</f>
        <v>9</v>
      </c>
      <c r="C230" s="26" t="str">
        <f>IF('Paste SD Data'!B227="","",'Paste SD Data'!B227)</f>
        <v>A</v>
      </c>
      <c r="D230" s="26">
        <f>IF('Paste SD Data'!C227="","",'Paste SD Data'!C227)</f>
        <v>13724</v>
      </c>
      <c r="E230" s="27" t="str">
        <f>IF('Paste SD Data'!E227="","",UPPER('Paste SD Data'!E227))</f>
        <v>KISHAN MALI</v>
      </c>
      <c r="F230" s="27" t="str">
        <f>IF('Paste SD Data'!G227="","",UPPER('Paste SD Data'!G227))</f>
        <v>DEVI LAL MALI</v>
      </c>
      <c r="G230" s="27" t="str">
        <f>IF('Paste SD Data'!H227="","",UPPER('Paste SD Data'!H227))</f>
        <v>EJI DEVI</v>
      </c>
      <c r="H230" s="26" t="str">
        <f>IF('Paste SD Data'!I227="","",IF('Paste SD Data'!I227="M","BOY","GIRL"))</f>
        <v>BOY</v>
      </c>
      <c r="I230" s="28">
        <f>IF('Paste SD Data'!J227="","",'Paste SD Data'!J227)</f>
        <v>39050</v>
      </c>
      <c r="J230" s="34">
        <f t="shared" si="3"/>
        <v>656</v>
      </c>
      <c r="K230" s="29" t="str">
        <f>IF('Paste SD Data'!O227="","",'Paste SD Data'!O227)</f>
        <v>OBC</v>
      </c>
    </row>
    <row r="231" spans="1:11" ht="30" customHeight="1" x14ac:dyDescent="0.25">
      <c r="A231" s="25">
        <f>IF(Table1[[#This Row],[Name of Student]]="","",ROWS($A$1:A227))</f>
        <v>227</v>
      </c>
      <c r="B231" s="26">
        <f>IF('Paste SD Data'!A228="","",'Paste SD Data'!A228)</f>
        <v>9</v>
      </c>
      <c r="C231" s="26" t="str">
        <f>IF('Paste SD Data'!B228="","",'Paste SD Data'!B228)</f>
        <v>A</v>
      </c>
      <c r="D231" s="26">
        <f>IF('Paste SD Data'!C228="","",'Paste SD Data'!C228)</f>
        <v>13723</v>
      </c>
      <c r="E231" s="27" t="str">
        <f>IF('Paste SD Data'!E228="","",UPPER('Paste SD Data'!E228))</f>
        <v>KRISHNAPAL SINGH CHUNDAWAT</v>
      </c>
      <c r="F231" s="27" t="str">
        <f>IF('Paste SD Data'!G228="","",UPPER('Paste SD Data'!G228))</f>
        <v>RAM SINGH CHUNDAWAT</v>
      </c>
      <c r="G231" s="27" t="str">
        <f>IF('Paste SD Data'!H228="","",UPPER('Paste SD Data'!H228))</f>
        <v>PREM KANWAR</v>
      </c>
      <c r="H231" s="26" t="str">
        <f>IF('Paste SD Data'!I228="","",IF('Paste SD Data'!I228="M","BOY","GIRL"))</f>
        <v>BOY</v>
      </c>
      <c r="I231" s="28">
        <f>IF('Paste SD Data'!J228="","",'Paste SD Data'!J228)</f>
        <v>39796</v>
      </c>
      <c r="J231" s="34">
        <f t="shared" si="3"/>
        <v>657</v>
      </c>
      <c r="K231" s="29" t="str">
        <f>IF('Paste SD Data'!O228="","",'Paste SD Data'!O228)</f>
        <v>GEN</v>
      </c>
    </row>
    <row r="232" spans="1:11" ht="30" customHeight="1" x14ac:dyDescent="0.25">
      <c r="A232" s="25">
        <f>IF(Table1[[#This Row],[Name of Student]]="","",ROWS($A$1:A228))</f>
        <v>228</v>
      </c>
      <c r="B232" s="26">
        <f>IF('Paste SD Data'!A229="","",'Paste SD Data'!A229)</f>
        <v>9</v>
      </c>
      <c r="C232" s="26" t="str">
        <f>IF('Paste SD Data'!B229="","",'Paste SD Data'!B229)</f>
        <v>A</v>
      </c>
      <c r="D232" s="26">
        <f>IF('Paste SD Data'!C229="","",'Paste SD Data'!C229)</f>
        <v>13849</v>
      </c>
      <c r="E232" s="27" t="str">
        <f>IF('Paste SD Data'!E229="","",UPPER('Paste SD Data'!E229))</f>
        <v>KULDEEP SINGH</v>
      </c>
      <c r="F232" s="27" t="str">
        <f>IF('Paste SD Data'!G229="","",UPPER('Paste SD Data'!G229))</f>
        <v>GOPAL SINGH</v>
      </c>
      <c r="G232" s="27" t="str">
        <f>IF('Paste SD Data'!H229="","",UPPER('Paste SD Data'!H229))</f>
        <v>SANTOSH DEVI</v>
      </c>
      <c r="H232" s="26" t="str">
        <f>IF('Paste SD Data'!I229="","",IF('Paste SD Data'!I229="M","BOY","GIRL"))</f>
        <v>BOY</v>
      </c>
      <c r="I232" s="28">
        <f>IF('Paste SD Data'!J229="","",'Paste SD Data'!J229)</f>
        <v>39058</v>
      </c>
      <c r="J232" s="34">
        <f t="shared" si="3"/>
        <v>658</v>
      </c>
      <c r="K232" s="29" t="str">
        <f>IF('Paste SD Data'!O229="","",'Paste SD Data'!O229)</f>
        <v>OBC</v>
      </c>
    </row>
    <row r="233" spans="1:11" ht="30" customHeight="1" x14ac:dyDescent="0.25">
      <c r="A233" s="25">
        <f>IF(Table1[[#This Row],[Name of Student]]="","",ROWS($A$1:A229))</f>
        <v>229</v>
      </c>
      <c r="B233" s="26">
        <f>IF('Paste SD Data'!A230="","",'Paste SD Data'!A230)</f>
        <v>9</v>
      </c>
      <c r="C233" s="26" t="str">
        <f>IF('Paste SD Data'!B230="","",'Paste SD Data'!B230)</f>
        <v>A</v>
      </c>
      <c r="D233" s="26">
        <f>IF('Paste SD Data'!C230="","",'Paste SD Data'!C230)</f>
        <v>13121</v>
      </c>
      <c r="E233" s="27" t="str">
        <f>IF('Paste SD Data'!E230="","",UPPER('Paste SD Data'!E230))</f>
        <v>KULDEEP SOLANKI</v>
      </c>
      <c r="F233" s="27" t="str">
        <f>IF('Paste SD Data'!G230="","",UPPER('Paste SD Data'!G230))</f>
        <v>RADHESHYAM SOLANKI</v>
      </c>
      <c r="G233" s="27" t="str">
        <f>IF('Paste SD Data'!H230="","",UPPER('Paste SD Data'!H230))</f>
        <v>SANTOSH SOLANKI</v>
      </c>
      <c r="H233" s="26" t="str">
        <f>IF('Paste SD Data'!I230="","",IF('Paste SD Data'!I230="M","BOY","GIRL"))</f>
        <v>BOY</v>
      </c>
      <c r="I233" s="28">
        <f>IF('Paste SD Data'!J230="","",'Paste SD Data'!J230)</f>
        <v>39440</v>
      </c>
      <c r="J233" s="34">
        <f t="shared" si="3"/>
        <v>659</v>
      </c>
      <c r="K233" s="29" t="str">
        <f>IF('Paste SD Data'!O230="","",'Paste SD Data'!O230)</f>
        <v>OBC</v>
      </c>
    </row>
    <row r="234" spans="1:11" ht="30" customHeight="1" x14ac:dyDescent="0.25">
      <c r="A234" s="25">
        <f>IF(Table1[[#This Row],[Name of Student]]="","",ROWS($A$1:A230))</f>
        <v>230</v>
      </c>
      <c r="B234" s="26">
        <f>IF('Paste SD Data'!A231="","",'Paste SD Data'!A231)</f>
        <v>9</v>
      </c>
      <c r="C234" s="26" t="str">
        <f>IF('Paste SD Data'!B231="","",'Paste SD Data'!B231)</f>
        <v>A</v>
      </c>
      <c r="D234" s="26">
        <f>IF('Paste SD Data'!C231="","",'Paste SD Data'!C231)</f>
        <v>13753</v>
      </c>
      <c r="E234" s="27" t="str">
        <f>IF('Paste SD Data'!E231="","",UPPER('Paste SD Data'!E231))</f>
        <v>LAKHAN SINGH</v>
      </c>
      <c r="F234" s="27" t="str">
        <f>IF('Paste SD Data'!G231="","",UPPER('Paste SD Data'!G231))</f>
        <v>KISHAN SINGH</v>
      </c>
      <c r="G234" s="27" t="str">
        <f>IF('Paste SD Data'!H231="","",UPPER('Paste SD Data'!H231))</f>
        <v>SENA DEVI</v>
      </c>
      <c r="H234" s="26" t="str">
        <f>IF('Paste SD Data'!I231="","",IF('Paste SD Data'!I231="M","BOY","GIRL"))</f>
        <v>BOY</v>
      </c>
      <c r="I234" s="28">
        <f>IF('Paste SD Data'!J231="","",'Paste SD Data'!J231)</f>
        <v>39300</v>
      </c>
      <c r="J234" s="34">
        <f t="shared" si="3"/>
        <v>660</v>
      </c>
      <c r="K234" s="29" t="str">
        <f>IF('Paste SD Data'!O231="","",'Paste SD Data'!O231)</f>
        <v>OBC</v>
      </c>
    </row>
    <row r="235" spans="1:11" ht="30" customHeight="1" x14ac:dyDescent="0.25">
      <c r="A235" s="25">
        <f>IF(Table1[[#This Row],[Name of Student]]="","",ROWS($A$1:A231))</f>
        <v>231</v>
      </c>
      <c r="B235" s="26">
        <f>IF('Paste SD Data'!A232="","",'Paste SD Data'!A232)</f>
        <v>9</v>
      </c>
      <c r="C235" s="26" t="str">
        <f>IF('Paste SD Data'!B232="","",'Paste SD Data'!B232)</f>
        <v>A</v>
      </c>
      <c r="D235" s="26">
        <f>IF('Paste SD Data'!C232="","",'Paste SD Data'!C232)</f>
        <v>13023</v>
      </c>
      <c r="E235" s="27" t="str">
        <f>IF('Paste SD Data'!E232="","",UPPER('Paste SD Data'!E232))</f>
        <v>LAL SINGH</v>
      </c>
      <c r="F235" s="27" t="str">
        <f>IF('Paste SD Data'!G232="","",UPPER('Paste SD Data'!G232))</f>
        <v>KUSHAL SINGH</v>
      </c>
      <c r="G235" s="27" t="str">
        <f>IF('Paste SD Data'!H232="","",UPPER('Paste SD Data'!H232))</f>
        <v>BHANWARI DEVI</v>
      </c>
      <c r="H235" s="26" t="str">
        <f>IF('Paste SD Data'!I232="","",IF('Paste SD Data'!I232="M","BOY","GIRL"))</f>
        <v>BOY</v>
      </c>
      <c r="I235" s="28">
        <f>IF('Paste SD Data'!J232="","",'Paste SD Data'!J232)</f>
        <v>39634</v>
      </c>
      <c r="J235" s="34">
        <f t="shared" si="3"/>
        <v>661</v>
      </c>
      <c r="K235" s="29" t="str">
        <f>IF('Paste SD Data'!O232="","",'Paste SD Data'!O232)</f>
        <v>OBC</v>
      </c>
    </row>
    <row r="236" spans="1:11" ht="30" customHeight="1" x14ac:dyDescent="0.25">
      <c r="A236" s="25">
        <f>IF(Table1[[#This Row],[Name of Student]]="","",ROWS($A$1:A232))</f>
        <v>232</v>
      </c>
      <c r="B236" s="26">
        <f>IF('Paste SD Data'!A233="","",'Paste SD Data'!A233)</f>
        <v>9</v>
      </c>
      <c r="C236" s="26" t="str">
        <f>IF('Paste SD Data'!B233="","",'Paste SD Data'!B233)</f>
        <v>A</v>
      </c>
      <c r="D236" s="26">
        <f>IF('Paste SD Data'!C233="","",'Paste SD Data'!C233)</f>
        <v>13924</v>
      </c>
      <c r="E236" s="27" t="str">
        <f>IF('Paste SD Data'!E233="","",UPPER('Paste SD Data'!E233))</f>
        <v>LALIT KALAL</v>
      </c>
      <c r="F236" s="27" t="str">
        <f>IF('Paste SD Data'!G233="","",UPPER('Paste SD Data'!G233))</f>
        <v>SHIVLAL KALAL</v>
      </c>
      <c r="G236" s="27" t="str">
        <f>IF('Paste SD Data'!H233="","",UPPER('Paste SD Data'!H233))</f>
        <v>KANKU DEVI</v>
      </c>
      <c r="H236" s="26" t="str">
        <f>IF('Paste SD Data'!I233="","",IF('Paste SD Data'!I233="M","BOY","GIRL"))</f>
        <v>BOY</v>
      </c>
      <c r="I236" s="28">
        <f>IF('Paste SD Data'!J233="","",'Paste SD Data'!J233)</f>
        <v>38862</v>
      </c>
      <c r="J236" s="34">
        <f t="shared" si="3"/>
        <v>662</v>
      </c>
      <c r="K236" s="29" t="str">
        <f>IF('Paste SD Data'!O233="","",'Paste SD Data'!O233)</f>
        <v>OBC</v>
      </c>
    </row>
    <row r="237" spans="1:11" ht="30" customHeight="1" x14ac:dyDescent="0.25">
      <c r="A237" s="25">
        <f>IF(Table1[[#This Row],[Name of Student]]="","",ROWS($A$1:A233))</f>
        <v>233</v>
      </c>
      <c r="B237" s="26">
        <f>IF('Paste SD Data'!A234="","",'Paste SD Data'!A234)</f>
        <v>9</v>
      </c>
      <c r="C237" s="26" t="str">
        <f>IF('Paste SD Data'!B234="","",'Paste SD Data'!B234)</f>
        <v>A</v>
      </c>
      <c r="D237" s="26">
        <f>IF('Paste SD Data'!C234="","",'Paste SD Data'!C234)</f>
        <v>13766</v>
      </c>
      <c r="E237" s="27" t="str">
        <f>IF('Paste SD Data'!E234="","",UPPER('Paste SD Data'!E234))</f>
        <v>LALIT KALAL</v>
      </c>
      <c r="F237" s="27" t="str">
        <f>IF('Paste SD Data'!G234="","",UPPER('Paste SD Data'!G234))</f>
        <v>YASHWANT KALAL</v>
      </c>
      <c r="G237" s="27" t="str">
        <f>IF('Paste SD Data'!H234="","",UPPER('Paste SD Data'!H234))</f>
        <v>REKHA DEVI</v>
      </c>
      <c r="H237" s="26" t="str">
        <f>IF('Paste SD Data'!I234="","",IF('Paste SD Data'!I234="M","BOY","GIRL"))</f>
        <v>BOY</v>
      </c>
      <c r="I237" s="28">
        <f>IF('Paste SD Data'!J234="","",'Paste SD Data'!J234)</f>
        <v>39463</v>
      </c>
      <c r="J237" s="34">
        <f t="shared" si="3"/>
        <v>663</v>
      </c>
      <c r="K237" s="29" t="str">
        <f>IF('Paste SD Data'!O234="","",'Paste SD Data'!O234)</f>
        <v>OBC</v>
      </c>
    </row>
    <row r="238" spans="1:11" ht="30" customHeight="1" x14ac:dyDescent="0.25">
      <c r="A238" s="25">
        <f>IF(Table1[[#This Row],[Name of Student]]="","",ROWS($A$1:A234))</f>
        <v>234</v>
      </c>
      <c r="B238" s="26">
        <f>IF('Paste SD Data'!A235="","",'Paste SD Data'!A235)</f>
        <v>9</v>
      </c>
      <c r="C238" s="26" t="str">
        <f>IF('Paste SD Data'!B235="","",'Paste SD Data'!B235)</f>
        <v>A</v>
      </c>
      <c r="D238" s="26">
        <f>IF('Paste SD Data'!C235="","",'Paste SD Data'!C235)</f>
        <v>13904</v>
      </c>
      <c r="E238" s="27" t="str">
        <f>IF('Paste SD Data'!E235="","",UPPER('Paste SD Data'!E235))</f>
        <v>LAXMAN LAL</v>
      </c>
      <c r="F238" s="27" t="str">
        <f>IF('Paste SD Data'!G235="","",UPPER('Paste SD Data'!G235))</f>
        <v>PURANMAL</v>
      </c>
      <c r="G238" s="27" t="str">
        <f>IF('Paste SD Data'!H235="","",UPPER('Paste SD Data'!H235))</f>
        <v>ROSHANI DEVI</v>
      </c>
      <c r="H238" s="26" t="str">
        <f>IF('Paste SD Data'!I235="","",IF('Paste SD Data'!I235="M","BOY","GIRL"))</f>
        <v>BOY</v>
      </c>
      <c r="I238" s="28">
        <f>IF('Paste SD Data'!J235="","",'Paste SD Data'!J235)</f>
        <v>38916</v>
      </c>
      <c r="J238" s="34">
        <f t="shared" si="3"/>
        <v>664</v>
      </c>
      <c r="K238" s="29" t="str">
        <f>IF('Paste SD Data'!O235="","",'Paste SD Data'!O235)</f>
        <v>OBC</v>
      </c>
    </row>
    <row r="239" spans="1:11" ht="30" customHeight="1" x14ac:dyDescent="0.25">
      <c r="A239" s="25">
        <f>IF(Table1[[#This Row],[Name of Student]]="","",ROWS($A$1:A235))</f>
        <v>235</v>
      </c>
      <c r="B239" s="26">
        <f>IF('Paste SD Data'!A236="","",'Paste SD Data'!A236)</f>
        <v>9</v>
      </c>
      <c r="C239" s="26" t="str">
        <f>IF('Paste SD Data'!B236="","",'Paste SD Data'!B236)</f>
        <v>A</v>
      </c>
      <c r="D239" s="26">
        <f>IF('Paste SD Data'!C236="","",'Paste SD Data'!C236)</f>
        <v>13700</v>
      </c>
      <c r="E239" s="27" t="str">
        <f>IF('Paste SD Data'!E236="","",UPPER('Paste SD Data'!E236))</f>
        <v>LOKESH BAROLIYA</v>
      </c>
      <c r="F239" s="27" t="str">
        <f>IF('Paste SD Data'!G236="","",UPPER('Paste SD Data'!G236))</f>
        <v>SHANKAR LAL BAROLIYA</v>
      </c>
      <c r="G239" s="27" t="str">
        <f>IF('Paste SD Data'!H236="","",UPPER('Paste SD Data'!H236))</f>
        <v>INDRA DEVI</v>
      </c>
      <c r="H239" s="26" t="str">
        <f>IF('Paste SD Data'!I236="","",IF('Paste SD Data'!I236="M","BOY","GIRL"))</f>
        <v>BOY</v>
      </c>
      <c r="I239" s="28">
        <f>IF('Paste SD Data'!J236="","",'Paste SD Data'!J236)</f>
        <v>39745</v>
      </c>
      <c r="J239" s="34">
        <f t="shared" si="3"/>
        <v>665</v>
      </c>
      <c r="K239" s="29" t="str">
        <f>IF('Paste SD Data'!O236="","",'Paste SD Data'!O236)</f>
        <v>SC</v>
      </c>
    </row>
    <row r="240" spans="1:11" ht="30" customHeight="1" x14ac:dyDescent="0.25">
      <c r="A240" s="25">
        <f>IF(Table1[[#This Row],[Name of Student]]="","",ROWS($A$1:A236))</f>
        <v>236</v>
      </c>
      <c r="B240" s="26">
        <f>IF('Paste SD Data'!A237="","",'Paste SD Data'!A237)</f>
        <v>9</v>
      </c>
      <c r="C240" s="26" t="str">
        <f>IF('Paste SD Data'!B237="","",'Paste SD Data'!B237)</f>
        <v>A</v>
      </c>
      <c r="D240" s="26">
        <f>IF('Paste SD Data'!C237="","",'Paste SD Data'!C237)</f>
        <v>13703</v>
      </c>
      <c r="E240" s="27" t="str">
        <f>IF('Paste SD Data'!E237="","",UPPER('Paste SD Data'!E237))</f>
        <v>LOKESH KALAL</v>
      </c>
      <c r="F240" s="27" t="str">
        <f>IF('Paste SD Data'!G237="","",UPPER('Paste SD Data'!G237))</f>
        <v>DALCHAND KALAL</v>
      </c>
      <c r="G240" s="27" t="str">
        <f>IF('Paste SD Data'!H237="","",UPPER('Paste SD Data'!H237))</f>
        <v>DEVI</v>
      </c>
      <c r="H240" s="26" t="str">
        <f>IF('Paste SD Data'!I237="","",IF('Paste SD Data'!I237="M","BOY","GIRL"))</f>
        <v>BOY</v>
      </c>
      <c r="I240" s="28">
        <f>IF('Paste SD Data'!J237="","",'Paste SD Data'!J237)</f>
        <v>39188</v>
      </c>
      <c r="J240" s="34">
        <f t="shared" si="3"/>
        <v>666</v>
      </c>
      <c r="K240" s="29" t="str">
        <f>IF('Paste SD Data'!O237="","",'Paste SD Data'!O237)</f>
        <v>OBC</v>
      </c>
    </row>
    <row r="241" spans="1:11" ht="30" customHeight="1" x14ac:dyDescent="0.25">
      <c r="A241" s="25">
        <f>IF(Table1[[#This Row],[Name of Student]]="","",ROWS($A$1:A237))</f>
        <v>237</v>
      </c>
      <c r="B241" s="26">
        <f>IF('Paste SD Data'!A238="","",'Paste SD Data'!A238)</f>
        <v>9</v>
      </c>
      <c r="C241" s="26" t="str">
        <f>IF('Paste SD Data'!B238="","",'Paste SD Data'!B238)</f>
        <v>A</v>
      </c>
      <c r="D241" s="26">
        <f>IF('Paste SD Data'!C238="","",'Paste SD Data'!C238)</f>
        <v>13850</v>
      </c>
      <c r="E241" s="27" t="str">
        <f>IF('Paste SD Data'!E238="","",UPPER('Paste SD Data'!E238))</f>
        <v>LOKESH KUMAR</v>
      </c>
      <c r="F241" s="27" t="str">
        <f>IF('Paste SD Data'!G238="","",UPPER('Paste SD Data'!G238))</f>
        <v>DEVI LAL</v>
      </c>
      <c r="G241" s="27" t="str">
        <f>IF('Paste SD Data'!H238="","",UPPER('Paste SD Data'!H238))</f>
        <v>GOPI DEVI</v>
      </c>
      <c r="H241" s="26" t="str">
        <f>IF('Paste SD Data'!I238="","",IF('Paste SD Data'!I238="M","BOY","GIRL"))</f>
        <v>BOY</v>
      </c>
      <c r="I241" s="28">
        <f>IF('Paste SD Data'!J238="","",'Paste SD Data'!J238)</f>
        <v>39141</v>
      </c>
      <c r="J241" s="34">
        <f t="shared" si="3"/>
        <v>667</v>
      </c>
      <c r="K241" s="29" t="str">
        <f>IF('Paste SD Data'!O238="","",'Paste SD Data'!O238)</f>
        <v>OBC</v>
      </c>
    </row>
    <row r="242" spans="1:11" ht="30" customHeight="1" x14ac:dyDescent="0.25">
      <c r="A242" s="25">
        <f>IF(Table1[[#This Row],[Name of Student]]="","",ROWS($A$1:A238))</f>
        <v>238</v>
      </c>
      <c r="B242" s="26">
        <f>IF('Paste SD Data'!A239="","",'Paste SD Data'!A239)</f>
        <v>9</v>
      </c>
      <c r="C242" s="26" t="str">
        <f>IF('Paste SD Data'!B239="","",'Paste SD Data'!B239)</f>
        <v>A</v>
      </c>
      <c r="D242" s="26">
        <f>IF('Paste SD Data'!C239="","",'Paste SD Data'!C239)</f>
        <v>13840</v>
      </c>
      <c r="E242" s="27" t="str">
        <f>IF('Paste SD Data'!E239="","",UPPER('Paste SD Data'!E239))</f>
        <v>LOKESH KUMAR</v>
      </c>
      <c r="F242" s="27" t="str">
        <f>IF('Paste SD Data'!G239="","",UPPER('Paste SD Data'!G239))</f>
        <v>GOKUL RAM</v>
      </c>
      <c r="G242" s="27" t="str">
        <f>IF('Paste SD Data'!H239="","",UPPER('Paste SD Data'!H239))</f>
        <v>LILA DEVI</v>
      </c>
      <c r="H242" s="26" t="str">
        <f>IF('Paste SD Data'!I239="","",IF('Paste SD Data'!I239="M","BOY","GIRL"))</f>
        <v>BOY</v>
      </c>
      <c r="I242" s="28">
        <f>IF('Paste SD Data'!J239="","",'Paste SD Data'!J239)</f>
        <v>38665</v>
      </c>
      <c r="J242" s="34">
        <f t="shared" si="3"/>
        <v>668</v>
      </c>
      <c r="K242" s="29" t="str">
        <f>IF('Paste SD Data'!O239="","",'Paste SD Data'!O239)</f>
        <v>SC</v>
      </c>
    </row>
    <row r="243" spans="1:11" ht="30" customHeight="1" x14ac:dyDescent="0.25">
      <c r="A243" s="25">
        <f>IF(Table1[[#This Row],[Name of Student]]="","",ROWS($A$1:A239))</f>
        <v>239</v>
      </c>
      <c r="B243" s="26">
        <f>IF('Paste SD Data'!A240="","",'Paste SD Data'!A240)</f>
        <v>9</v>
      </c>
      <c r="C243" s="26" t="str">
        <f>IF('Paste SD Data'!B240="","",'Paste SD Data'!B240)</f>
        <v>A</v>
      </c>
      <c r="D243" s="26">
        <f>IF('Paste SD Data'!C240="","",'Paste SD Data'!C240)</f>
        <v>13852</v>
      </c>
      <c r="E243" s="27" t="str">
        <f>IF('Paste SD Data'!E240="","",UPPER('Paste SD Data'!E240))</f>
        <v>LOKESH KUMAR GURJAR</v>
      </c>
      <c r="F243" s="27" t="str">
        <f>IF('Paste SD Data'!G240="","",UPPER('Paste SD Data'!G240))</f>
        <v>DHARM CHAND GURJAR</v>
      </c>
      <c r="G243" s="27" t="str">
        <f>IF('Paste SD Data'!H240="","",UPPER('Paste SD Data'!H240))</f>
        <v>SITA DEVI</v>
      </c>
      <c r="H243" s="26" t="str">
        <f>IF('Paste SD Data'!I240="","",IF('Paste SD Data'!I240="M","BOY","GIRL"))</f>
        <v>BOY</v>
      </c>
      <c r="I243" s="28">
        <f>IF('Paste SD Data'!J240="","",'Paste SD Data'!J240)</f>
        <v>39565</v>
      </c>
      <c r="J243" s="34">
        <f t="shared" si="3"/>
        <v>669</v>
      </c>
      <c r="K243" s="29" t="str">
        <f>IF('Paste SD Data'!O240="","",'Paste SD Data'!O240)</f>
        <v>SBC</v>
      </c>
    </row>
    <row r="244" spans="1:11" ht="30" customHeight="1" x14ac:dyDescent="0.25">
      <c r="A244" s="25">
        <f>IF(Table1[[#This Row],[Name of Student]]="","",ROWS($A$1:A240))</f>
        <v>240</v>
      </c>
      <c r="B244" s="26">
        <f>IF('Paste SD Data'!A241="","",'Paste SD Data'!A241)</f>
        <v>9</v>
      </c>
      <c r="C244" s="26" t="str">
        <f>IF('Paste SD Data'!B241="","",'Paste SD Data'!B241)</f>
        <v>B</v>
      </c>
      <c r="D244" s="26">
        <f>IF('Paste SD Data'!C241="","",'Paste SD Data'!C241)</f>
        <v>12331</v>
      </c>
      <c r="E244" s="27" t="str">
        <f>IF('Paste SD Data'!E241="","",UPPER('Paste SD Data'!E241))</f>
        <v>AFTAB KHAN</v>
      </c>
      <c r="F244" s="27" t="str">
        <f>IF('Paste SD Data'!G241="","",UPPER('Paste SD Data'!G241))</f>
        <v>IRSHAD AHMED</v>
      </c>
      <c r="G244" s="27" t="str">
        <f>IF('Paste SD Data'!H241="","",UPPER('Paste SD Data'!H241))</f>
        <v>SHAHINA BANU</v>
      </c>
      <c r="H244" s="26" t="str">
        <f>IF('Paste SD Data'!I241="","",IF('Paste SD Data'!I241="M","BOY","GIRL"))</f>
        <v>BOY</v>
      </c>
      <c r="I244" s="28">
        <f>IF('Paste SD Data'!J241="","",'Paste SD Data'!J241)</f>
        <v>37547</v>
      </c>
      <c r="J244" s="34">
        <f t="shared" si="3"/>
        <v>670</v>
      </c>
      <c r="K244" s="29" t="str">
        <f>IF('Paste SD Data'!O241="","",'Paste SD Data'!O241)</f>
        <v>GEN</v>
      </c>
    </row>
    <row r="245" spans="1:11" ht="30" customHeight="1" x14ac:dyDescent="0.25">
      <c r="A245" s="25">
        <f>IF(Table1[[#This Row],[Name of Student]]="","",ROWS($A$1:A241))</f>
        <v>241</v>
      </c>
      <c r="B245" s="26">
        <f>IF('Paste SD Data'!A242="","",'Paste SD Data'!A242)</f>
        <v>9</v>
      </c>
      <c r="C245" s="26" t="str">
        <f>IF('Paste SD Data'!B242="","",'Paste SD Data'!B242)</f>
        <v>B</v>
      </c>
      <c r="D245" s="26">
        <f>IF('Paste SD Data'!C242="","",'Paste SD Data'!C242)</f>
        <v>13927</v>
      </c>
      <c r="E245" s="27" t="str">
        <f>IF('Paste SD Data'!E242="","",UPPER('Paste SD Data'!E242))</f>
        <v>ALFEJ KHAN</v>
      </c>
      <c r="F245" s="27" t="str">
        <f>IF('Paste SD Data'!G242="","",UPPER('Paste SD Data'!G242))</f>
        <v>AZAD KHAN</v>
      </c>
      <c r="G245" s="27" t="str">
        <f>IF('Paste SD Data'!H242="","",UPPER('Paste SD Data'!H242))</f>
        <v>ISRAT BANU</v>
      </c>
      <c r="H245" s="26" t="str">
        <f>IF('Paste SD Data'!I242="","",IF('Paste SD Data'!I242="M","BOY","GIRL"))</f>
        <v>BOY</v>
      </c>
      <c r="I245" s="28">
        <f>IF('Paste SD Data'!J242="","",'Paste SD Data'!J242)</f>
        <v>39013</v>
      </c>
      <c r="J245" s="34">
        <f t="shared" si="3"/>
        <v>671</v>
      </c>
      <c r="K245" s="29" t="str">
        <f>IF('Paste SD Data'!O242="","",'Paste SD Data'!O242)</f>
        <v>GEN</v>
      </c>
    </row>
    <row r="246" spans="1:11" ht="30" customHeight="1" x14ac:dyDescent="0.25">
      <c r="A246" s="25">
        <f>IF(Table1[[#This Row],[Name of Student]]="","",ROWS($A$1:A242))</f>
        <v>242</v>
      </c>
      <c r="B246" s="26">
        <f>IF('Paste SD Data'!A243="","",'Paste SD Data'!A243)</f>
        <v>9</v>
      </c>
      <c r="C246" s="26" t="str">
        <f>IF('Paste SD Data'!B243="","",'Paste SD Data'!B243)</f>
        <v>B</v>
      </c>
      <c r="D246" s="26">
        <f>IF('Paste SD Data'!C243="","",'Paste SD Data'!C243)</f>
        <v>13853</v>
      </c>
      <c r="E246" s="27" t="str">
        <f>IF('Paste SD Data'!E243="","",UPPER('Paste SD Data'!E243))</f>
        <v>ANISH HUSSAIN</v>
      </c>
      <c r="F246" s="27" t="str">
        <f>IF('Paste SD Data'!G243="","",UPPER('Paste SD Data'!G243))</f>
        <v>HAKIM SHA</v>
      </c>
      <c r="G246" s="27" t="str">
        <f>IF('Paste SD Data'!H243="","",UPPER('Paste SD Data'!H243))</f>
        <v>SHABNAM BANU</v>
      </c>
      <c r="H246" s="26" t="str">
        <f>IF('Paste SD Data'!I243="","",IF('Paste SD Data'!I243="M","BOY","GIRL"))</f>
        <v>BOY</v>
      </c>
      <c r="I246" s="28">
        <f>IF('Paste SD Data'!J243="","",'Paste SD Data'!J243)</f>
        <v>39085</v>
      </c>
      <c r="J246" s="34">
        <f t="shared" si="3"/>
        <v>672</v>
      </c>
      <c r="K246" s="29" t="str">
        <f>IF('Paste SD Data'!O243="","",'Paste SD Data'!O243)</f>
        <v>OBC</v>
      </c>
    </row>
    <row r="247" spans="1:11" ht="30" customHeight="1" x14ac:dyDescent="0.25">
      <c r="A247" s="25">
        <f>IF(Table1[[#This Row],[Name of Student]]="","",ROWS($A$1:A243))</f>
        <v>243</v>
      </c>
      <c r="B247" s="26">
        <f>IF('Paste SD Data'!A244="","",'Paste SD Data'!A244)</f>
        <v>9</v>
      </c>
      <c r="C247" s="26" t="str">
        <f>IF('Paste SD Data'!B244="","",'Paste SD Data'!B244)</f>
        <v>B</v>
      </c>
      <c r="D247" s="26">
        <f>IF('Paste SD Data'!C244="","",'Paste SD Data'!C244)</f>
        <v>12279</v>
      </c>
      <c r="E247" s="27" t="str">
        <f>IF('Paste SD Data'!E244="","",UPPER('Paste SD Data'!E244))</f>
        <v>JABBAR HUSSAIN</v>
      </c>
      <c r="F247" s="27" t="str">
        <f>IF('Paste SD Data'!G244="","",UPPER('Paste SD Data'!G244))</f>
        <v>MUSTAK</v>
      </c>
      <c r="G247" s="27" t="str">
        <f>IF('Paste SD Data'!H244="","",UPPER('Paste SD Data'!H244))</f>
        <v>AKILA BANU</v>
      </c>
      <c r="H247" s="26" t="str">
        <f>IF('Paste SD Data'!I244="","",IF('Paste SD Data'!I244="M","BOY","GIRL"))</f>
        <v>BOY</v>
      </c>
      <c r="I247" s="28">
        <f>IF('Paste SD Data'!J244="","",'Paste SD Data'!J244)</f>
        <v>38769</v>
      </c>
      <c r="J247" s="34">
        <f t="shared" si="3"/>
        <v>673</v>
      </c>
      <c r="K247" s="29" t="str">
        <f>IF('Paste SD Data'!O244="","",'Paste SD Data'!O244)</f>
        <v>OBC</v>
      </c>
    </row>
    <row r="248" spans="1:11" ht="30" customHeight="1" x14ac:dyDescent="0.25">
      <c r="A248" s="25">
        <f>IF(Table1[[#This Row],[Name of Student]]="","",ROWS($A$1:A244))</f>
        <v>244</v>
      </c>
      <c r="B248" s="26">
        <f>IF('Paste SD Data'!A245="","",'Paste SD Data'!A245)</f>
        <v>9</v>
      </c>
      <c r="C248" s="26" t="str">
        <f>IF('Paste SD Data'!B245="","",'Paste SD Data'!B245)</f>
        <v>B</v>
      </c>
      <c r="D248" s="26">
        <f>IF('Paste SD Data'!C245="","",'Paste SD Data'!C245)</f>
        <v>13999</v>
      </c>
      <c r="E248" s="27" t="str">
        <f>IF('Paste SD Data'!E245="","",UPPER('Paste SD Data'!E245))</f>
        <v>JUMAN KHAN</v>
      </c>
      <c r="F248" s="27" t="str">
        <f>IF('Paste SD Data'!G245="","",UPPER('Paste SD Data'!G245))</f>
        <v>JAKIR HUSAIN PATHAN</v>
      </c>
      <c r="G248" s="27" t="str">
        <f>IF('Paste SD Data'!H245="","",UPPER('Paste SD Data'!H245))</f>
        <v>REHANA BANOO</v>
      </c>
      <c r="H248" s="26" t="str">
        <f>IF('Paste SD Data'!I245="","",IF('Paste SD Data'!I245="M","BOY","GIRL"))</f>
        <v>BOY</v>
      </c>
      <c r="I248" s="28">
        <f>IF('Paste SD Data'!J245="","",'Paste SD Data'!J245)</f>
        <v>39730</v>
      </c>
      <c r="J248" s="34">
        <f t="shared" si="3"/>
        <v>674</v>
      </c>
      <c r="K248" s="29" t="str">
        <f>IF('Paste SD Data'!O245="","",'Paste SD Data'!O245)</f>
        <v>GEN</v>
      </c>
    </row>
    <row r="249" spans="1:11" ht="30" customHeight="1" x14ac:dyDescent="0.25">
      <c r="A249" s="25">
        <f>IF(Table1[[#This Row],[Name of Student]]="","",ROWS($A$1:A245))</f>
        <v>245</v>
      </c>
      <c r="B249" s="26">
        <f>IF('Paste SD Data'!A246="","",'Paste SD Data'!A246)</f>
        <v>9</v>
      </c>
      <c r="C249" s="26" t="str">
        <f>IF('Paste SD Data'!B246="","",'Paste SD Data'!B246)</f>
        <v>B</v>
      </c>
      <c r="D249" s="26">
        <f>IF('Paste SD Data'!C246="","",'Paste SD Data'!C246)</f>
        <v>13771</v>
      </c>
      <c r="E249" s="27" t="str">
        <f>IF('Paste SD Data'!E246="","",UPPER('Paste SD Data'!E246))</f>
        <v>MADAN SINGH</v>
      </c>
      <c r="F249" s="27" t="str">
        <f>IF('Paste SD Data'!G246="","",UPPER('Paste SD Data'!G246))</f>
        <v>TARU SINGH</v>
      </c>
      <c r="G249" s="27" t="str">
        <f>IF('Paste SD Data'!H246="","",UPPER('Paste SD Data'!H246))</f>
        <v>JASHODA DEVI</v>
      </c>
      <c r="H249" s="26" t="str">
        <f>IF('Paste SD Data'!I246="","",IF('Paste SD Data'!I246="M","BOY","GIRL"))</f>
        <v>BOY</v>
      </c>
      <c r="I249" s="28">
        <f>IF('Paste SD Data'!J246="","",'Paste SD Data'!J246)</f>
        <v>39205</v>
      </c>
      <c r="J249" s="34">
        <f t="shared" si="3"/>
        <v>675</v>
      </c>
      <c r="K249" s="29" t="str">
        <f>IF('Paste SD Data'!O246="","",'Paste SD Data'!O246)</f>
        <v>OBC</v>
      </c>
    </row>
    <row r="250" spans="1:11" ht="30" customHeight="1" x14ac:dyDescent="0.25">
      <c r="A250" s="25">
        <f>IF(Table1[[#This Row],[Name of Student]]="","",ROWS($A$1:A246))</f>
        <v>246</v>
      </c>
      <c r="B250" s="26">
        <f>IF('Paste SD Data'!A247="","",'Paste SD Data'!A247)</f>
        <v>9</v>
      </c>
      <c r="C250" s="26" t="str">
        <f>IF('Paste SD Data'!B247="","",'Paste SD Data'!B247)</f>
        <v>B</v>
      </c>
      <c r="D250" s="26">
        <f>IF('Paste SD Data'!C247="","",'Paste SD Data'!C247)</f>
        <v>12896</v>
      </c>
      <c r="E250" s="27" t="str">
        <f>IF('Paste SD Data'!E247="","",UPPER('Paste SD Data'!E247))</f>
        <v>MAHAVEER SINGH</v>
      </c>
      <c r="F250" s="27" t="str">
        <f>IF('Paste SD Data'!G247="","",UPPER('Paste SD Data'!G247))</f>
        <v>RAJENDRA SINGH</v>
      </c>
      <c r="G250" s="27" t="str">
        <f>IF('Paste SD Data'!H247="","",UPPER('Paste SD Data'!H247))</f>
        <v>KESHAR DEVI</v>
      </c>
      <c r="H250" s="26" t="str">
        <f>IF('Paste SD Data'!I247="","",IF('Paste SD Data'!I247="M","BOY","GIRL"))</f>
        <v>BOY</v>
      </c>
      <c r="I250" s="28">
        <f>IF('Paste SD Data'!J247="","",'Paste SD Data'!J247)</f>
        <v>39615</v>
      </c>
      <c r="J250" s="34">
        <f t="shared" si="3"/>
        <v>676</v>
      </c>
      <c r="K250" s="29" t="str">
        <f>IF('Paste SD Data'!O247="","",'Paste SD Data'!O247)</f>
        <v>OBC</v>
      </c>
    </row>
    <row r="251" spans="1:11" ht="30" customHeight="1" x14ac:dyDescent="0.25">
      <c r="A251" s="25">
        <f>IF(Table1[[#This Row],[Name of Student]]="","",ROWS($A$1:A247))</f>
        <v>247</v>
      </c>
      <c r="B251" s="26">
        <f>IF('Paste SD Data'!A248="","",'Paste SD Data'!A248)</f>
        <v>9</v>
      </c>
      <c r="C251" s="26" t="str">
        <f>IF('Paste SD Data'!B248="","",'Paste SD Data'!B248)</f>
        <v>B</v>
      </c>
      <c r="D251" s="26">
        <f>IF('Paste SD Data'!C248="","",'Paste SD Data'!C248)</f>
        <v>13889</v>
      </c>
      <c r="E251" s="27" t="str">
        <f>IF('Paste SD Data'!E248="","",UPPER('Paste SD Data'!E248))</f>
        <v>MAHENDRA SINGH</v>
      </c>
      <c r="F251" s="27" t="str">
        <f>IF('Paste SD Data'!G248="","",UPPER('Paste SD Data'!G248))</f>
        <v>DEVI SINGH</v>
      </c>
      <c r="G251" s="27" t="str">
        <f>IF('Paste SD Data'!H248="","",UPPER('Paste SD Data'!H248))</f>
        <v>VARDI DEVI</v>
      </c>
      <c r="H251" s="26" t="str">
        <f>IF('Paste SD Data'!I248="","",IF('Paste SD Data'!I248="M","BOY","GIRL"))</f>
        <v>BOY</v>
      </c>
      <c r="I251" s="28">
        <f>IF('Paste SD Data'!J248="","",'Paste SD Data'!J248)</f>
        <v>39598</v>
      </c>
      <c r="J251" s="34">
        <f t="shared" si="3"/>
        <v>677</v>
      </c>
      <c r="K251" s="29" t="str">
        <f>IF('Paste SD Data'!O248="","",'Paste SD Data'!O248)</f>
        <v>OBC</v>
      </c>
    </row>
    <row r="252" spans="1:11" ht="30" customHeight="1" x14ac:dyDescent="0.25">
      <c r="A252" s="25">
        <f>IF(Table1[[#This Row],[Name of Student]]="","",ROWS($A$1:A248))</f>
        <v>248</v>
      </c>
      <c r="B252" s="26">
        <f>IF('Paste SD Data'!A249="","",'Paste SD Data'!A249)</f>
        <v>9</v>
      </c>
      <c r="C252" s="26" t="str">
        <f>IF('Paste SD Data'!B249="","",'Paste SD Data'!B249)</f>
        <v>B</v>
      </c>
      <c r="D252" s="26">
        <f>IF('Paste SD Data'!C249="","",'Paste SD Data'!C249)</f>
        <v>13886</v>
      </c>
      <c r="E252" s="27" t="str">
        <f>IF('Paste SD Data'!E249="","",UPPER('Paste SD Data'!E249))</f>
        <v>MAHESH CHANDRA SARGARA</v>
      </c>
      <c r="F252" s="27" t="str">
        <f>IF('Paste SD Data'!G249="","",UPPER('Paste SD Data'!G249))</f>
        <v>RAJKUMAR SARGARA</v>
      </c>
      <c r="G252" s="27" t="str">
        <f>IF('Paste SD Data'!H249="","",UPPER('Paste SD Data'!H249))</f>
        <v>SUSHILA DEVI</v>
      </c>
      <c r="H252" s="26" t="str">
        <f>IF('Paste SD Data'!I249="","",IF('Paste SD Data'!I249="M","BOY","GIRL"))</f>
        <v>BOY</v>
      </c>
      <c r="I252" s="28">
        <f>IF('Paste SD Data'!J249="","",'Paste SD Data'!J249)</f>
        <v>39198</v>
      </c>
      <c r="J252" s="34">
        <f t="shared" si="3"/>
        <v>678</v>
      </c>
      <c r="K252" s="29" t="str">
        <f>IF('Paste SD Data'!O249="","",'Paste SD Data'!O249)</f>
        <v>SC</v>
      </c>
    </row>
    <row r="253" spans="1:11" ht="30" customHeight="1" x14ac:dyDescent="0.25">
      <c r="A253" s="25">
        <f>IF(Table1[[#This Row],[Name of Student]]="","",ROWS($A$1:A249))</f>
        <v>249</v>
      </c>
      <c r="B253" s="26">
        <f>IF('Paste SD Data'!A250="","",'Paste SD Data'!A250)</f>
        <v>9</v>
      </c>
      <c r="C253" s="26" t="str">
        <f>IF('Paste SD Data'!B250="","",'Paste SD Data'!B250)</f>
        <v>B</v>
      </c>
      <c r="D253" s="26">
        <f>IF('Paste SD Data'!C250="","",'Paste SD Data'!C250)</f>
        <v>13818</v>
      </c>
      <c r="E253" s="27" t="str">
        <f>IF('Paste SD Data'!E250="","",UPPER('Paste SD Data'!E250))</f>
        <v>MANEESH KUMAR</v>
      </c>
      <c r="F253" s="27" t="str">
        <f>IF('Paste SD Data'!G250="","",UPPER('Paste SD Data'!G250))</f>
        <v>KAILASH CHANDRA PRAJAPAT</v>
      </c>
      <c r="G253" s="27" t="str">
        <f>IF('Paste SD Data'!H250="","",UPPER('Paste SD Data'!H250))</f>
        <v>SEETA DEVI</v>
      </c>
      <c r="H253" s="26" t="str">
        <f>IF('Paste SD Data'!I250="","",IF('Paste SD Data'!I250="M","BOY","GIRL"))</f>
        <v>BOY</v>
      </c>
      <c r="I253" s="28">
        <f>IF('Paste SD Data'!J250="","",'Paste SD Data'!J250)</f>
        <v>39902</v>
      </c>
      <c r="J253" s="34">
        <f t="shared" si="3"/>
        <v>679</v>
      </c>
      <c r="K253" s="29" t="str">
        <f>IF('Paste SD Data'!O250="","",'Paste SD Data'!O250)</f>
        <v>OBC</v>
      </c>
    </row>
    <row r="254" spans="1:11" ht="30" customHeight="1" x14ac:dyDescent="0.25">
      <c r="A254" s="25">
        <f>IF(Table1[[#This Row],[Name of Student]]="","",ROWS($A$1:A250))</f>
        <v>250</v>
      </c>
      <c r="B254" s="26">
        <f>IF('Paste SD Data'!A251="","",'Paste SD Data'!A251)</f>
        <v>9</v>
      </c>
      <c r="C254" s="26" t="str">
        <f>IF('Paste SD Data'!B251="","",'Paste SD Data'!B251)</f>
        <v>B</v>
      </c>
      <c r="D254" s="26">
        <f>IF('Paste SD Data'!C251="","",'Paste SD Data'!C251)</f>
        <v>13735</v>
      </c>
      <c r="E254" s="27" t="str">
        <f>IF('Paste SD Data'!E251="","",UPPER('Paste SD Data'!E251))</f>
        <v>MANISH KHATIK</v>
      </c>
      <c r="F254" s="27" t="str">
        <f>IF('Paste SD Data'!G251="","",UPPER('Paste SD Data'!G251))</f>
        <v>MUKESH KUMAR KHATIK</v>
      </c>
      <c r="G254" s="27" t="str">
        <f>IF('Paste SD Data'!H251="","",UPPER('Paste SD Data'!H251))</f>
        <v>PINKI DEVI</v>
      </c>
      <c r="H254" s="26" t="str">
        <f>IF('Paste SD Data'!I251="","",IF('Paste SD Data'!I251="M","BOY","GIRL"))</f>
        <v>BOY</v>
      </c>
      <c r="I254" s="28">
        <f>IF('Paste SD Data'!J251="","",'Paste SD Data'!J251)</f>
        <v>38844</v>
      </c>
      <c r="J254" s="34">
        <f t="shared" si="3"/>
        <v>680</v>
      </c>
      <c r="K254" s="29" t="str">
        <f>IF('Paste SD Data'!O251="","",'Paste SD Data'!O251)</f>
        <v>SC</v>
      </c>
    </row>
    <row r="255" spans="1:11" ht="30" customHeight="1" x14ac:dyDescent="0.25">
      <c r="A255" s="25">
        <f>IF(Table1[[#This Row],[Name of Student]]="","",ROWS($A$1:A251))</f>
        <v>251</v>
      </c>
      <c r="B255" s="26">
        <f>IF('Paste SD Data'!A252="","",'Paste SD Data'!A252)</f>
        <v>9</v>
      </c>
      <c r="C255" s="26" t="str">
        <f>IF('Paste SD Data'!B252="","",'Paste SD Data'!B252)</f>
        <v>B</v>
      </c>
      <c r="D255" s="26">
        <f>IF('Paste SD Data'!C252="","",'Paste SD Data'!C252)</f>
        <v>13885</v>
      </c>
      <c r="E255" s="27" t="str">
        <f>IF('Paste SD Data'!E252="","",UPPER('Paste SD Data'!E252))</f>
        <v>MANISH MEWARA</v>
      </c>
      <c r="F255" s="27" t="str">
        <f>IF('Paste SD Data'!G252="","",UPPER('Paste SD Data'!G252))</f>
        <v>DHARM CHAND</v>
      </c>
      <c r="G255" s="27" t="str">
        <f>IF('Paste SD Data'!H252="","",UPPER('Paste SD Data'!H252))</f>
        <v>MANJU DEVI</v>
      </c>
      <c r="H255" s="26" t="str">
        <f>IF('Paste SD Data'!I252="","",IF('Paste SD Data'!I252="M","BOY","GIRL"))</f>
        <v>BOY</v>
      </c>
      <c r="I255" s="28">
        <f>IF('Paste SD Data'!J252="","",'Paste SD Data'!J252)</f>
        <v>39268</v>
      </c>
      <c r="J255" s="34">
        <f t="shared" si="3"/>
        <v>681</v>
      </c>
      <c r="K255" s="29" t="str">
        <f>IF('Paste SD Data'!O252="","",'Paste SD Data'!O252)</f>
        <v>OBC</v>
      </c>
    </row>
    <row r="256" spans="1:11" ht="30" customHeight="1" x14ac:dyDescent="0.25">
      <c r="A256" s="25">
        <f>IF(Table1[[#This Row],[Name of Student]]="","",ROWS($A$1:A252))</f>
        <v>252</v>
      </c>
      <c r="B256" s="26">
        <f>IF('Paste SD Data'!A253="","",'Paste SD Data'!A253)</f>
        <v>9</v>
      </c>
      <c r="C256" s="26" t="str">
        <f>IF('Paste SD Data'!B253="","",'Paste SD Data'!B253)</f>
        <v>B</v>
      </c>
      <c r="D256" s="26">
        <f>IF('Paste SD Data'!C253="","",'Paste SD Data'!C253)</f>
        <v>13846</v>
      </c>
      <c r="E256" s="27" t="str">
        <f>IF('Paste SD Data'!E253="","",UPPER('Paste SD Data'!E253))</f>
        <v>MANISH REGAR</v>
      </c>
      <c r="F256" s="27" t="str">
        <f>IF('Paste SD Data'!G253="","",UPPER('Paste SD Data'!G253))</f>
        <v>SURESH REGAR</v>
      </c>
      <c r="G256" s="27" t="str">
        <f>IF('Paste SD Data'!H253="","",UPPER('Paste SD Data'!H253))</f>
        <v>DEVU DEVI</v>
      </c>
      <c r="H256" s="26" t="str">
        <f>IF('Paste SD Data'!I253="","",IF('Paste SD Data'!I253="M","BOY","GIRL"))</f>
        <v>BOY</v>
      </c>
      <c r="I256" s="28">
        <f>IF('Paste SD Data'!J253="","",'Paste SD Data'!J253)</f>
        <v>38776</v>
      </c>
      <c r="J256" s="34">
        <f t="shared" si="3"/>
        <v>682</v>
      </c>
      <c r="K256" s="29" t="str">
        <f>IF('Paste SD Data'!O253="","",'Paste SD Data'!O253)</f>
        <v>SC</v>
      </c>
    </row>
    <row r="257" spans="1:11" ht="30" customHeight="1" x14ac:dyDescent="0.25">
      <c r="A257" s="25">
        <f>IF(Table1[[#This Row],[Name of Student]]="","",ROWS($A$1:A253))</f>
        <v>253</v>
      </c>
      <c r="B257" s="26">
        <f>IF('Paste SD Data'!A254="","",'Paste SD Data'!A254)</f>
        <v>9</v>
      </c>
      <c r="C257" s="26" t="str">
        <f>IF('Paste SD Data'!B254="","",'Paste SD Data'!B254)</f>
        <v>B</v>
      </c>
      <c r="D257" s="26">
        <f>IF('Paste SD Data'!C254="","",'Paste SD Data'!C254)</f>
        <v>13733</v>
      </c>
      <c r="E257" s="27" t="str">
        <f>IF('Paste SD Data'!E254="","",UPPER('Paste SD Data'!E254))</f>
        <v>MANISH SINGH</v>
      </c>
      <c r="F257" s="27" t="str">
        <f>IF('Paste SD Data'!G254="","",UPPER('Paste SD Data'!G254))</f>
        <v>VIJAY SINGH</v>
      </c>
      <c r="G257" s="27" t="str">
        <f>IF('Paste SD Data'!H254="","",UPPER('Paste SD Data'!H254))</f>
        <v>LEELA DEVI</v>
      </c>
      <c r="H257" s="26" t="str">
        <f>IF('Paste SD Data'!I254="","",IF('Paste SD Data'!I254="M","BOY","GIRL"))</f>
        <v>BOY</v>
      </c>
      <c r="I257" s="28">
        <f>IF('Paste SD Data'!J254="","",'Paste SD Data'!J254)</f>
        <v>39244</v>
      </c>
      <c r="J257" s="34">
        <f t="shared" si="3"/>
        <v>683</v>
      </c>
      <c r="K257" s="29" t="str">
        <f>IF('Paste SD Data'!O254="","",'Paste SD Data'!O254)</f>
        <v>OBC</v>
      </c>
    </row>
    <row r="258" spans="1:11" ht="30" customHeight="1" x14ac:dyDescent="0.25">
      <c r="A258" s="25">
        <f>IF(Table1[[#This Row],[Name of Student]]="","",ROWS($A$1:A254))</f>
        <v>254</v>
      </c>
      <c r="B258" s="26">
        <f>IF('Paste SD Data'!A255="","",'Paste SD Data'!A255)</f>
        <v>9</v>
      </c>
      <c r="C258" s="26" t="str">
        <f>IF('Paste SD Data'!B255="","",'Paste SD Data'!B255)</f>
        <v>B</v>
      </c>
      <c r="D258" s="26">
        <f>IF('Paste SD Data'!C255="","",'Paste SD Data'!C255)</f>
        <v>13990</v>
      </c>
      <c r="E258" s="27" t="str">
        <f>IF('Paste SD Data'!E255="","",UPPER('Paste SD Data'!E255))</f>
        <v>MOHAMMAD TANVEER</v>
      </c>
      <c r="F258" s="27" t="str">
        <f>IF('Paste SD Data'!G255="","",UPPER('Paste SD Data'!G255))</f>
        <v>MOHAMMAD IRFAN</v>
      </c>
      <c r="G258" s="27" t="str">
        <f>IF('Paste SD Data'!H255="","",UPPER('Paste SD Data'!H255))</f>
        <v>REHANA BANO</v>
      </c>
      <c r="H258" s="26" t="str">
        <f>IF('Paste SD Data'!I255="","",IF('Paste SD Data'!I255="M","BOY","GIRL"))</f>
        <v>BOY</v>
      </c>
      <c r="I258" s="28">
        <f>IF('Paste SD Data'!J255="","",'Paste SD Data'!J255)</f>
        <v>39020</v>
      </c>
      <c r="J258" s="34">
        <f t="shared" si="3"/>
        <v>684</v>
      </c>
      <c r="K258" s="29" t="str">
        <f>IF('Paste SD Data'!O255="","",'Paste SD Data'!O255)</f>
        <v>OBC</v>
      </c>
    </row>
    <row r="259" spans="1:11" ht="30" customHeight="1" x14ac:dyDescent="0.25">
      <c r="A259" s="25">
        <f>IF(Table1[[#This Row],[Name of Student]]="","",ROWS($A$1:A255))</f>
        <v>255</v>
      </c>
      <c r="B259" s="26">
        <f>IF('Paste SD Data'!A256="","",'Paste SD Data'!A256)</f>
        <v>9</v>
      </c>
      <c r="C259" s="26" t="str">
        <f>IF('Paste SD Data'!B256="","",'Paste SD Data'!B256)</f>
        <v>B</v>
      </c>
      <c r="D259" s="26">
        <f>IF('Paste SD Data'!C256="","",'Paste SD Data'!C256)</f>
        <v>13817</v>
      </c>
      <c r="E259" s="27" t="str">
        <f>IF('Paste SD Data'!E256="","",UPPER('Paste SD Data'!E256))</f>
        <v>MOHIT KUMAR SALVI</v>
      </c>
      <c r="F259" s="27" t="str">
        <f>IF('Paste SD Data'!G256="","",UPPER('Paste SD Data'!G256))</f>
        <v>MANGI LAL</v>
      </c>
      <c r="G259" s="27" t="str">
        <f>IF('Paste SD Data'!H256="","",UPPER('Paste SD Data'!H256))</f>
        <v>SUSHILA DEVI</v>
      </c>
      <c r="H259" s="26" t="str">
        <f>IF('Paste SD Data'!I256="","",IF('Paste SD Data'!I256="M","BOY","GIRL"))</f>
        <v>BOY</v>
      </c>
      <c r="I259" s="28">
        <f>IF('Paste SD Data'!J256="","",'Paste SD Data'!J256)</f>
        <v>38921</v>
      </c>
      <c r="J259" s="34">
        <f t="shared" si="3"/>
        <v>685</v>
      </c>
      <c r="K259" s="29" t="str">
        <f>IF('Paste SD Data'!O256="","",'Paste SD Data'!O256)</f>
        <v>SC</v>
      </c>
    </row>
    <row r="260" spans="1:11" ht="30" customHeight="1" x14ac:dyDescent="0.25">
      <c r="A260" s="25">
        <f>IF(Table1[[#This Row],[Name of Student]]="","",ROWS($A$1:A256))</f>
        <v>256</v>
      </c>
      <c r="B260" s="26">
        <f>IF('Paste SD Data'!A257="","",'Paste SD Data'!A257)</f>
        <v>9</v>
      </c>
      <c r="C260" s="26" t="str">
        <f>IF('Paste SD Data'!B257="","",'Paste SD Data'!B257)</f>
        <v>B</v>
      </c>
      <c r="D260" s="26">
        <f>IF('Paste SD Data'!C257="","",'Paste SD Data'!C257)</f>
        <v>13821</v>
      </c>
      <c r="E260" s="27" t="str">
        <f>IF('Paste SD Data'!E257="","",UPPER('Paste SD Data'!E257))</f>
        <v>MUKESH GURJAR</v>
      </c>
      <c r="F260" s="27" t="str">
        <f>IF('Paste SD Data'!G257="","",UPPER('Paste SD Data'!G257))</f>
        <v>MANGI LAL GURJAR</v>
      </c>
      <c r="G260" s="27" t="str">
        <f>IF('Paste SD Data'!H257="","",UPPER('Paste SD Data'!H257))</f>
        <v>DEU DEVI GURJAR</v>
      </c>
      <c r="H260" s="26" t="str">
        <f>IF('Paste SD Data'!I257="","",IF('Paste SD Data'!I257="M","BOY","GIRL"))</f>
        <v>BOY</v>
      </c>
      <c r="I260" s="28">
        <f>IF('Paste SD Data'!J257="","",'Paste SD Data'!J257)</f>
        <v>39363</v>
      </c>
      <c r="J260" s="34">
        <f t="shared" si="3"/>
        <v>686</v>
      </c>
      <c r="K260" s="29" t="str">
        <f>IF('Paste SD Data'!O257="","",'Paste SD Data'!O257)</f>
        <v>SBC</v>
      </c>
    </row>
    <row r="261" spans="1:11" ht="30" customHeight="1" x14ac:dyDescent="0.25">
      <c r="A261" s="25">
        <f>IF(Table1[[#This Row],[Name of Student]]="","",ROWS($A$1:A257))</f>
        <v>257</v>
      </c>
      <c r="B261" s="26">
        <f>IF('Paste SD Data'!A258="","",'Paste SD Data'!A258)</f>
        <v>9</v>
      </c>
      <c r="C261" s="26" t="str">
        <f>IF('Paste SD Data'!B258="","",'Paste SD Data'!B258)</f>
        <v>B</v>
      </c>
      <c r="D261" s="26">
        <f>IF('Paste SD Data'!C258="","",'Paste SD Data'!C258)</f>
        <v>13750</v>
      </c>
      <c r="E261" s="27" t="str">
        <f>IF('Paste SD Data'!E258="","",UPPER('Paste SD Data'!E258))</f>
        <v>MUKESH SINGH</v>
      </c>
      <c r="F261" s="27" t="str">
        <f>IF('Paste SD Data'!G258="","",UPPER('Paste SD Data'!G258))</f>
        <v>KISHAN SINGH</v>
      </c>
      <c r="G261" s="27" t="str">
        <f>IF('Paste SD Data'!H258="","",UPPER('Paste SD Data'!H258))</f>
        <v>CHANDRA DEVI</v>
      </c>
      <c r="H261" s="26" t="str">
        <f>IF('Paste SD Data'!I258="","",IF('Paste SD Data'!I258="M","BOY","GIRL"))</f>
        <v>BOY</v>
      </c>
      <c r="I261" s="28">
        <f>IF('Paste SD Data'!J258="","",'Paste SD Data'!J258)</f>
        <v>39471</v>
      </c>
      <c r="J261" s="34">
        <f t="shared" si="3"/>
        <v>687</v>
      </c>
      <c r="K261" s="29" t="str">
        <f>IF('Paste SD Data'!O258="","",'Paste SD Data'!O258)</f>
        <v>OBC</v>
      </c>
    </row>
    <row r="262" spans="1:11" ht="30" customHeight="1" x14ac:dyDescent="0.25">
      <c r="A262" s="25">
        <f>IF(Table1[[#This Row],[Name of Student]]="","",ROWS($A$1:A258))</f>
        <v>258</v>
      </c>
      <c r="B262" s="26">
        <f>IF('Paste SD Data'!A259="","",'Paste SD Data'!A259)</f>
        <v>9</v>
      </c>
      <c r="C262" s="26" t="str">
        <f>IF('Paste SD Data'!B259="","",'Paste SD Data'!B259)</f>
        <v>B</v>
      </c>
      <c r="D262" s="26">
        <f>IF('Paste SD Data'!C259="","",'Paste SD Data'!C259)</f>
        <v>13768</v>
      </c>
      <c r="E262" s="27" t="str">
        <f>IF('Paste SD Data'!E259="","",UPPER('Paste SD Data'!E259))</f>
        <v>NAITIK SINGH</v>
      </c>
      <c r="F262" s="27" t="str">
        <f>IF('Paste SD Data'!G259="","",UPPER('Paste SD Data'!G259))</f>
        <v>BHERU SINGH</v>
      </c>
      <c r="G262" s="27" t="str">
        <f>IF('Paste SD Data'!H259="","",UPPER('Paste SD Data'!H259))</f>
        <v>RAMA KANWAR</v>
      </c>
      <c r="H262" s="26" t="str">
        <f>IF('Paste SD Data'!I259="","",IF('Paste SD Data'!I259="M","BOY","GIRL"))</f>
        <v>BOY</v>
      </c>
      <c r="I262" s="28">
        <f>IF('Paste SD Data'!J259="","",'Paste SD Data'!J259)</f>
        <v>39141</v>
      </c>
      <c r="J262" s="34">
        <f t="shared" si="3"/>
        <v>688</v>
      </c>
      <c r="K262" s="29" t="str">
        <f>IF('Paste SD Data'!O259="","",'Paste SD Data'!O259)</f>
        <v>GEN</v>
      </c>
    </row>
    <row r="263" spans="1:11" ht="30" customHeight="1" x14ac:dyDescent="0.25">
      <c r="A263" s="25">
        <f>IF(Table1[[#This Row],[Name of Student]]="","",ROWS($A$1:A259))</f>
        <v>259</v>
      </c>
      <c r="B263" s="26">
        <f>IF('Paste SD Data'!A260="","",'Paste SD Data'!A260)</f>
        <v>9</v>
      </c>
      <c r="C263" s="26" t="str">
        <f>IF('Paste SD Data'!B260="","",'Paste SD Data'!B260)</f>
        <v>B</v>
      </c>
      <c r="D263" s="26">
        <f>IF('Paste SD Data'!C260="","",'Paste SD Data'!C260)</f>
        <v>13845</v>
      </c>
      <c r="E263" s="27" t="str">
        <f>IF('Paste SD Data'!E260="","",UPPER('Paste SD Data'!E260))</f>
        <v>NARAYAN SINGH</v>
      </c>
      <c r="F263" s="27" t="str">
        <f>IF('Paste SD Data'!G260="","",UPPER('Paste SD Data'!G260))</f>
        <v>BHANWAR SINGH</v>
      </c>
      <c r="G263" s="27" t="str">
        <f>IF('Paste SD Data'!H260="","",UPPER('Paste SD Data'!H260))</f>
        <v>SEETA DEVI</v>
      </c>
      <c r="H263" s="26" t="str">
        <f>IF('Paste SD Data'!I260="","",IF('Paste SD Data'!I260="M","BOY","GIRL"))</f>
        <v>BOY</v>
      </c>
      <c r="I263" s="28">
        <f>IF('Paste SD Data'!J260="","",'Paste SD Data'!J260)</f>
        <v>39397</v>
      </c>
      <c r="J263" s="34">
        <f t="shared" ref="J263:J326" si="4">J262+1</f>
        <v>689</v>
      </c>
      <c r="K263" s="29" t="str">
        <f>IF('Paste SD Data'!O260="","",'Paste SD Data'!O260)</f>
        <v>OBC</v>
      </c>
    </row>
    <row r="264" spans="1:11" ht="30" customHeight="1" x14ac:dyDescent="0.25">
      <c r="A264" s="25">
        <f>IF(Table1[[#This Row],[Name of Student]]="","",ROWS($A$1:A260))</f>
        <v>260</v>
      </c>
      <c r="B264" s="26">
        <f>IF('Paste SD Data'!A261="","",'Paste SD Data'!A261)</f>
        <v>9</v>
      </c>
      <c r="C264" s="26" t="str">
        <f>IF('Paste SD Data'!B261="","",'Paste SD Data'!B261)</f>
        <v>B</v>
      </c>
      <c r="D264" s="26">
        <f>IF('Paste SD Data'!C261="","",'Paste SD Data'!C261)</f>
        <v>13754</v>
      </c>
      <c r="E264" s="27" t="str">
        <f>IF('Paste SD Data'!E261="","",UPPER('Paste SD Data'!E261))</f>
        <v>NARENDRA KUMAR SALVI</v>
      </c>
      <c r="F264" s="27" t="str">
        <f>IF('Paste SD Data'!G261="","",UPPER('Paste SD Data'!G261))</f>
        <v>GHISA RAM</v>
      </c>
      <c r="G264" s="27" t="str">
        <f>IF('Paste SD Data'!H261="","",UPPER('Paste SD Data'!H261))</f>
        <v>MUNNI DEVI</v>
      </c>
      <c r="H264" s="26" t="str">
        <f>IF('Paste SD Data'!I261="","",IF('Paste SD Data'!I261="M","BOY","GIRL"))</f>
        <v>BOY</v>
      </c>
      <c r="I264" s="28">
        <f>IF('Paste SD Data'!J261="","",'Paste SD Data'!J261)</f>
        <v>38413</v>
      </c>
      <c r="J264" s="34">
        <f t="shared" si="4"/>
        <v>690</v>
      </c>
      <c r="K264" s="29" t="str">
        <f>IF('Paste SD Data'!O261="","",'Paste SD Data'!O261)</f>
        <v>SC</v>
      </c>
    </row>
    <row r="265" spans="1:11" ht="30" customHeight="1" x14ac:dyDescent="0.25">
      <c r="A265" s="25">
        <f>IF(Table1[[#This Row],[Name of Student]]="","",ROWS($A$1:A261))</f>
        <v>261</v>
      </c>
      <c r="B265" s="26">
        <f>IF('Paste SD Data'!A262="","",'Paste SD Data'!A262)</f>
        <v>9</v>
      </c>
      <c r="C265" s="26" t="str">
        <f>IF('Paste SD Data'!B262="","",'Paste SD Data'!B262)</f>
        <v>B</v>
      </c>
      <c r="D265" s="26">
        <f>IF('Paste SD Data'!C262="","",'Paste SD Data'!C262)</f>
        <v>13751</v>
      </c>
      <c r="E265" s="27" t="str">
        <f>IF('Paste SD Data'!E262="","",UPPER('Paste SD Data'!E262))</f>
        <v>NARENDRA SINGH</v>
      </c>
      <c r="F265" s="27" t="str">
        <f>IF('Paste SD Data'!G262="","",UPPER('Paste SD Data'!G262))</f>
        <v>GOPAL SINGH</v>
      </c>
      <c r="G265" s="27" t="str">
        <f>IF('Paste SD Data'!H262="","",UPPER('Paste SD Data'!H262))</f>
        <v>SUSHILA DEVI</v>
      </c>
      <c r="H265" s="26" t="str">
        <f>IF('Paste SD Data'!I262="","",IF('Paste SD Data'!I262="M","BOY","GIRL"))</f>
        <v>BOY</v>
      </c>
      <c r="I265" s="28">
        <f>IF('Paste SD Data'!J262="","",'Paste SD Data'!J262)</f>
        <v>39540</v>
      </c>
      <c r="J265" s="34">
        <f t="shared" si="4"/>
        <v>691</v>
      </c>
      <c r="K265" s="29" t="str">
        <f>IF('Paste SD Data'!O262="","",'Paste SD Data'!O262)</f>
        <v>OBC</v>
      </c>
    </row>
    <row r="266" spans="1:11" ht="30" customHeight="1" x14ac:dyDescent="0.25">
      <c r="A266" s="25">
        <f>IF(Table1[[#This Row],[Name of Student]]="","",ROWS($A$1:A262))</f>
        <v>262</v>
      </c>
      <c r="B266" s="26">
        <f>IF('Paste SD Data'!A263="","",'Paste SD Data'!A263)</f>
        <v>9</v>
      </c>
      <c r="C266" s="26" t="str">
        <f>IF('Paste SD Data'!B263="","",'Paste SD Data'!B263)</f>
        <v>B</v>
      </c>
      <c r="D266" s="26">
        <f>IF('Paste SD Data'!C263="","",'Paste SD Data'!C263)</f>
        <v>13784</v>
      </c>
      <c r="E266" s="27" t="str">
        <f>IF('Paste SD Data'!E263="","",UPPER('Paste SD Data'!E263))</f>
        <v>NARENDRA SINGH</v>
      </c>
      <c r="F266" s="27" t="str">
        <f>IF('Paste SD Data'!G263="","",UPPER('Paste SD Data'!G263))</f>
        <v>TAARU SINGH</v>
      </c>
      <c r="G266" s="27" t="str">
        <f>IF('Paste SD Data'!H263="","",UPPER('Paste SD Data'!H263))</f>
        <v>KAMALA DEVI</v>
      </c>
      <c r="H266" s="26" t="str">
        <f>IF('Paste SD Data'!I263="","",IF('Paste SD Data'!I263="M","BOY","GIRL"))</f>
        <v>BOY</v>
      </c>
      <c r="I266" s="28">
        <f>IF('Paste SD Data'!J263="","",'Paste SD Data'!J263)</f>
        <v>39619</v>
      </c>
      <c r="J266" s="34">
        <f t="shared" si="4"/>
        <v>692</v>
      </c>
      <c r="K266" s="29" t="str">
        <f>IF('Paste SD Data'!O263="","",'Paste SD Data'!O263)</f>
        <v>OBC</v>
      </c>
    </row>
    <row r="267" spans="1:11" ht="30" customHeight="1" x14ac:dyDescent="0.25">
      <c r="A267" s="25">
        <f>IF(Table1[[#This Row],[Name of Student]]="","",ROWS($A$1:A263))</f>
        <v>263</v>
      </c>
      <c r="B267" s="26">
        <f>IF('Paste SD Data'!A264="","",'Paste SD Data'!A264)</f>
        <v>9</v>
      </c>
      <c r="C267" s="26" t="str">
        <f>IF('Paste SD Data'!B264="","",'Paste SD Data'!B264)</f>
        <v>B</v>
      </c>
      <c r="D267" s="26">
        <f>IF('Paste SD Data'!C264="","",'Paste SD Data'!C264)</f>
        <v>13777</v>
      </c>
      <c r="E267" s="27" t="str">
        <f>IF('Paste SD Data'!E264="","",UPPER('Paste SD Data'!E264))</f>
        <v>NARESH KUMAR</v>
      </c>
      <c r="F267" s="27" t="str">
        <f>IF('Paste SD Data'!G264="","",UPPER('Paste SD Data'!G264))</f>
        <v>PRATAP RAM</v>
      </c>
      <c r="G267" s="27" t="str">
        <f>IF('Paste SD Data'!H264="","",UPPER('Paste SD Data'!H264))</f>
        <v>PREMI DEVI</v>
      </c>
      <c r="H267" s="26" t="str">
        <f>IF('Paste SD Data'!I264="","",IF('Paste SD Data'!I264="M","BOY","GIRL"))</f>
        <v>BOY</v>
      </c>
      <c r="I267" s="28">
        <f>IF('Paste SD Data'!J264="","",'Paste SD Data'!J264)</f>
        <v>38704</v>
      </c>
      <c r="J267" s="34">
        <f t="shared" si="4"/>
        <v>693</v>
      </c>
      <c r="K267" s="29" t="str">
        <f>IF('Paste SD Data'!O264="","",'Paste SD Data'!O264)</f>
        <v>SC</v>
      </c>
    </row>
    <row r="268" spans="1:11" ht="30" customHeight="1" x14ac:dyDescent="0.25">
      <c r="A268" s="25">
        <f>IF(Table1[[#This Row],[Name of Student]]="","",ROWS($A$1:A264))</f>
        <v>264</v>
      </c>
      <c r="B268" s="26">
        <f>IF('Paste SD Data'!A265="","",'Paste SD Data'!A265)</f>
        <v>9</v>
      </c>
      <c r="C268" s="26" t="str">
        <f>IF('Paste SD Data'!B265="","",'Paste SD Data'!B265)</f>
        <v>B</v>
      </c>
      <c r="D268" s="26">
        <f>IF('Paste SD Data'!C265="","",'Paste SD Data'!C265)</f>
        <v>12278</v>
      </c>
      <c r="E268" s="27" t="str">
        <f>IF('Paste SD Data'!E265="","",UPPER('Paste SD Data'!E265))</f>
        <v>NAVEEN TIWARI</v>
      </c>
      <c r="F268" s="27" t="str">
        <f>IF('Paste SD Data'!G265="","",UPPER('Paste SD Data'!G265))</f>
        <v>CHETAN PRAKASH TIWARI</v>
      </c>
      <c r="G268" s="27" t="str">
        <f>IF('Paste SD Data'!H265="","",UPPER('Paste SD Data'!H265))</f>
        <v>GAYATRI DEVI</v>
      </c>
      <c r="H268" s="26" t="str">
        <f>IF('Paste SD Data'!I265="","",IF('Paste SD Data'!I265="M","BOY","GIRL"))</f>
        <v>BOY</v>
      </c>
      <c r="I268" s="28">
        <f>IF('Paste SD Data'!J265="","",'Paste SD Data'!J265)</f>
        <v>38551</v>
      </c>
      <c r="J268" s="34">
        <f t="shared" si="4"/>
        <v>694</v>
      </c>
      <c r="K268" s="29" t="str">
        <f>IF('Paste SD Data'!O265="","",'Paste SD Data'!O265)</f>
        <v>GEN</v>
      </c>
    </row>
    <row r="269" spans="1:11" ht="30" customHeight="1" x14ac:dyDescent="0.25">
      <c r="A269" s="25">
        <f>IF(Table1[[#This Row],[Name of Student]]="","",ROWS($A$1:A265))</f>
        <v>265</v>
      </c>
      <c r="B269" s="26">
        <f>IF('Paste SD Data'!A266="","",'Paste SD Data'!A266)</f>
        <v>9</v>
      </c>
      <c r="C269" s="26" t="str">
        <f>IF('Paste SD Data'!B266="","",'Paste SD Data'!B266)</f>
        <v>B</v>
      </c>
      <c r="D269" s="26">
        <f>IF('Paste SD Data'!C266="","",'Paste SD Data'!C266)</f>
        <v>13709</v>
      </c>
      <c r="E269" s="27" t="str">
        <f>IF('Paste SD Data'!E266="","",UPPER('Paste SD Data'!E266))</f>
        <v>NAVNEET REGAR</v>
      </c>
      <c r="F269" s="27" t="str">
        <f>IF('Paste SD Data'!G266="","",UPPER('Paste SD Data'!G266))</f>
        <v>MOHAN LAL</v>
      </c>
      <c r="G269" s="27" t="str">
        <f>IF('Paste SD Data'!H266="","",UPPER('Paste SD Data'!H266))</f>
        <v>TULSI DEVI</v>
      </c>
      <c r="H269" s="26" t="str">
        <f>IF('Paste SD Data'!I266="","",IF('Paste SD Data'!I266="M","BOY","GIRL"))</f>
        <v>BOY</v>
      </c>
      <c r="I269" s="28">
        <f>IF('Paste SD Data'!J266="","",'Paste SD Data'!J266)</f>
        <v>39249</v>
      </c>
      <c r="J269" s="34">
        <f t="shared" si="4"/>
        <v>695</v>
      </c>
      <c r="K269" s="29" t="str">
        <f>IF('Paste SD Data'!O266="","",'Paste SD Data'!O266)</f>
        <v>SC</v>
      </c>
    </row>
    <row r="270" spans="1:11" ht="30" customHeight="1" x14ac:dyDescent="0.25">
      <c r="A270" s="25">
        <f>IF(Table1[[#This Row],[Name of Student]]="","",ROWS($A$1:A266))</f>
        <v>266</v>
      </c>
      <c r="B270" s="26">
        <f>IF('Paste SD Data'!A267="","",'Paste SD Data'!A267)</f>
        <v>9</v>
      </c>
      <c r="C270" s="26" t="str">
        <f>IF('Paste SD Data'!B267="","",'Paste SD Data'!B267)</f>
        <v>B</v>
      </c>
      <c r="D270" s="26">
        <f>IF('Paste SD Data'!C267="","",'Paste SD Data'!C267)</f>
        <v>13998</v>
      </c>
      <c r="E270" s="27" t="str">
        <f>IF('Paste SD Data'!E267="","",UPPER('Paste SD Data'!E267))</f>
        <v>NIKHIL KHOKAR</v>
      </c>
      <c r="F270" s="27" t="str">
        <f>IF('Paste SD Data'!G267="","",UPPER('Paste SD Data'!G267))</f>
        <v>VIJESH KHOKAR</v>
      </c>
      <c r="G270" s="27" t="str">
        <f>IF('Paste SD Data'!H267="","",UPPER('Paste SD Data'!H267))</f>
        <v>SONU KHOKAR</v>
      </c>
      <c r="H270" s="26" t="str">
        <f>IF('Paste SD Data'!I267="","",IF('Paste SD Data'!I267="M","BOY","GIRL"))</f>
        <v>BOY</v>
      </c>
      <c r="I270" s="28">
        <f>IF('Paste SD Data'!J267="","",'Paste SD Data'!J267)</f>
        <v>39249</v>
      </c>
      <c r="J270" s="34">
        <f t="shared" si="4"/>
        <v>696</v>
      </c>
      <c r="K270" s="29" t="str">
        <f>IF('Paste SD Data'!O267="","",'Paste SD Data'!O267)</f>
        <v>SC</v>
      </c>
    </row>
    <row r="271" spans="1:11" ht="30" customHeight="1" x14ac:dyDescent="0.25">
      <c r="A271" s="25">
        <f>IF(Table1[[#This Row],[Name of Student]]="","",ROWS($A$1:A267))</f>
        <v>267</v>
      </c>
      <c r="B271" s="26">
        <f>IF('Paste SD Data'!A268="","",'Paste SD Data'!A268)</f>
        <v>9</v>
      </c>
      <c r="C271" s="26" t="str">
        <f>IF('Paste SD Data'!B268="","",'Paste SD Data'!B268)</f>
        <v>B</v>
      </c>
      <c r="D271" s="26">
        <f>IF('Paste SD Data'!C268="","",'Paste SD Data'!C268)</f>
        <v>13937</v>
      </c>
      <c r="E271" s="27" t="str">
        <f>IF('Paste SD Data'!E268="","",UPPER('Paste SD Data'!E268))</f>
        <v>NIKHIL SINGH</v>
      </c>
      <c r="F271" s="27" t="str">
        <f>IF('Paste SD Data'!G268="","",UPPER('Paste SD Data'!G268))</f>
        <v>RAMESH SINGH</v>
      </c>
      <c r="G271" s="27" t="str">
        <f>IF('Paste SD Data'!H268="","",UPPER('Paste SD Data'!H268))</f>
        <v>DHANWANTI</v>
      </c>
      <c r="H271" s="26" t="str">
        <f>IF('Paste SD Data'!I268="","",IF('Paste SD Data'!I268="M","BOY","GIRL"))</f>
        <v>BOY</v>
      </c>
      <c r="I271" s="28">
        <f>IF('Paste SD Data'!J268="","",'Paste SD Data'!J268)</f>
        <v>39452</v>
      </c>
      <c r="J271" s="34">
        <f t="shared" si="4"/>
        <v>697</v>
      </c>
      <c r="K271" s="29" t="str">
        <f>IF('Paste SD Data'!O268="","",'Paste SD Data'!O268)</f>
        <v>OBC</v>
      </c>
    </row>
    <row r="272" spans="1:11" ht="30" customHeight="1" x14ac:dyDescent="0.25">
      <c r="A272" s="25">
        <f>IF(Table1[[#This Row],[Name of Student]]="","",ROWS($A$1:A268))</f>
        <v>268</v>
      </c>
      <c r="B272" s="26">
        <f>IF('Paste SD Data'!A269="","",'Paste SD Data'!A269)</f>
        <v>9</v>
      </c>
      <c r="C272" s="26" t="str">
        <f>IF('Paste SD Data'!B269="","",'Paste SD Data'!B269)</f>
        <v>B</v>
      </c>
      <c r="D272" s="26">
        <f>IF('Paste SD Data'!C269="","",'Paste SD Data'!C269)</f>
        <v>13749</v>
      </c>
      <c r="E272" s="27" t="str">
        <f>IF('Paste SD Data'!E269="","",UPPER('Paste SD Data'!E269))</f>
        <v>NILESH MEWARA</v>
      </c>
      <c r="F272" s="27" t="str">
        <f>IF('Paste SD Data'!G269="","",UPPER('Paste SD Data'!G269))</f>
        <v>NARAYAN LAL</v>
      </c>
      <c r="G272" s="27" t="str">
        <f>IF('Paste SD Data'!H269="","",UPPER('Paste SD Data'!H269))</f>
        <v>ROSHANI DEVI</v>
      </c>
      <c r="H272" s="26" t="str">
        <f>IF('Paste SD Data'!I269="","",IF('Paste SD Data'!I269="M","BOY","GIRL"))</f>
        <v>BOY</v>
      </c>
      <c r="I272" s="28">
        <f>IF('Paste SD Data'!J269="","",'Paste SD Data'!J269)</f>
        <v>39534</v>
      </c>
      <c r="J272" s="34">
        <f t="shared" si="4"/>
        <v>698</v>
      </c>
      <c r="K272" s="29" t="str">
        <f>IF('Paste SD Data'!O269="","",'Paste SD Data'!O269)</f>
        <v>OBC</v>
      </c>
    </row>
    <row r="273" spans="1:11" ht="30" customHeight="1" x14ac:dyDescent="0.25">
      <c r="A273" s="25">
        <f>IF(Table1[[#This Row],[Name of Student]]="","",ROWS($A$1:A269))</f>
        <v>269</v>
      </c>
      <c r="B273" s="26">
        <f>IF('Paste SD Data'!A270="","",'Paste SD Data'!A270)</f>
        <v>9</v>
      </c>
      <c r="C273" s="26" t="str">
        <f>IF('Paste SD Data'!B270="","",'Paste SD Data'!B270)</f>
        <v>B</v>
      </c>
      <c r="D273" s="26">
        <f>IF('Paste SD Data'!C270="","",'Paste SD Data'!C270)</f>
        <v>13780</v>
      </c>
      <c r="E273" s="27" t="str">
        <f>IF('Paste SD Data'!E270="","",UPPER('Paste SD Data'!E270))</f>
        <v>NILESH SALVI</v>
      </c>
      <c r="F273" s="27" t="str">
        <f>IF('Paste SD Data'!G270="","",UPPER('Paste SD Data'!G270))</f>
        <v>DHARAM CHAND SALVI</v>
      </c>
      <c r="G273" s="27" t="str">
        <f>IF('Paste SD Data'!H270="","",UPPER('Paste SD Data'!H270))</f>
        <v>MEENA DEVI</v>
      </c>
      <c r="H273" s="26" t="str">
        <f>IF('Paste SD Data'!I270="","",IF('Paste SD Data'!I270="M","BOY","GIRL"))</f>
        <v>BOY</v>
      </c>
      <c r="I273" s="28">
        <f>IF('Paste SD Data'!J270="","",'Paste SD Data'!J270)</f>
        <v>39153</v>
      </c>
      <c r="J273" s="34">
        <f t="shared" si="4"/>
        <v>699</v>
      </c>
      <c r="K273" s="29" t="str">
        <f>IF('Paste SD Data'!O270="","",'Paste SD Data'!O270)</f>
        <v>SC</v>
      </c>
    </row>
    <row r="274" spans="1:11" ht="30" customHeight="1" x14ac:dyDescent="0.25">
      <c r="A274" s="25">
        <f>IF(Table1[[#This Row],[Name of Student]]="","",ROWS($A$1:A270))</f>
        <v>270</v>
      </c>
      <c r="B274" s="26">
        <f>IF('Paste SD Data'!A271="","",'Paste SD Data'!A271)</f>
        <v>9</v>
      </c>
      <c r="C274" s="26" t="str">
        <f>IF('Paste SD Data'!B271="","",'Paste SD Data'!B271)</f>
        <v>B</v>
      </c>
      <c r="D274" s="26">
        <f>IF('Paste SD Data'!C271="","",'Paste SD Data'!C271)</f>
        <v>13324</v>
      </c>
      <c r="E274" s="27" t="str">
        <f>IF('Paste SD Data'!E271="","",UPPER('Paste SD Data'!E271))</f>
        <v>NILESH SALVI</v>
      </c>
      <c r="F274" s="27" t="str">
        <f>IF('Paste SD Data'!G271="","",UPPER('Paste SD Data'!G271))</f>
        <v>SHRVANLAL SALVI</v>
      </c>
      <c r="G274" s="27" t="str">
        <f>IF('Paste SD Data'!H271="","",UPPER('Paste SD Data'!H271))</f>
        <v>KELEE DEVI</v>
      </c>
      <c r="H274" s="26" t="str">
        <f>IF('Paste SD Data'!I271="","",IF('Paste SD Data'!I271="M","BOY","GIRL"))</f>
        <v>BOY</v>
      </c>
      <c r="I274" s="28">
        <f>IF('Paste SD Data'!J271="","",'Paste SD Data'!J271)</f>
        <v>38915</v>
      </c>
      <c r="J274" s="34">
        <f t="shared" si="4"/>
        <v>700</v>
      </c>
      <c r="K274" s="29" t="str">
        <f>IF('Paste SD Data'!O271="","",'Paste SD Data'!O271)</f>
        <v>SC</v>
      </c>
    </row>
    <row r="275" spans="1:11" ht="30" customHeight="1" x14ac:dyDescent="0.25">
      <c r="A275" s="25">
        <f>IF(Table1[[#This Row],[Name of Student]]="","",ROWS($A$1:A271))</f>
        <v>271</v>
      </c>
      <c r="B275" s="26">
        <f>IF('Paste SD Data'!A272="","",'Paste SD Data'!A272)</f>
        <v>9</v>
      </c>
      <c r="C275" s="26" t="str">
        <f>IF('Paste SD Data'!B272="","",'Paste SD Data'!B272)</f>
        <v>B</v>
      </c>
      <c r="D275" s="26">
        <f>IF('Paste SD Data'!C272="","",'Paste SD Data'!C272)</f>
        <v>13763</v>
      </c>
      <c r="E275" s="27" t="str">
        <f>IF('Paste SD Data'!E272="","",UPPER('Paste SD Data'!E272))</f>
        <v>NITESH KUMAR</v>
      </c>
      <c r="F275" s="27" t="str">
        <f>IF('Paste SD Data'!G272="","",UPPER('Paste SD Data'!G272))</f>
        <v>NEMI CHAND</v>
      </c>
      <c r="G275" s="27" t="str">
        <f>IF('Paste SD Data'!H272="","",UPPER('Paste SD Data'!H272))</f>
        <v>KAMLA DEVI</v>
      </c>
      <c r="H275" s="26" t="str">
        <f>IF('Paste SD Data'!I272="","",IF('Paste SD Data'!I272="M","BOY","GIRL"))</f>
        <v>BOY</v>
      </c>
      <c r="I275" s="28">
        <f>IF('Paste SD Data'!J272="","",'Paste SD Data'!J272)</f>
        <v>39424</v>
      </c>
      <c r="J275" s="34">
        <f t="shared" si="4"/>
        <v>701</v>
      </c>
      <c r="K275" s="29" t="str">
        <f>IF('Paste SD Data'!O272="","",'Paste SD Data'!O272)</f>
        <v>OBC</v>
      </c>
    </row>
    <row r="276" spans="1:11" ht="30" customHeight="1" x14ac:dyDescent="0.25">
      <c r="A276" s="25">
        <f>IF(Table1[[#This Row],[Name of Student]]="","",ROWS($A$1:A272))</f>
        <v>272</v>
      </c>
      <c r="B276" s="26">
        <f>IF('Paste SD Data'!A273="","",'Paste SD Data'!A273)</f>
        <v>9</v>
      </c>
      <c r="C276" s="26" t="str">
        <f>IF('Paste SD Data'!B273="","",'Paste SD Data'!B273)</f>
        <v>B</v>
      </c>
      <c r="D276" s="26">
        <f>IF('Paste SD Data'!C273="","",'Paste SD Data'!C273)</f>
        <v>13701</v>
      </c>
      <c r="E276" s="27" t="str">
        <f>IF('Paste SD Data'!E273="","",UPPER('Paste SD Data'!E273))</f>
        <v>OM NATH</v>
      </c>
      <c r="F276" s="27" t="str">
        <f>IF('Paste SD Data'!G273="","",UPPER('Paste SD Data'!G273))</f>
        <v>MANGU NATH</v>
      </c>
      <c r="G276" s="27" t="str">
        <f>IF('Paste SD Data'!H273="","",UPPER('Paste SD Data'!H273))</f>
        <v>RUPI</v>
      </c>
      <c r="H276" s="26" t="str">
        <f>IF('Paste SD Data'!I273="","",IF('Paste SD Data'!I273="M","BOY","GIRL"))</f>
        <v>BOY</v>
      </c>
      <c r="I276" s="28">
        <f>IF('Paste SD Data'!J273="","",'Paste SD Data'!J273)</f>
        <v>38837</v>
      </c>
      <c r="J276" s="34">
        <f t="shared" si="4"/>
        <v>702</v>
      </c>
      <c r="K276" s="29" t="str">
        <f>IF('Paste SD Data'!O273="","",'Paste SD Data'!O273)</f>
        <v>OBC</v>
      </c>
    </row>
    <row r="277" spans="1:11" ht="30" customHeight="1" x14ac:dyDescent="0.25">
      <c r="A277" s="25">
        <f>IF(Table1[[#This Row],[Name of Student]]="","",ROWS($A$1:A273))</f>
        <v>273</v>
      </c>
      <c r="B277" s="26">
        <f>IF('Paste SD Data'!A274="","",'Paste SD Data'!A274)</f>
        <v>9</v>
      </c>
      <c r="C277" s="26" t="str">
        <f>IF('Paste SD Data'!B274="","",'Paste SD Data'!B274)</f>
        <v>B</v>
      </c>
      <c r="D277" s="26">
        <f>IF('Paste SD Data'!C274="","",'Paste SD Data'!C274)</f>
        <v>13710</v>
      </c>
      <c r="E277" s="27" t="str">
        <f>IF('Paste SD Data'!E274="","",UPPER('Paste SD Data'!E274))</f>
        <v>PIYUSH GURJAR</v>
      </c>
      <c r="F277" s="27" t="str">
        <f>IF('Paste SD Data'!G274="","",UPPER('Paste SD Data'!G274))</f>
        <v>HARDEV GURJAR</v>
      </c>
      <c r="G277" s="27" t="str">
        <f>IF('Paste SD Data'!H274="","",UPPER('Paste SD Data'!H274))</f>
        <v>SEETA DEVI</v>
      </c>
      <c r="H277" s="26" t="str">
        <f>IF('Paste SD Data'!I274="","",IF('Paste SD Data'!I274="M","BOY","GIRL"))</f>
        <v>BOY</v>
      </c>
      <c r="I277" s="28">
        <f>IF('Paste SD Data'!J274="","",'Paste SD Data'!J274)</f>
        <v>38401</v>
      </c>
      <c r="J277" s="34">
        <f t="shared" si="4"/>
        <v>703</v>
      </c>
      <c r="K277" s="29" t="str">
        <f>IF('Paste SD Data'!O274="","",'Paste SD Data'!O274)</f>
        <v>SBC</v>
      </c>
    </row>
    <row r="278" spans="1:11" ht="30" customHeight="1" x14ac:dyDescent="0.25">
      <c r="A278" s="25">
        <f>IF(Table1[[#This Row],[Name of Student]]="","",ROWS($A$1:A274))</f>
        <v>274</v>
      </c>
      <c r="B278" s="26">
        <f>IF('Paste SD Data'!A275="","",'Paste SD Data'!A275)</f>
        <v>9</v>
      </c>
      <c r="C278" s="26" t="str">
        <f>IF('Paste SD Data'!B275="","",'Paste SD Data'!B275)</f>
        <v>B</v>
      </c>
      <c r="D278" s="26">
        <f>IF('Paste SD Data'!C275="","",'Paste SD Data'!C275)</f>
        <v>13498</v>
      </c>
      <c r="E278" s="27" t="str">
        <f>IF('Paste SD Data'!E275="","",UPPER('Paste SD Data'!E275))</f>
        <v>POONAM CHAND</v>
      </c>
      <c r="F278" s="27" t="str">
        <f>IF('Paste SD Data'!G275="","",UPPER('Paste SD Data'!G275))</f>
        <v>PYARE LAL</v>
      </c>
      <c r="G278" s="27" t="str">
        <f>IF('Paste SD Data'!H275="","",UPPER('Paste SD Data'!H275))</f>
        <v>INDRA DEVI</v>
      </c>
      <c r="H278" s="26" t="str">
        <f>IF('Paste SD Data'!I275="","",IF('Paste SD Data'!I275="M","BOY","GIRL"))</f>
        <v>BOY</v>
      </c>
      <c r="I278" s="28">
        <f>IF('Paste SD Data'!J275="","",'Paste SD Data'!J275)</f>
        <v>38782</v>
      </c>
      <c r="J278" s="34">
        <f t="shared" si="4"/>
        <v>704</v>
      </c>
      <c r="K278" s="29" t="str">
        <f>IF('Paste SD Data'!O275="","",'Paste SD Data'!O275)</f>
        <v>SC</v>
      </c>
    </row>
    <row r="279" spans="1:11" ht="30" customHeight="1" x14ac:dyDescent="0.25">
      <c r="A279" s="25">
        <f>IF(Table1[[#This Row],[Name of Student]]="","",ROWS($A$1:A275))</f>
        <v>275</v>
      </c>
      <c r="B279" s="26">
        <f>IF('Paste SD Data'!A276="","",'Paste SD Data'!A276)</f>
        <v>9</v>
      </c>
      <c r="C279" s="26" t="str">
        <f>IF('Paste SD Data'!B276="","",'Paste SD Data'!B276)</f>
        <v>B</v>
      </c>
      <c r="D279" s="26">
        <f>IF('Paste SD Data'!C276="","",'Paste SD Data'!C276)</f>
        <v>13890</v>
      </c>
      <c r="E279" s="27" t="str">
        <f>IF('Paste SD Data'!E276="","",UPPER('Paste SD Data'!E276))</f>
        <v>PRABHU SINGH KANAWAT</v>
      </c>
      <c r="F279" s="27" t="str">
        <f>IF('Paste SD Data'!G276="","",UPPER('Paste SD Data'!G276))</f>
        <v>RANJEET SINGH KANAWAT</v>
      </c>
      <c r="G279" s="27" t="str">
        <f>IF('Paste SD Data'!H276="","",UPPER('Paste SD Data'!H276))</f>
        <v>BEENU KANWAR</v>
      </c>
      <c r="H279" s="26" t="str">
        <f>IF('Paste SD Data'!I276="","",IF('Paste SD Data'!I276="M","BOY","GIRL"))</f>
        <v>BOY</v>
      </c>
      <c r="I279" s="28">
        <f>IF('Paste SD Data'!J276="","",'Paste SD Data'!J276)</f>
        <v>39620</v>
      </c>
      <c r="J279" s="34">
        <f t="shared" si="4"/>
        <v>705</v>
      </c>
      <c r="K279" s="29" t="str">
        <f>IF('Paste SD Data'!O276="","",'Paste SD Data'!O276)</f>
        <v>GEN</v>
      </c>
    </row>
    <row r="280" spans="1:11" ht="30" customHeight="1" x14ac:dyDescent="0.25">
      <c r="A280" s="25">
        <f>IF(Table1[[#This Row],[Name of Student]]="","",ROWS($A$1:A276))</f>
        <v>276</v>
      </c>
      <c r="B280" s="26">
        <f>IF('Paste SD Data'!A277="","",'Paste SD Data'!A277)</f>
        <v>9</v>
      </c>
      <c r="C280" s="26" t="str">
        <f>IF('Paste SD Data'!B277="","",'Paste SD Data'!B277)</f>
        <v>B</v>
      </c>
      <c r="D280" s="26">
        <f>IF('Paste SD Data'!C277="","",'Paste SD Data'!C277)</f>
        <v>13797</v>
      </c>
      <c r="E280" s="27" t="str">
        <f>IF('Paste SD Data'!E277="","",UPPER('Paste SD Data'!E277))</f>
        <v>PRADEEP SINGH RAWAT</v>
      </c>
      <c r="F280" s="27" t="str">
        <f>IF('Paste SD Data'!G277="","",UPPER('Paste SD Data'!G277))</f>
        <v>BHEEM SINGH</v>
      </c>
      <c r="G280" s="27" t="str">
        <f>IF('Paste SD Data'!H277="","",UPPER('Paste SD Data'!H277))</f>
        <v>MANGI DEVI</v>
      </c>
      <c r="H280" s="26" t="str">
        <f>IF('Paste SD Data'!I277="","",IF('Paste SD Data'!I277="M","BOY","GIRL"))</f>
        <v>BOY</v>
      </c>
      <c r="I280" s="28">
        <f>IF('Paste SD Data'!J277="","",'Paste SD Data'!J277)</f>
        <v>39427</v>
      </c>
      <c r="J280" s="34">
        <f t="shared" si="4"/>
        <v>706</v>
      </c>
      <c r="K280" s="29" t="str">
        <f>IF('Paste SD Data'!O277="","",'Paste SD Data'!O277)</f>
        <v>OBC</v>
      </c>
    </row>
    <row r="281" spans="1:11" ht="30" customHeight="1" x14ac:dyDescent="0.25">
      <c r="A281" s="25">
        <f>IF(Table1[[#This Row],[Name of Student]]="","",ROWS($A$1:A277))</f>
        <v>277</v>
      </c>
      <c r="B281" s="26">
        <f>IF('Paste SD Data'!A278="","",'Paste SD Data'!A278)</f>
        <v>9</v>
      </c>
      <c r="C281" s="26" t="str">
        <f>IF('Paste SD Data'!B278="","",'Paste SD Data'!B278)</f>
        <v>B</v>
      </c>
      <c r="D281" s="26">
        <f>IF('Paste SD Data'!C278="","",'Paste SD Data'!C278)</f>
        <v>13752</v>
      </c>
      <c r="E281" s="27" t="str">
        <f>IF('Paste SD Data'!E278="","",UPPER('Paste SD Data'!E278))</f>
        <v>PRAHLAD PRAJAPAT</v>
      </c>
      <c r="F281" s="27" t="str">
        <f>IF('Paste SD Data'!G278="","",UPPER('Paste SD Data'!G278))</f>
        <v>SRI SHESH MAL PRAJAPAT</v>
      </c>
      <c r="G281" s="27" t="str">
        <f>IF('Paste SD Data'!H278="","",UPPER('Paste SD Data'!H278))</f>
        <v>SMT REKHA DEVI</v>
      </c>
      <c r="H281" s="26" t="str">
        <f>IF('Paste SD Data'!I278="","",IF('Paste SD Data'!I278="M","BOY","GIRL"))</f>
        <v>BOY</v>
      </c>
      <c r="I281" s="28">
        <f>IF('Paste SD Data'!J278="","",'Paste SD Data'!J278)</f>
        <v>38987</v>
      </c>
      <c r="J281" s="34">
        <f t="shared" si="4"/>
        <v>707</v>
      </c>
      <c r="K281" s="29" t="str">
        <f>IF('Paste SD Data'!O278="","",'Paste SD Data'!O278)</f>
        <v>OBC</v>
      </c>
    </row>
    <row r="282" spans="1:11" ht="30" customHeight="1" x14ac:dyDescent="0.25">
      <c r="A282" s="25">
        <f>IF(Table1[[#This Row],[Name of Student]]="","",ROWS($A$1:A278))</f>
        <v>278</v>
      </c>
      <c r="B282" s="26">
        <f>IF('Paste SD Data'!A279="","",'Paste SD Data'!A279)</f>
        <v>9</v>
      </c>
      <c r="C282" s="26" t="str">
        <f>IF('Paste SD Data'!B279="","",'Paste SD Data'!B279)</f>
        <v>B</v>
      </c>
      <c r="D282" s="26">
        <f>IF('Paste SD Data'!C279="","",'Paste SD Data'!C279)</f>
        <v>13738</v>
      </c>
      <c r="E282" s="27" t="str">
        <f>IF('Paste SD Data'!E279="","",UPPER('Paste SD Data'!E279))</f>
        <v>PRAKASH KUMAR SALVI</v>
      </c>
      <c r="F282" s="27" t="str">
        <f>IF('Paste SD Data'!G279="","",UPPER('Paste SD Data'!G279))</f>
        <v>KASTUR LAL</v>
      </c>
      <c r="G282" s="27" t="str">
        <f>IF('Paste SD Data'!H279="","",UPPER('Paste SD Data'!H279))</f>
        <v>LAXMI DEVI</v>
      </c>
      <c r="H282" s="26" t="str">
        <f>IF('Paste SD Data'!I279="","",IF('Paste SD Data'!I279="M","BOY","GIRL"))</f>
        <v>BOY</v>
      </c>
      <c r="I282" s="28">
        <f>IF('Paste SD Data'!J279="","",'Paste SD Data'!J279)</f>
        <v>38651</v>
      </c>
      <c r="J282" s="34">
        <f t="shared" si="4"/>
        <v>708</v>
      </c>
      <c r="K282" s="29" t="str">
        <f>IF('Paste SD Data'!O279="","",'Paste SD Data'!O279)</f>
        <v>SC</v>
      </c>
    </row>
    <row r="283" spans="1:11" ht="30" customHeight="1" x14ac:dyDescent="0.25">
      <c r="A283" s="25">
        <f>IF(Table1[[#This Row],[Name of Student]]="","",ROWS($A$1:A279))</f>
        <v>279</v>
      </c>
      <c r="B283" s="26">
        <f>IF('Paste SD Data'!A280="","",'Paste SD Data'!A280)</f>
        <v>9</v>
      </c>
      <c r="C283" s="26" t="str">
        <f>IF('Paste SD Data'!B280="","",'Paste SD Data'!B280)</f>
        <v>B</v>
      </c>
      <c r="D283" s="26">
        <f>IF('Paste SD Data'!C280="","",'Paste SD Data'!C280)</f>
        <v>13905</v>
      </c>
      <c r="E283" s="27" t="str">
        <f>IF('Paste SD Data'!E280="","",UPPER('Paste SD Data'!E280))</f>
        <v>PRAVEEN</v>
      </c>
      <c r="F283" s="27" t="str">
        <f>IF('Paste SD Data'!G280="","",UPPER('Paste SD Data'!G280))</f>
        <v>JAGDISH CHANDRA</v>
      </c>
      <c r="G283" s="27" t="str">
        <f>IF('Paste SD Data'!H280="","",UPPER('Paste SD Data'!H280))</f>
        <v>ASHA DEVI</v>
      </c>
      <c r="H283" s="26" t="str">
        <f>IF('Paste SD Data'!I280="","",IF('Paste SD Data'!I280="M","BOY","GIRL"))</f>
        <v>BOY</v>
      </c>
      <c r="I283" s="28">
        <f>IF('Paste SD Data'!J280="","",'Paste SD Data'!J280)</f>
        <v>38902</v>
      </c>
      <c r="J283" s="34">
        <f t="shared" si="4"/>
        <v>709</v>
      </c>
      <c r="K283" s="29" t="str">
        <f>IF('Paste SD Data'!O280="","",'Paste SD Data'!O280)</f>
        <v>SC</v>
      </c>
    </row>
    <row r="284" spans="1:11" ht="30" customHeight="1" x14ac:dyDescent="0.25">
      <c r="A284" s="25">
        <f>IF(Table1[[#This Row],[Name of Student]]="","",ROWS($A$1:A280))</f>
        <v>280</v>
      </c>
      <c r="B284" s="26">
        <f>IF('Paste SD Data'!A281="","",'Paste SD Data'!A281)</f>
        <v>9</v>
      </c>
      <c r="C284" s="26" t="str">
        <f>IF('Paste SD Data'!B281="","",'Paste SD Data'!B281)</f>
        <v>B</v>
      </c>
      <c r="D284" s="26">
        <f>IF('Paste SD Data'!C281="","",'Paste SD Data'!C281)</f>
        <v>13769</v>
      </c>
      <c r="E284" s="27" t="str">
        <f>IF('Paste SD Data'!E281="","",UPPER('Paste SD Data'!E281))</f>
        <v>RAGHAV VAISHNAV</v>
      </c>
      <c r="F284" s="27" t="str">
        <f>IF('Paste SD Data'!G281="","",UPPER('Paste SD Data'!G281))</f>
        <v>RAJESH VAISHNAV</v>
      </c>
      <c r="G284" s="27" t="str">
        <f>IF('Paste SD Data'!H281="","",UPPER('Paste SD Data'!H281))</f>
        <v>DURGA DEVI</v>
      </c>
      <c r="H284" s="26" t="str">
        <f>IF('Paste SD Data'!I281="","",IF('Paste SD Data'!I281="M","BOY","GIRL"))</f>
        <v>BOY</v>
      </c>
      <c r="I284" s="28">
        <f>IF('Paste SD Data'!J281="","",'Paste SD Data'!J281)</f>
        <v>39203</v>
      </c>
      <c r="J284" s="34">
        <f t="shared" si="4"/>
        <v>710</v>
      </c>
      <c r="K284" s="29" t="str">
        <f>IF('Paste SD Data'!O281="","",'Paste SD Data'!O281)</f>
        <v>OBC</v>
      </c>
    </row>
    <row r="285" spans="1:11" ht="30" customHeight="1" x14ac:dyDescent="0.25">
      <c r="A285" s="25">
        <f>IF(Table1[[#This Row],[Name of Student]]="","",ROWS($A$1:A281))</f>
        <v>281</v>
      </c>
      <c r="B285" s="26">
        <f>IF('Paste SD Data'!A282="","",'Paste SD Data'!A282)</f>
        <v>9</v>
      </c>
      <c r="C285" s="26" t="str">
        <f>IF('Paste SD Data'!B282="","",'Paste SD Data'!B282)</f>
        <v>B</v>
      </c>
      <c r="D285" s="26">
        <f>IF('Paste SD Data'!C282="","",'Paste SD Data'!C282)</f>
        <v>13785</v>
      </c>
      <c r="E285" s="27" t="str">
        <f>IF('Paste SD Data'!E282="","",UPPER('Paste SD Data'!E282))</f>
        <v>RAHUL KUMAR REGAR</v>
      </c>
      <c r="F285" s="27" t="str">
        <f>IF('Paste SD Data'!G282="","",UPPER('Paste SD Data'!G282))</f>
        <v>PYARA LAL REGAR</v>
      </c>
      <c r="G285" s="27" t="str">
        <f>IF('Paste SD Data'!H282="","",UPPER('Paste SD Data'!H282))</f>
        <v>ANACHI DEVI</v>
      </c>
      <c r="H285" s="26" t="str">
        <f>IF('Paste SD Data'!I282="","",IF('Paste SD Data'!I282="M","BOY","GIRL"))</f>
        <v>BOY</v>
      </c>
      <c r="I285" s="28">
        <f>IF('Paste SD Data'!J282="","",'Paste SD Data'!J282)</f>
        <v>38964</v>
      </c>
      <c r="J285" s="34">
        <f t="shared" si="4"/>
        <v>711</v>
      </c>
      <c r="K285" s="29" t="str">
        <f>IF('Paste SD Data'!O282="","",'Paste SD Data'!O282)</f>
        <v>SC</v>
      </c>
    </row>
    <row r="286" spans="1:11" ht="30" customHeight="1" x14ac:dyDescent="0.25">
      <c r="A286" s="25">
        <f>IF(Table1[[#This Row],[Name of Student]]="","",ROWS($A$1:A282))</f>
        <v>282</v>
      </c>
      <c r="B286" s="26">
        <f>IF('Paste SD Data'!A283="","",'Paste SD Data'!A283)</f>
        <v>9</v>
      </c>
      <c r="C286" s="26" t="str">
        <f>IF('Paste SD Data'!B283="","",'Paste SD Data'!B283)</f>
        <v>B</v>
      </c>
      <c r="D286" s="26">
        <f>IF('Paste SD Data'!C283="","",'Paste SD Data'!C283)</f>
        <v>13132</v>
      </c>
      <c r="E286" s="27" t="str">
        <f>IF('Paste SD Data'!E283="","",UPPER('Paste SD Data'!E283))</f>
        <v>RAHUL MALI</v>
      </c>
      <c r="F286" s="27" t="str">
        <f>IF('Paste SD Data'!G283="","",UPPER('Paste SD Data'!G283))</f>
        <v>BHERU LAL MALI</v>
      </c>
      <c r="G286" s="27" t="str">
        <f>IF('Paste SD Data'!H283="","",UPPER('Paste SD Data'!H283))</f>
        <v>NARAYANI DEVI</v>
      </c>
      <c r="H286" s="26" t="str">
        <f>IF('Paste SD Data'!I283="","",IF('Paste SD Data'!I283="M","BOY","GIRL"))</f>
        <v>BOY</v>
      </c>
      <c r="I286" s="28">
        <f>IF('Paste SD Data'!J283="","",'Paste SD Data'!J283)</f>
        <v>39283</v>
      </c>
      <c r="J286" s="34">
        <f t="shared" si="4"/>
        <v>712</v>
      </c>
      <c r="K286" s="29" t="str">
        <f>IF('Paste SD Data'!O283="","",'Paste SD Data'!O283)</f>
        <v>OBC</v>
      </c>
    </row>
    <row r="287" spans="1:11" ht="30" customHeight="1" x14ac:dyDescent="0.25">
      <c r="A287" s="25">
        <f>IF(Table1[[#This Row],[Name of Student]]="","",ROWS($A$1:A283))</f>
        <v>283</v>
      </c>
      <c r="B287" s="26">
        <f>IF('Paste SD Data'!A284="","",'Paste SD Data'!A284)</f>
        <v>9</v>
      </c>
      <c r="C287" s="26" t="str">
        <f>IF('Paste SD Data'!B284="","",'Paste SD Data'!B284)</f>
        <v>B</v>
      </c>
      <c r="D287" s="26">
        <f>IF('Paste SD Data'!C284="","",'Paste SD Data'!C284)</f>
        <v>12263</v>
      </c>
      <c r="E287" s="27" t="str">
        <f>IF('Paste SD Data'!E284="","",UPPER('Paste SD Data'!E284))</f>
        <v>RAHUL MALI</v>
      </c>
      <c r="F287" s="27" t="str">
        <f>IF('Paste SD Data'!G284="","",UPPER('Paste SD Data'!G284))</f>
        <v>RAMESH LAL MALI</v>
      </c>
      <c r="G287" s="27" t="str">
        <f>IF('Paste SD Data'!H284="","",UPPER('Paste SD Data'!H284))</f>
        <v>MEENA MALI</v>
      </c>
      <c r="H287" s="26" t="str">
        <f>IF('Paste SD Data'!I284="","",IF('Paste SD Data'!I284="M","BOY","GIRL"))</f>
        <v>BOY</v>
      </c>
      <c r="I287" s="28">
        <f>IF('Paste SD Data'!J284="","",'Paste SD Data'!J284)</f>
        <v>38944</v>
      </c>
      <c r="J287" s="34">
        <f t="shared" si="4"/>
        <v>713</v>
      </c>
      <c r="K287" s="29" t="str">
        <f>IF('Paste SD Data'!O284="","",'Paste SD Data'!O284)</f>
        <v>OBC</v>
      </c>
    </row>
    <row r="288" spans="1:11" ht="30" customHeight="1" x14ac:dyDescent="0.25">
      <c r="A288" s="25">
        <f>IF(Table1[[#This Row],[Name of Student]]="","",ROWS($A$1:A284))</f>
        <v>284</v>
      </c>
      <c r="B288" s="26">
        <f>IF('Paste SD Data'!A285="","",'Paste SD Data'!A285)</f>
        <v>9</v>
      </c>
      <c r="C288" s="26" t="str">
        <f>IF('Paste SD Data'!B285="","",'Paste SD Data'!B285)</f>
        <v>B</v>
      </c>
      <c r="D288" s="26">
        <f>IF('Paste SD Data'!C285="","",'Paste SD Data'!C285)</f>
        <v>13778</v>
      </c>
      <c r="E288" s="27" t="str">
        <f>IF('Paste SD Data'!E285="","",UPPER('Paste SD Data'!E285))</f>
        <v>RAJENDRA SINGH</v>
      </c>
      <c r="F288" s="27" t="str">
        <f>IF('Paste SD Data'!G285="","",UPPER('Paste SD Data'!G285))</f>
        <v>KALYAN SINGH</v>
      </c>
      <c r="G288" s="27" t="str">
        <f>IF('Paste SD Data'!H285="","",UPPER('Paste SD Data'!H285))</f>
        <v>JHAMKU DEVI</v>
      </c>
      <c r="H288" s="26" t="str">
        <f>IF('Paste SD Data'!I285="","",IF('Paste SD Data'!I285="M","BOY","GIRL"))</f>
        <v>BOY</v>
      </c>
      <c r="I288" s="28">
        <f>IF('Paste SD Data'!J285="","",'Paste SD Data'!J285)</f>
        <v>39367</v>
      </c>
      <c r="J288" s="34">
        <f t="shared" si="4"/>
        <v>714</v>
      </c>
      <c r="K288" s="29" t="str">
        <f>IF('Paste SD Data'!O285="","",'Paste SD Data'!O285)</f>
        <v>OBC</v>
      </c>
    </row>
    <row r="289" spans="1:11" ht="30" customHeight="1" x14ac:dyDescent="0.25">
      <c r="A289" s="25">
        <f>IF(Table1[[#This Row],[Name of Student]]="","",ROWS($A$1:A285))</f>
        <v>285</v>
      </c>
      <c r="B289" s="26">
        <f>IF('Paste SD Data'!A286="","",'Paste SD Data'!A286)</f>
        <v>9</v>
      </c>
      <c r="C289" s="26" t="str">
        <f>IF('Paste SD Data'!B286="","",'Paste SD Data'!B286)</f>
        <v>B</v>
      </c>
      <c r="D289" s="26">
        <f>IF('Paste SD Data'!C286="","",'Paste SD Data'!C286)</f>
        <v>13773</v>
      </c>
      <c r="E289" s="27" t="str">
        <f>IF('Paste SD Data'!E286="","",UPPER('Paste SD Data'!E286))</f>
        <v>RAJU MALI</v>
      </c>
      <c r="F289" s="27" t="str">
        <f>IF('Paste SD Data'!G286="","",UPPER('Paste SD Data'!G286))</f>
        <v>SHYAM LAL MALI</v>
      </c>
      <c r="G289" s="27" t="str">
        <f>IF('Paste SD Data'!H286="","",UPPER('Paste SD Data'!H286))</f>
        <v>KESHAR DEVI</v>
      </c>
      <c r="H289" s="26" t="str">
        <f>IF('Paste SD Data'!I286="","",IF('Paste SD Data'!I286="M","BOY","GIRL"))</f>
        <v>BOY</v>
      </c>
      <c r="I289" s="28">
        <f>IF('Paste SD Data'!J286="","",'Paste SD Data'!J286)</f>
        <v>38479</v>
      </c>
      <c r="J289" s="34">
        <f t="shared" si="4"/>
        <v>715</v>
      </c>
      <c r="K289" s="29" t="str">
        <f>IF('Paste SD Data'!O286="","",'Paste SD Data'!O286)</f>
        <v>OBC</v>
      </c>
    </row>
    <row r="290" spans="1:11" ht="30" customHeight="1" x14ac:dyDescent="0.25">
      <c r="A290" s="25">
        <f>IF(Table1[[#This Row],[Name of Student]]="","",ROWS($A$1:A286))</f>
        <v>286</v>
      </c>
      <c r="B290" s="26">
        <f>IF('Paste SD Data'!A287="","",'Paste SD Data'!A287)</f>
        <v>9</v>
      </c>
      <c r="C290" s="26" t="str">
        <f>IF('Paste SD Data'!B287="","",'Paste SD Data'!B287)</f>
        <v>B</v>
      </c>
      <c r="D290" s="26">
        <f>IF('Paste SD Data'!C287="","",'Paste SD Data'!C287)</f>
        <v>13843</v>
      </c>
      <c r="E290" s="27" t="str">
        <f>IF('Paste SD Data'!E287="","",UPPER('Paste SD Data'!E287))</f>
        <v>RAJU VAN</v>
      </c>
      <c r="F290" s="27" t="str">
        <f>IF('Paste SD Data'!G287="","",UPPER('Paste SD Data'!G287))</f>
        <v>SAMANDER VAN</v>
      </c>
      <c r="G290" s="27" t="str">
        <f>IF('Paste SD Data'!H287="","",UPPER('Paste SD Data'!H287))</f>
        <v>ANITA VAN</v>
      </c>
      <c r="H290" s="26" t="str">
        <f>IF('Paste SD Data'!I287="","",IF('Paste SD Data'!I287="M","BOY","GIRL"))</f>
        <v>BOY</v>
      </c>
      <c r="I290" s="28">
        <f>IF('Paste SD Data'!J287="","",'Paste SD Data'!J287)</f>
        <v>39368</v>
      </c>
      <c r="J290" s="34">
        <f t="shared" si="4"/>
        <v>716</v>
      </c>
      <c r="K290" s="29" t="str">
        <f>IF('Paste SD Data'!O287="","",'Paste SD Data'!O287)</f>
        <v>OBC</v>
      </c>
    </row>
    <row r="291" spans="1:11" ht="30" customHeight="1" x14ac:dyDescent="0.25">
      <c r="A291" s="25">
        <f>IF(Table1[[#This Row],[Name of Student]]="","",ROWS($A$1:A287))</f>
        <v>287</v>
      </c>
      <c r="B291" s="26">
        <f>IF('Paste SD Data'!A288="","",'Paste SD Data'!A288)</f>
        <v>9</v>
      </c>
      <c r="C291" s="26" t="str">
        <f>IF('Paste SD Data'!B288="","",'Paste SD Data'!B288)</f>
        <v>B</v>
      </c>
      <c r="D291" s="26">
        <f>IF('Paste SD Data'!C288="","",'Paste SD Data'!C288)</f>
        <v>13891</v>
      </c>
      <c r="E291" s="27" t="str">
        <f>IF('Paste SD Data'!E288="","",UPPER('Paste SD Data'!E288))</f>
        <v>RAMESH SINGH</v>
      </c>
      <c r="F291" s="27" t="str">
        <f>IF('Paste SD Data'!G288="","",UPPER('Paste SD Data'!G288))</f>
        <v>SOHAN SINGH</v>
      </c>
      <c r="G291" s="27" t="str">
        <f>IF('Paste SD Data'!H288="","",UPPER('Paste SD Data'!H288))</f>
        <v>LAXMI DEVI</v>
      </c>
      <c r="H291" s="26" t="str">
        <f>IF('Paste SD Data'!I288="","",IF('Paste SD Data'!I288="M","BOY","GIRL"))</f>
        <v>BOY</v>
      </c>
      <c r="I291" s="28">
        <f>IF('Paste SD Data'!J288="","",'Paste SD Data'!J288)</f>
        <v>38576</v>
      </c>
      <c r="J291" s="34">
        <f t="shared" si="4"/>
        <v>717</v>
      </c>
      <c r="K291" s="29" t="str">
        <f>IF('Paste SD Data'!O288="","",'Paste SD Data'!O288)</f>
        <v>OBC</v>
      </c>
    </row>
    <row r="292" spans="1:11" ht="30" customHeight="1" x14ac:dyDescent="0.25">
      <c r="A292" s="25">
        <f>IF(Table1[[#This Row],[Name of Student]]="","",ROWS($A$1:A288))</f>
        <v>288</v>
      </c>
      <c r="B292" s="26">
        <f>IF('Paste SD Data'!A289="","",'Paste SD Data'!A289)</f>
        <v>9</v>
      </c>
      <c r="C292" s="26" t="str">
        <f>IF('Paste SD Data'!B289="","",'Paste SD Data'!B289)</f>
        <v>B</v>
      </c>
      <c r="D292" s="26">
        <f>IF('Paste SD Data'!C289="","",'Paste SD Data'!C289)</f>
        <v>13822</v>
      </c>
      <c r="E292" s="27" t="str">
        <f>IF('Paste SD Data'!E289="","",UPPER('Paste SD Data'!E289))</f>
        <v>RAVI BHARTI GOSWAMI</v>
      </c>
      <c r="F292" s="27" t="str">
        <f>IF('Paste SD Data'!G289="","",UPPER('Paste SD Data'!G289))</f>
        <v>SURESH BHARTI GOSWAMI</v>
      </c>
      <c r="G292" s="27" t="str">
        <f>IF('Paste SD Data'!H289="","",UPPER('Paste SD Data'!H289))</f>
        <v>KANKU DEVI</v>
      </c>
      <c r="H292" s="26" t="str">
        <f>IF('Paste SD Data'!I289="","",IF('Paste SD Data'!I289="M","BOY","GIRL"))</f>
        <v>BOY</v>
      </c>
      <c r="I292" s="28">
        <f>IF('Paste SD Data'!J289="","",'Paste SD Data'!J289)</f>
        <v>38745</v>
      </c>
      <c r="J292" s="34">
        <f t="shared" si="4"/>
        <v>718</v>
      </c>
      <c r="K292" s="29" t="str">
        <f>IF('Paste SD Data'!O289="","",'Paste SD Data'!O289)</f>
        <v>OBC</v>
      </c>
    </row>
    <row r="293" spans="1:11" ht="30" customHeight="1" x14ac:dyDescent="0.25">
      <c r="A293" s="25">
        <f>IF(Table1[[#This Row],[Name of Student]]="","",ROWS($A$1:A289))</f>
        <v>289</v>
      </c>
      <c r="B293" s="26">
        <f>IF('Paste SD Data'!A290="","",'Paste SD Data'!A290)</f>
        <v>9</v>
      </c>
      <c r="C293" s="26" t="str">
        <f>IF('Paste SD Data'!B290="","",'Paste SD Data'!B290)</f>
        <v>B</v>
      </c>
      <c r="D293" s="26">
        <f>IF('Paste SD Data'!C290="","",'Paste SD Data'!C290)</f>
        <v>13755</v>
      </c>
      <c r="E293" s="27" t="str">
        <f>IF('Paste SD Data'!E290="","",UPPER('Paste SD Data'!E290))</f>
        <v>RAVINDRA SINGH</v>
      </c>
      <c r="F293" s="27" t="str">
        <f>IF('Paste SD Data'!G290="","",UPPER('Paste SD Data'!G290))</f>
        <v>MADAN SINGH</v>
      </c>
      <c r="G293" s="27" t="str">
        <f>IF('Paste SD Data'!H290="","",UPPER('Paste SD Data'!H290))</f>
        <v>SEETA DEVI</v>
      </c>
      <c r="H293" s="26" t="str">
        <f>IF('Paste SD Data'!I290="","",IF('Paste SD Data'!I290="M","BOY","GIRL"))</f>
        <v>BOY</v>
      </c>
      <c r="I293" s="28">
        <f>IF('Paste SD Data'!J290="","",'Paste SD Data'!J290)</f>
        <v>39665</v>
      </c>
      <c r="J293" s="34">
        <f t="shared" si="4"/>
        <v>719</v>
      </c>
      <c r="K293" s="29" t="str">
        <f>IF('Paste SD Data'!O290="","",'Paste SD Data'!O290)</f>
        <v>OBC</v>
      </c>
    </row>
    <row r="294" spans="1:11" ht="30" customHeight="1" x14ac:dyDescent="0.25">
      <c r="A294" s="25">
        <f>IF(Table1[[#This Row],[Name of Student]]="","",ROWS($A$1:A290))</f>
        <v>290</v>
      </c>
      <c r="B294" s="26">
        <f>IF('Paste SD Data'!A291="","",'Paste SD Data'!A291)</f>
        <v>9</v>
      </c>
      <c r="C294" s="26" t="str">
        <f>IF('Paste SD Data'!B291="","",'Paste SD Data'!B291)</f>
        <v>B</v>
      </c>
      <c r="D294" s="26">
        <f>IF('Paste SD Data'!C291="","",'Paste SD Data'!C291)</f>
        <v>13782</v>
      </c>
      <c r="E294" s="27" t="str">
        <f>IF('Paste SD Data'!E291="","",UPPER('Paste SD Data'!E291))</f>
        <v>RAVINDRA SINGH RATHORE</v>
      </c>
      <c r="F294" s="27" t="str">
        <f>IF('Paste SD Data'!G291="","",UPPER('Paste SD Data'!G291))</f>
        <v>SHANKAR SINGH RATHORE</v>
      </c>
      <c r="G294" s="27" t="str">
        <f>IF('Paste SD Data'!H291="","",UPPER('Paste SD Data'!H291))</f>
        <v>SANTOSH KANWAR</v>
      </c>
      <c r="H294" s="26" t="str">
        <f>IF('Paste SD Data'!I291="","",IF('Paste SD Data'!I291="M","BOY","GIRL"))</f>
        <v>BOY</v>
      </c>
      <c r="I294" s="28">
        <f>IF('Paste SD Data'!J291="","",'Paste SD Data'!J291)</f>
        <v>39537</v>
      </c>
      <c r="J294" s="34">
        <f t="shared" si="4"/>
        <v>720</v>
      </c>
      <c r="K294" s="29" t="str">
        <f>IF('Paste SD Data'!O291="","",'Paste SD Data'!O291)</f>
        <v>GEN</v>
      </c>
    </row>
    <row r="295" spans="1:11" ht="30" customHeight="1" x14ac:dyDescent="0.25">
      <c r="A295" s="25">
        <f>IF(Table1[[#This Row],[Name of Student]]="","",ROWS($A$1:A291))</f>
        <v>291</v>
      </c>
      <c r="B295" s="26">
        <f>IF('Paste SD Data'!A292="","",'Paste SD Data'!A292)</f>
        <v>9</v>
      </c>
      <c r="C295" s="26" t="str">
        <f>IF('Paste SD Data'!B292="","",'Paste SD Data'!B292)</f>
        <v>B</v>
      </c>
      <c r="D295" s="26">
        <f>IF('Paste SD Data'!C292="","",'Paste SD Data'!C292)</f>
        <v>13800</v>
      </c>
      <c r="E295" s="27" t="str">
        <f>IF('Paste SD Data'!E292="","",UPPER('Paste SD Data'!E292))</f>
        <v>ROHIT GURJAR</v>
      </c>
      <c r="F295" s="27" t="str">
        <f>IF('Paste SD Data'!G292="","",UPPER('Paste SD Data'!G292))</f>
        <v>BHANWAR GURJAR</v>
      </c>
      <c r="G295" s="27" t="str">
        <f>IF('Paste SD Data'!H292="","",UPPER('Paste SD Data'!H292))</f>
        <v>KRISHNA DEVI</v>
      </c>
      <c r="H295" s="26" t="str">
        <f>IF('Paste SD Data'!I292="","",IF('Paste SD Data'!I292="M","BOY","GIRL"))</f>
        <v>BOY</v>
      </c>
      <c r="I295" s="28">
        <f>IF('Paste SD Data'!J292="","",'Paste SD Data'!J292)</f>
        <v>39625</v>
      </c>
      <c r="J295" s="34">
        <f t="shared" si="4"/>
        <v>721</v>
      </c>
      <c r="K295" s="29" t="str">
        <f>IF('Paste SD Data'!O292="","",'Paste SD Data'!O292)</f>
        <v>SBC</v>
      </c>
    </row>
    <row r="296" spans="1:11" ht="30" customHeight="1" x14ac:dyDescent="0.25">
      <c r="A296" s="25">
        <f>IF(Table1[[#This Row],[Name of Student]]="","",ROWS($A$1:A292))</f>
        <v>292</v>
      </c>
      <c r="B296" s="26">
        <f>IF('Paste SD Data'!A293="","",'Paste SD Data'!A293)</f>
        <v>9</v>
      </c>
      <c r="C296" s="26" t="str">
        <f>IF('Paste SD Data'!B293="","",'Paste SD Data'!B293)</f>
        <v>B</v>
      </c>
      <c r="D296" s="26">
        <f>IF('Paste SD Data'!C293="","",'Paste SD Data'!C293)</f>
        <v>13610</v>
      </c>
      <c r="E296" s="27" t="str">
        <f>IF('Paste SD Data'!E293="","",UPPER('Paste SD Data'!E293))</f>
        <v>SACHIN SINGH TANK</v>
      </c>
      <c r="F296" s="27" t="str">
        <f>IF('Paste SD Data'!G293="","",UPPER('Paste SD Data'!G293))</f>
        <v>AJAY SINGH TANK</v>
      </c>
      <c r="G296" s="27" t="str">
        <f>IF('Paste SD Data'!H293="","",UPPER('Paste SD Data'!H293))</f>
        <v>LONA KANWAR</v>
      </c>
      <c r="H296" s="26" t="str">
        <f>IF('Paste SD Data'!I293="","",IF('Paste SD Data'!I293="M","BOY","GIRL"))</f>
        <v>BOY</v>
      </c>
      <c r="I296" s="28">
        <f>IF('Paste SD Data'!J293="","",'Paste SD Data'!J293)</f>
        <v>40148</v>
      </c>
      <c r="J296" s="34">
        <f t="shared" si="4"/>
        <v>722</v>
      </c>
      <c r="K296" s="29" t="str">
        <f>IF('Paste SD Data'!O293="","",'Paste SD Data'!O293)</f>
        <v>OBC</v>
      </c>
    </row>
    <row r="297" spans="1:11" ht="30" customHeight="1" x14ac:dyDescent="0.25">
      <c r="A297" s="25">
        <f>IF(Table1[[#This Row],[Name of Student]]="","",ROWS($A$1:A293))</f>
        <v>293</v>
      </c>
      <c r="B297" s="26">
        <f>IF('Paste SD Data'!A294="","",'Paste SD Data'!A294)</f>
        <v>9</v>
      </c>
      <c r="C297" s="26" t="str">
        <f>IF('Paste SD Data'!B294="","",'Paste SD Data'!B294)</f>
        <v>B</v>
      </c>
      <c r="D297" s="26">
        <f>IF('Paste SD Data'!C294="","",'Paste SD Data'!C294)</f>
        <v>12280</v>
      </c>
      <c r="E297" s="27" t="str">
        <f>IF('Paste SD Data'!E294="","",UPPER('Paste SD Data'!E294))</f>
        <v>SADDAM HUSSAIN</v>
      </c>
      <c r="F297" s="27" t="str">
        <f>IF('Paste SD Data'!G294="","",UPPER('Paste SD Data'!G294))</f>
        <v>KHURSHID AHAMED</v>
      </c>
      <c r="G297" s="27" t="str">
        <f>IF('Paste SD Data'!H294="","",UPPER('Paste SD Data'!H294))</f>
        <v>MOHASINA BANU</v>
      </c>
      <c r="H297" s="26" t="str">
        <f>IF('Paste SD Data'!I294="","",IF('Paste SD Data'!I294="M","BOY","GIRL"))</f>
        <v>BOY</v>
      </c>
      <c r="I297" s="28">
        <f>IF('Paste SD Data'!J294="","",'Paste SD Data'!J294)</f>
        <v>39323</v>
      </c>
      <c r="J297" s="34">
        <f t="shared" si="4"/>
        <v>723</v>
      </c>
      <c r="K297" s="29" t="str">
        <f>IF('Paste SD Data'!O294="","",'Paste SD Data'!O294)</f>
        <v>OBC</v>
      </c>
    </row>
    <row r="298" spans="1:11" ht="30" customHeight="1" x14ac:dyDescent="0.25">
      <c r="A298" s="25">
        <f>IF(Table1[[#This Row],[Name of Student]]="","",ROWS($A$1:A294))</f>
        <v>294</v>
      </c>
      <c r="B298" s="26">
        <f>IF('Paste SD Data'!A295="","",'Paste SD Data'!A295)</f>
        <v>9</v>
      </c>
      <c r="C298" s="26" t="str">
        <f>IF('Paste SD Data'!B295="","",'Paste SD Data'!B295)</f>
        <v>B</v>
      </c>
      <c r="D298" s="26">
        <f>IF('Paste SD Data'!C295="","",'Paste SD Data'!C295)</f>
        <v>13764</v>
      </c>
      <c r="E298" s="27" t="str">
        <f>IF('Paste SD Data'!E295="","",UPPER('Paste SD Data'!E295))</f>
        <v>SAGAR SINGH</v>
      </c>
      <c r="F298" s="27" t="str">
        <f>IF('Paste SD Data'!G295="","",UPPER('Paste SD Data'!G295))</f>
        <v>MAHENDRA SINGH</v>
      </c>
      <c r="G298" s="27" t="str">
        <f>IF('Paste SD Data'!H295="","",UPPER('Paste SD Data'!H295))</f>
        <v>LALITA DEVI</v>
      </c>
      <c r="H298" s="26" t="str">
        <f>IF('Paste SD Data'!I295="","",IF('Paste SD Data'!I295="M","BOY","GIRL"))</f>
        <v>BOY</v>
      </c>
      <c r="I298" s="28">
        <f>IF('Paste SD Data'!J295="","",'Paste SD Data'!J295)</f>
        <v>39146</v>
      </c>
      <c r="J298" s="34">
        <f t="shared" si="4"/>
        <v>724</v>
      </c>
      <c r="K298" s="29" t="str">
        <f>IF('Paste SD Data'!O295="","",'Paste SD Data'!O295)</f>
        <v>OBC</v>
      </c>
    </row>
    <row r="299" spans="1:11" ht="30" customHeight="1" x14ac:dyDescent="0.25">
      <c r="A299" s="25">
        <f>IF(Table1[[#This Row],[Name of Student]]="","",ROWS($A$1:A295))</f>
        <v>295</v>
      </c>
      <c r="B299" s="26">
        <f>IF('Paste SD Data'!A296="","",'Paste SD Data'!A296)</f>
        <v>9</v>
      </c>
      <c r="C299" s="26" t="str">
        <f>IF('Paste SD Data'!B296="","",'Paste SD Data'!B296)</f>
        <v>B</v>
      </c>
      <c r="D299" s="26">
        <f>IF('Paste SD Data'!C296="","",'Paste SD Data'!C296)</f>
        <v>13767</v>
      </c>
      <c r="E299" s="27" t="str">
        <f>IF('Paste SD Data'!E296="","",UPPER('Paste SD Data'!E296))</f>
        <v>SANJAY KALAL</v>
      </c>
      <c r="F299" s="27" t="str">
        <f>IF('Paste SD Data'!G296="","",UPPER('Paste SD Data'!G296))</f>
        <v>PRAKASH CHANDRA KALAL</v>
      </c>
      <c r="G299" s="27" t="str">
        <f>IF('Paste SD Data'!H296="","",UPPER('Paste SD Data'!H296))</f>
        <v>LAXMI DEVI</v>
      </c>
      <c r="H299" s="26" t="str">
        <f>IF('Paste SD Data'!I296="","",IF('Paste SD Data'!I296="M","BOY","GIRL"))</f>
        <v>BOY</v>
      </c>
      <c r="I299" s="28">
        <f>IF('Paste SD Data'!J296="","",'Paste SD Data'!J296)</f>
        <v>39385</v>
      </c>
      <c r="J299" s="34">
        <f t="shared" si="4"/>
        <v>725</v>
      </c>
      <c r="K299" s="29" t="str">
        <f>IF('Paste SD Data'!O296="","",'Paste SD Data'!O296)</f>
        <v>OBC</v>
      </c>
    </row>
    <row r="300" spans="1:11" ht="30" customHeight="1" x14ac:dyDescent="0.25">
      <c r="A300" s="25">
        <f>IF(Table1[[#This Row],[Name of Student]]="","",ROWS($A$1:A296))</f>
        <v>296</v>
      </c>
      <c r="B300" s="26">
        <f>IF('Paste SD Data'!A297="","",'Paste SD Data'!A297)</f>
        <v>9</v>
      </c>
      <c r="C300" s="26" t="str">
        <f>IF('Paste SD Data'!B297="","",'Paste SD Data'!B297)</f>
        <v>B</v>
      </c>
      <c r="D300" s="26">
        <f>IF('Paste SD Data'!C297="","",'Paste SD Data'!C297)</f>
        <v>13974</v>
      </c>
      <c r="E300" s="27" t="str">
        <f>IF('Paste SD Data'!E297="","",UPPER('Paste SD Data'!E297))</f>
        <v>SANJAY SAHU</v>
      </c>
      <c r="F300" s="27" t="str">
        <f>IF('Paste SD Data'!G297="","",UPPER('Paste SD Data'!G297))</f>
        <v>LADU LAL SAHU</v>
      </c>
      <c r="G300" s="27" t="str">
        <f>IF('Paste SD Data'!H297="","",UPPER('Paste SD Data'!H297))</f>
        <v>SHARDA DEVI</v>
      </c>
      <c r="H300" s="26" t="str">
        <f>IF('Paste SD Data'!I297="","",IF('Paste SD Data'!I297="M","BOY","GIRL"))</f>
        <v>BOY</v>
      </c>
      <c r="I300" s="28">
        <f>IF('Paste SD Data'!J297="","",'Paste SD Data'!J297)</f>
        <v>38718</v>
      </c>
      <c r="J300" s="34">
        <f t="shared" si="4"/>
        <v>726</v>
      </c>
      <c r="K300" s="29" t="str">
        <f>IF('Paste SD Data'!O297="","",'Paste SD Data'!O297)</f>
        <v>OBC</v>
      </c>
    </row>
    <row r="301" spans="1:11" ht="30" customHeight="1" x14ac:dyDescent="0.25">
      <c r="A301" s="25">
        <f>IF(Table1[[#This Row],[Name of Student]]="","",ROWS($A$1:A297))</f>
        <v>297</v>
      </c>
      <c r="B301" s="26">
        <f>IF('Paste SD Data'!A298="","",'Paste SD Data'!A298)</f>
        <v>9</v>
      </c>
      <c r="C301" s="26" t="str">
        <f>IF('Paste SD Data'!B298="","",'Paste SD Data'!B298)</f>
        <v>B</v>
      </c>
      <c r="D301" s="26">
        <f>IF('Paste SD Data'!C298="","",'Paste SD Data'!C298)</f>
        <v>13799</v>
      </c>
      <c r="E301" s="27" t="str">
        <f>IF('Paste SD Data'!E298="","",UPPER('Paste SD Data'!E298))</f>
        <v>SHAHJAN SHEIKH</v>
      </c>
      <c r="F301" s="27" t="str">
        <f>IF('Paste SD Data'!G298="","",UPPER('Paste SD Data'!G298))</f>
        <v>FIROJKHA SHEIKH</v>
      </c>
      <c r="G301" s="27" t="str">
        <f>IF('Paste SD Data'!H298="","",UPPER('Paste SD Data'!H298))</f>
        <v>NILOFAR BANU</v>
      </c>
      <c r="H301" s="26" t="str">
        <f>IF('Paste SD Data'!I298="","",IF('Paste SD Data'!I298="M","BOY","GIRL"))</f>
        <v>BOY</v>
      </c>
      <c r="I301" s="28">
        <f>IF('Paste SD Data'!J298="","",'Paste SD Data'!J298)</f>
        <v>38984</v>
      </c>
      <c r="J301" s="34">
        <f t="shared" si="4"/>
        <v>727</v>
      </c>
      <c r="K301" s="29" t="str">
        <f>IF('Paste SD Data'!O298="","",'Paste SD Data'!O298)</f>
        <v>GEN</v>
      </c>
    </row>
    <row r="302" spans="1:11" ht="30" customHeight="1" x14ac:dyDescent="0.25">
      <c r="A302" s="25">
        <f>IF(Table1[[#This Row],[Name of Student]]="","",ROWS($A$1:A298))</f>
        <v>298</v>
      </c>
      <c r="B302" s="26">
        <f>IF('Paste SD Data'!A299="","",'Paste SD Data'!A299)</f>
        <v>9</v>
      </c>
      <c r="C302" s="26" t="str">
        <f>IF('Paste SD Data'!B299="","",'Paste SD Data'!B299)</f>
        <v>B</v>
      </c>
      <c r="D302" s="26">
        <f>IF('Paste SD Data'!C299="","",'Paste SD Data'!C299)</f>
        <v>13798</v>
      </c>
      <c r="E302" s="27" t="str">
        <f>IF('Paste SD Data'!E299="","",UPPER('Paste SD Data'!E299))</f>
        <v>SHAHNAWAJ SHEIKH</v>
      </c>
      <c r="F302" s="27" t="str">
        <f>IF('Paste SD Data'!G299="","",UPPER('Paste SD Data'!G299))</f>
        <v>ABDUL HAMID SHEIKH</v>
      </c>
      <c r="G302" s="27" t="str">
        <f>IF('Paste SD Data'!H299="","",UPPER('Paste SD Data'!H299))</f>
        <v>MADINA BANU</v>
      </c>
      <c r="H302" s="26" t="str">
        <f>IF('Paste SD Data'!I299="","",IF('Paste SD Data'!I299="M","BOY","GIRL"))</f>
        <v>BOY</v>
      </c>
      <c r="I302" s="28">
        <f>IF('Paste SD Data'!J299="","",'Paste SD Data'!J299)</f>
        <v>38988</v>
      </c>
      <c r="J302" s="34">
        <f t="shared" si="4"/>
        <v>728</v>
      </c>
      <c r="K302" s="29" t="str">
        <f>IF('Paste SD Data'!O299="","",'Paste SD Data'!O299)</f>
        <v>GEN</v>
      </c>
    </row>
    <row r="303" spans="1:11" ht="30" customHeight="1" x14ac:dyDescent="0.25">
      <c r="A303" s="25">
        <f>IF(Table1[[#This Row],[Name of Student]]="","",ROWS($A$1:A299))</f>
        <v>299</v>
      </c>
      <c r="B303" s="26">
        <f>IF('Paste SD Data'!A300="","",'Paste SD Data'!A300)</f>
        <v>9</v>
      </c>
      <c r="C303" s="26" t="str">
        <f>IF('Paste SD Data'!B300="","",'Paste SD Data'!B300)</f>
        <v>B</v>
      </c>
      <c r="D303" s="26">
        <f>IF('Paste SD Data'!C300="","",'Paste SD Data'!C300)</f>
        <v>13892</v>
      </c>
      <c r="E303" s="27" t="str">
        <f>IF('Paste SD Data'!E300="","",UPPER('Paste SD Data'!E300))</f>
        <v>SHORYWARDAN SINGH KANAWAT</v>
      </c>
      <c r="F303" s="27" t="str">
        <f>IF('Paste SD Data'!G300="","",UPPER('Paste SD Data'!G300))</f>
        <v>HEMANT SINGH</v>
      </c>
      <c r="G303" s="27" t="str">
        <f>IF('Paste SD Data'!H300="","",UPPER('Paste SD Data'!H300))</f>
        <v>ASHA KANWAR</v>
      </c>
      <c r="H303" s="26" t="str">
        <f>IF('Paste SD Data'!I300="","",IF('Paste SD Data'!I300="M","BOY","GIRL"))</f>
        <v>BOY</v>
      </c>
      <c r="I303" s="28">
        <f>IF('Paste SD Data'!J300="","",'Paste SD Data'!J300)</f>
        <v>39624</v>
      </c>
      <c r="J303" s="34">
        <f t="shared" si="4"/>
        <v>729</v>
      </c>
      <c r="K303" s="29" t="str">
        <f>IF('Paste SD Data'!O300="","",'Paste SD Data'!O300)</f>
        <v>GEN</v>
      </c>
    </row>
    <row r="304" spans="1:11" ht="30" customHeight="1" x14ac:dyDescent="0.25">
      <c r="A304" s="25">
        <f>IF(Table1[[#This Row],[Name of Student]]="","",ROWS($A$1:A300))</f>
        <v>300</v>
      </c>
      <c r="B304" s="26">
        <f>IF('Paste SD Data'!A301="","",'Paste SD Data'!A301)</f>
        <v>9</v>
      </c>
      <c r="C304" s="26" t="str">
        <f>IF('Paste SD Data'!B301="","",'Paste SD Data'!B301)</f>
        <v>B</v>
      </c>
      <c r="D304" s="26">
        <f>IF('Paste SD Data'!C301="","",'Paste SD Data'!C301)</f>
        <v>13732</v>
      </c>
      <c r="E304" s="27" t="str">
        <f>IF('Paste SD Data'!E301="","",UPPER('Paste SD Data'!E301))</f>
        <v>SHUBHAM KUMAR HARIJAN</v>
      </c>
      <c r="F304" s="27" t="str">
        <f>IF('Paste SD Data'!G301="","",UPPER('Paste SD Data'!G301))</f>
        <v>RAMESH CHANDRA HARIJAN</v>
      </c>
      <c r="G304" s="27" t="str">
        <f>IF('Paste SD Data'!H301="","",UPPER('Paste SD Data'!H301))</f>
        <v>JAMNA DEVI</v>
      </c>
      <c r="H304" s="26" t="str">
        <f>IF('Paste SD Data'!I301="","",IF('Paste SD Data'!I301="M","BOY","GIRL"))</f>
        <v>BOY</v>
      </c>
      <c r="I304" s="28">
        <f>IF('Paste SD Data'!J301="","",'Paste SD Data'!J301)</f>
        <v>39350</v>
      </c>
      <c r="J304" s="34">
        <f t="shared" si="4"/>
        <v>730</v>
      </c>
      <c r="K304" s="29" t="str">
        <f>IF('Paste SD Data'!O301="","",'Paste SD Data'!O301)</f>
        <v>SC</v>
      </c>
    </row>
    <row r="305" spans="1:11" ht="30" customHeight="1" x14ac:dyDescent="0.25">
      <c r="A305" s="25">
        <f>IF(Table1[[#This Row],[Name of Student]]="","",ROWS($A$1:A301))</f>
        <v>301</v>
      </c>
      <c r="B305" s="26">
        <f>IF('Paste SD Data'!A302="","",'Paste SD Data'!A302)</f>
        <v>9</v>
      </c>
      <c r="C305" s="26" t="str">
        <f>IF('Paste SD Data'!B302="","",'Paste SD Data'!B302)</f>
        <v>B</v>
      </c>
      <c r="D305" s="26">
        <f>IF('Paste SD Data'!C302="","",'Paste SD Data'!C302)</f>
        <v>13884</v>
      </c>
      <c r="E305" s="27" t="str">
        <f>IF('Paste SD Data'!E302="","",UPPER('Paste SD Data'!E302))</f>
        <v>SURAJ REGAR</v>
      </c>
      <c r="F305" s="27" t="str">
        <f>IF('Paste SD Data'!G302="","",UPPER('Paste SD Data'!G302))</f>
        <v>SURESH REGAR</v>
      </c>
      <c r="G305" s="27" t="str">
        <f>IF('Paste SD Data'!H302="","",UPPER('Paste SD Data'!H302))</f>
        <v>TAMU DEVI</v>
      </c>
      <c r="H305" s="26" t="str">
        <f>IF('Paste SD Data'!I302="","",IF('Paste SD Data'!I302="M","BOY","GIRL"))</f>
        <v>BOY</v>
      </c>
      <c r="I305" s="28">
        <f>IF('Paste SD Data'!J302="","",'Paste SD Data'!J302)</f>
        <v>39340</v>
      </c>
      <c r="J305" s="34">
        <f t="shared" si="4"/>
        <v>731</v>
      </c>
      <c r="K305" s="29" t="str">
        <f>IF('Paste SD Data'!O302="","",'Paste SD Data'!O302)</f>
        <v>SC</v>
      </c>
    </row>
    <row r="306" spans="1:11" ht="30" customHeight="1" x14ac:dyDescent="0.25">
      <c r="A306" s="25">
        <f>IF(Table1[[#This Row],[Name of Student]]="","",ROWS($A$1:A302))</f>
        <v>302</v>
      </c>
      <c r="B306" s="26">
        <f>IF('Paste SD Data'!A303="","",'Paste SD Data'!A303)</f>
        <v>9</v>
      </c>
      <c r="C306" s="26" t="str">
        <f>IF('Paste SD Data'!B303="","",'Paste SD Data'!B303)</f>
        <v>B</v>
      </c>
      <c r="D306" s="26">
        <f>IF('Paste SD Data'!C303="","",'Paste SD Data'!C303)</f>
        <v>13781</v>
      </c>
      <c r="E306" s="27" t="str">
        <f>IF('Paste SD Data'!E303="","",UPPER('Paste SD Data'!E303))</f>
        <v>TEJAS GANDHI</v>
      </c>
      <c r="F306" s="27" t="str">
        <f>IF('Paste SD Data'!G303="","",UPPER('Paste SD Data'!G303))</f>
        <v>HASTIMAL GANDHI</v>
      </c>
      <c r="G306" s="27" t="str">
        <f>IF('Paste SD Data'!H303="","",UPPER('Paste SD Data'!H303))</f>
        <v>LEELA DEVI</v>
      </c>
      <c r="H306" s="26" t="str">
        <f>IF('Paste SD Data'!I303="","",IF('Paste SD Data'!I303="M","BOY","GIRL"))</f>
        <v>BOY</v>
      </c>
      <c r="I306" s="28">
        <f>IF('Paste SD Data'!J303="","",'Paste SD Data'!J303)</f>
        <v>39170</v>
      </c>
      <c r="J306" s="34">
        <f t="shared" si="4"/>
        <v>732</v>
      </c>
      <c r="K306" s="29" t="str">
        <f>IF('Paste SD Data'!O303="","",'Paste SD Data'!O303)</f>
        <v>GEN</v>
      </c>
    </row>
    <row r="307" spans="1:11" ht="30" customHeight="1" x14ac:dyDescent="0.25">
      <c r="A307" s="25">
        <f>IF(Table1[[#This Row],[Name of Student]]="","",ROWS($A$1:A303))</f>
        <v>303</v>
      </c>
      <c r="B307" s="26">
        <f>IF('Paste SD Data'!A304="","",'Paste SD Data'!A304)</f>
        <v>9</v>
      </c>
      <c r="C307" s="26" t="str">
        <f>IF('Paste SD Data'!B304="","",'Paste SD Data'!B304)</f>
        <v>B</v>
      </c>
      <c r="D307" s="26">
        <f>IF('Paste SD Data'!C304="","",'Paste SD Data'!C304)</f>
        <v>13734</v>
      </c>
      <c r="E307" s="27" t="str">
        <f>IF('Paste SD Data'!E304="","",UPPER('Paste SD Data'!E304))</f>
        <v>TEJPAL SINGH</v>
      </c>
      <c r="F307" s="27" t="str">
        <f>IF('Paste SD Data'!G304="","",UPPER('Paste SD Data'!G304))</f>
        <v>MOHAN SINGH</v>
      </c>
      <c r="G307" s="27" t="str">
        <f>IF('Paste SD Data'!H304="","",UPPER('Paste SD Data'!H304))</f>
        <v>ANITA DEVI</v>
      </c>
      <c r="H307" s="26" t="str">
        <f>IF('Paste SD Data'!I304="","",IF('Paste SD Data'!I304="M","BOY","GIRL"))</f>
        <v>BOY</v>
      </c>
      <c r="I307" s="28">
        <f>IF('Paste SD Data'!J304="","",'Paste SD Data'!J304)</f>
        <v>39573</v>
      </c>
      <c r="J307" s="34">
        <f t="shared" si="4"/>
        <v>733</v>
      </c>
      <c r="K307" s="29" t="str">
        <f>IF('Paste SD Data'!O304="","",'Paste SD Data'!O304)</f>
        <v>OBC</v>
      </c>
    </row>
    <row r="308" spans="1:11" ht="30" customHeight="1" x14ac:dyDescent="0.25">
      <c r="A308" s="25">
        <f>IF(Table1[[#This Row],[Name of Student]]="","",ROWS($A$1:A304))</f>
        <v>304</v>
      </c>
      <c r="B308" s="26">
        <f>IF('Paste SD Data'!A305="","",'Paste SD Data'!A305)</f>
        <v>9</v>
      </c>
      <c r="C308" s="26" t="str">
        <f>IF('Paste SD Data'!B305="","",'Paste SD Data'!B305)</f>
        <v>B</v>
      </c>
      <c r="D308" s="26">
        <f>IF('Paste SD Data'!C305="","",'Paste SD Data'!C305)</f>
        <v>13737</v>
      </c>
      <c r="E308" s="27" t="str">
        <f>IF('Paste SD Data'!E305="","",UPPER('Paste SD Data'!E305))</f>
        <v>VIJAY LAL KALAL</v>
      </c>
      <c r="F308" s="27" t="str">
        <f>IF('Paste SD Data'!G305="","",UPPER('Paste SD Data'!G305))</f>
        <v>GOPI LAL KALAL</v>
      </c>
      <c r="G308" s="27" t="str">
        <f>IF('Paste SD Data'!H305="","",UPPER('Paste SD Data'!H305))</f>
        <v>GEETA DEVI</v>
      </c>
      <c r="H308" s="26" t="str">
        <f>IF('Paste SD Data'!I305="","",IF('Paste SD Data'!I305="M","BOY","GIRL"))</f>
        <v>BOY</v>
      </c>
      <c r="I308" s="28">
        <f>IF('Paste SD Data'!J305="","",'Paste SD Data'!J305)</f>
        <v>39543</v>
      </c>
      <c r="J308" s="34">
        <f t="shared" si="4"/>
        <v>734</v>
      </c>
      <c r="K308" s="29" t="str">
        <f>IF('Paste SD Data'!O305="","",'Paste SD Data'!O305)</f>
        <v>OBC</v>
      </c>
    </row>
    <row r="309" spans="1:11" ht="30" customHeight="1" x14ac:dyDescent="0.25">
      <c r="A309" s="25">
        <f>IF(Table1[[#This Row],[Name of Student]]="","",ROWS($A$1:A305))</f>
        <v>305</v>
      </c>
      <c r="B309" s="26">
        <f>IF('Paste SD Data'!A306="","",'Paste SD Data'!A306)</f>
        <v>9</v>
      </c>
      <c r="C309" s="26" t="str">
        <f>IF('Paste SD Data'!B306="","",'Paste SD Data'!B306)</f>
        <v>B</v>
      </c>
      <c r="D309" s="26">
        <f>IF('Paste SD Data'!C306="","",'Paste SD Data'!C306)</f>
        <v>13708</v>
      </c>
      <c r="E309" s="27" t="str">
        <f>IF('Paste SD Data'!E306="","",UPPER('Paste SD Data'!E306))</f>
        <v>VIKAS DADVARIYA</v>
      </c>
      <c r="F309" s="27" t="str">
        <f>IF('Paste SD Data'!G306="","",UPPER('Paste SD Data'!G306))</f>
        <v>MADAN LAL DADVARIYA</v>
      </c>
      <c r="G309" s="27" t="str">
        <f>IF('Paste SD Data'!H306="","",UPPER('Paste SD Data'!H306))</f>
        <v>LEELA DEVI</v>
      </c>
      <c r="H309" s="26" t="str">
        <f>IF('Paste SD Data'!I306="","",IF('Paste SD Data'!I306="M","BOY","GIRL"))</f>
        <v>BOY</v>
      </c>
      <c r="I309" s="28">
        <f>IF('Paste SD Data'!J306="","",'Paste SD Data'!J306)</f>
        <v>39235</v>
      </c>
      <c r="J309" s="34">
        <f t="shared" si="4"/>
        <v>735</v>
      </c>
      <c r="K309" s="29" t="str">
        <f>IF('Paste SD Data'!O306="","",'Paste SD Data'!O306)</f>
        <v>SC</v>
      </c>
    </row>
    <row r="310" spans="1:11" ht="30" customHeight="1" x14ac:dyDescent="0.25">
      <c r="A310" s="25">
        <f>IF(Table1[[#This Row],[Name of Student]]="","",ROWS($A$1:A306))</f>
        <v>306</v>
      </c>
      <c r="B310" s="26">
        <f>IF('Paste SD Data'!A307="","",'Paste SD Data'!A307)</f>
        <v>9</v>
      </c>
      <c r="C310" s="26" t="str">
        <f>IF('Paste SD Data'!B307="","",'Paste SD Data'!B307)</f>
        <v>B</v>
      </c>
      <c r="D310" s="26">
        <f>IF('Paste SD Data'!C307="","",'Paste SD Data'!C307)</f>
        <v>13571</v>
      </c>
      <c r="E310" s="27" t="str">
        <f>IF('Paste SD Data'!E307="","",UPPER('Paste SD Data'!E307))</f>
        <v>VIKRAM SINGH</v>
      </c>
      <c r="F310" s="27" t="str">
        <f>IF('Paste SD Data'!G307="","",UPPER('Paste SD Data'!G307))</f>
        <v>TILOK SINGH</v>
      </c>
      <c r="G310" s="27" t="str">
        <f>IF('Paste SD Data'!H307="","",UPPER('Paste SD Data'!H307))</f>
        <v>MEVA DEVI</v>
      </c>
      <c r="H310" s="26" t="str">
        <f>IF('Paste SD Data'!I307="","",IF('Paste SD Data'!I307="M","BOY","GIRL"))</f>
        <v>BOY</v>
      </c>
      <c r="I310" s="28">
        <f>IF('Paste SD Data'!J307="","",'Paste SD Data'!J307)</f>
        <v>39995</v>
      </c>
      <c r="J310" s="34">
        <f t="shared" si="4"/>
        <v>736</v>
      </c>
      <c r="K310" s="29" t="str">
        <f>IF('Paste SD Data'!O307="","",'Paste SD Data'!O307)</f>
        <v>OBC</v>
      </c>
    </row>
    <row r="311" spans="1:11" ht="30" customHeight="1" x14ac:dyDescent="0.25">
      <c r="A311" s="25">
        <f>IF(Table1[[#This Row],[Name of Student]]="","",ROWS($A$1:A307))</f>
        <v>307</v>
      </c>
      <c r="B311" s="26">
        <f>IF('Paste SD Data'!A308="","",'Paste SD Data'!A308)</f>
        <v>9</v>
      </c>
      <c r="C311" s="26" t="str">
        <f>IF('Paste SD Data'!B308="","",'Paste SD Data'!B308)</f>
        <v>B</v>
      </c>
      <c r="D311" s="26">
        <f>IF('Paste SD Data'!C308="","",'Paste SD Data'!C308)</f>
        <v>13783</v>
      </c>
      <c r="E311" s="27" t="str">
        <f>IF('Paste SD Data'!E308="","",UPPER('Paste SD Data'!E308))</f>
        <v>VINOD SALVI</v>
      </c>
      <c r="F311" s="27" t="str">
        <f>IF('Paste SD Data'!G308="","",UPPER('Paste SD Data'!G308))</f>
        <v>NENA RAM</v>
      </c>
      <c r="G311" s="27" t="str">
        <f>IF('Paste SD Data'!H308="","",UPPER('Paste SD Data'!H308))</f>
        <v>SEETA DEVI</v>
      </c>
      <c r="H311" s="26" t="str">
        <f>IF('Paste SD Data'!I308="","",IF('Paste SD Data'!I308="M","BOY","GIRL"))</f>
        <v>BOY</v>
      </c>
      <c r="I311" s="28">
        <f>IF('Paste SD Data'!J308="","",'Paste SD Data'!J308)</f>
        <v>38482</v>
      </c>
      <c r="J311" s="34">
        <f t="shared" si="4"/>
        <v>737</v>
      </c>
      <c r="K311" s="29" t="str">
        <f>IF('Paste SD Data'!O308="","",'Paste SD Data'!O308)</f>
        <v>SC</v>
      </c>
    </row>
    <row r="312" spans="1:11" ht="30" customHeight="1" x14ac:dyDescent="0.25">
      <c r="A312" s="25">
        <f>IF(Table1[[#This Row],[Name of Student]]="","",ROWS($A$1:A308))</f>
        <v>308</v>
      </c>
      <c r="B312" s="26">
        <f>IF('Paste SD Data'!A309="","",'Paste SD Data'!A309)</f>
        <v>9</v>
      </c>
      <c r="C312" s="26" t="str">
        <f>IF('Paste SD Data'!B309="","",'Paste SD Data'!B309)</f>
        <v>B</v>
      </c>
      <c r="D312" s="26">
        <f>IF('Paste SD Data'!C309="","",'Paste SD Data'!C309)</f>
        <v>13820</v>
      </c>
      <c r="E312" s="27" t="str">
        <f>IF('Paste SD Data'!E309="","",UPPER('Paste SD Data'!E309))</f>
        <v>VINOD SINGH</v>
      </c>
      <c r="F312" s="27" t="str">
        <f>IF('Paste SD Data'!G309="","",UPPER('Paste SD Data'!G309))</f>
        <v>MADAN SINGH</v>
      </c>
      <c r="G312" s="27" t="str">
        <f>IF('Paste SD Data'!H309="","",UPPER('Paste SD Data'!H309))</f>
        <v>PUSHPA DEVI</v>
      </c>
      <c r="H312" s="26" t="str">
        <f>IF('Paste SD Data'!I309="","",IF('Paste SD Data'!I309="M","BOY","GIRL"))</f>
        <v>BOY</v>
      </c>
      <c r="I312" s="28">
        <f>IF('Paste SD Data'!J309="","",'Paste SD Data'!J309)</f>
        <v>39020</v>
      </c>
      <c r="J312" s="34">
        <f t="shared" si="4"/>
        <v>738</v>
      </c>
      <c r="K312" s="29" t="str">
        <f>IF('Paste SD Data'!O309="","",'Paste SD Data'!O309)</f>
        <v>OBC</v>
      </c>
    </row>
    <row r="313" spans="1:11" ht="30" customHeight="1" x14ac:dyDescent="0.25">
      <c r="A313" s="25">
        <f>IF(Table1[[#This Row],[Name of Student]]="","",ROWS($A$1:A309))</f>
        <v>309</v>
      </c>
      <c r="B313" s="26">
        <f>IF('Paste SD Data'!A310="","",'Paste SD Data'!A310)</f>
        <v>9</v>
      </c>
      <c r="C313" s="26" t="str">
        <f>IF('Paste SD Data'!B310="","",'Paste SD Data'!B310)</f>
        <v>B</v>
      </c>
      <c r="D313" s="26">
        <f>IF('Paste SD Data'!C310="","",'Paste SD Data'!C310)</f>
        <v>13707</v>
      </c>
      <c r="E313" s="27" t="str">
        <f>IF('Paste SD Data'!E310="","",UPPER('Paste SD Data'!E310))</f>
        <v>VIRENDRA SINGH</v>
      </c>
      <c r="F313" s="27" t="str">
        <f>IF('Paste SD Data'!G310="","",UPPER('Paste SD Data'!G310))</f>
        <v>POORAN SINGH</v>
      </c>
      <c r="G313" s="27" t="str">
        <f>IF('Paste SD Data'!H310="","",UPPER('Paste SD Data'!H310))</f>
        <v>BEBI KANWAR</v>
      </c>
      <c r="H313" s="26" t="str">
        <f>IF('Paste SD Data'!I310="","",IF('Paste SD Data'!I310="M","BOY","GIRL"))</f>
        <v>BOY</v>
      </c>
      <c r="I313" s="28">
        <f>IF('Paste SD Data'!J310="","",'Paste SD Data'!J310)</f>
        <v>39733</v>
      </c>
      <c r="J313" s="34">
        <f t="shared" si="4"/>
        <v>739</v>
      </c>
      <c r="K313" s="29" t="str">
        <f>IF('Paste SD Data'!O310="","",'Paste SD Data'!O310)</f>
        <v>GEN</v>
      </c>
    </row>
    <row r="314" spans="1:11" ht="30" customHeight="1" x14ac:dyDescent="0.25">
      <c r="A314" s="25">
        <f>IF(Table1[[#This Row],[Name of Student]]="","",ROWS($A$1:A310))</f>
        <v>310</v>
      </c>
      <c r="B314" s="26">
        <f>IF('Paste SD Data'!A311="","",'Paste SD Data'!A311)</f>
        <v>9</v>
      </c>
      <c r="C314" s="26" t="str">
        <f>IF('Paste SD Data'!B311="","",'Paste SD Data'!B311)</f>
        <v>B</v>
      </c>
      <c r="D314" s="26">
        <f>IF('Paste SD Data'!C311="","",'Paste SD Data'!C311)</f>
        <v>13887</v>
      </c>
      <c r="E314" s="27" t="str">
        <f>IF('Paste SD Data'!E311="","",UPPER('Paste SD Data'!E311))</f>
        <v>VISHNU VAISHNAV</v>
      </c>
      <c r="F314" s="27" t="str">
        <f>IF('Paste SD Data'!G311="","",UPPER('Paste SD Data'!G311))</f>
        <v>KAILASH VAISHNAV</v>
      </c>
      <c r="G314" s="27" t="str">
        <f>IF('Paste SD Data'!H311="","",UPPER('Paste SD Data'!H311))</f>
        <v>PREM DEVI</v>
      </c>
      <c r="H314" s="26" t="str">
        <f>IF('Paste SD Data'!I311="","",IF('Paste SD Data'!I311="M","BOY","GIRL"))</f>
        <v>BOY</v>
      </c>
      <c r="I314" s="28">
        <f>IF('Paste SD Data'!J311="","",'Paste SD Data'!J311)</f>
        <v>39227</v>
      </c>
      <c r="J314" s="34">
        <f t="shared" si="4"/>
        <v>740</v>
      </c>
      <c r="K314" s="29" t="str">
        <f>IF('Paste SD Data'!O311="","",'Paste SD Data'!O311)</f>
        <v>OBC</v>
      </c>
    </row>
    <row r="315" spans="1:11" ht="30" customHeight="1" x14ac:dyDescent="0.25">
      <c r="A315" s="25">
        <f>IF(Table1[[#This Row],[Name of Student]]="","",ROWS($A$1:A311))</f>
        <v>311</v>
      </c>
      <c r="B315" s="26">
        <f>IF('Paste SD Data'!A312="","",'Paste SD Data'!A312)</f>
        <v>9</v>
      </c>
      <c r="C315" s="26" t="str">
        <f>IF('Paste SD Data'!B312="","",'Paste SD Data'!B312)</f>
        <v>B</v>
      </c>
      <c r="D315" s="26">
        <f>IF('Paste SD Data'!C312="","",'Paste SD Data'!C312)</f>
        <v>13770</v>
      </c>
      <c r="E315" s="27" t="str">
        <f>IF('Paste SD Data'!E312="","",UPPER('Paste SD Data'!E312))</f>
        <v>YASH GIRI GOSWAMI</v>
      </c>
      <c r="F315" s="27" t="str">
        <f>IF('Paste SD Data'!G312="","",UPPER('Paste SD Data'!G312))</f>
        <v>GIRIRAJ GIRI GOSWAMI</v>
      </c>
      <c r="G315" s="27" t="str">
        <f>IF('Paste SD Data'!H312="","",UPPER('Paste SD Data'!H312))</f>
        <v>SANTOSH PURI</v>
      </c>
      <c r="H315" s="26" t="str">
        <f>IF('Paste SD Data'!I312="","",IF('Paste SD Data'!I312="M","BOY","GIRL"))</f>
        <v>BOY</v>
      </c>
      <c r="I315" s="28">
        <f>IF('Paste SD Data'!J312="","",'Paste SD Data'!J312)</f>
        <v>39673</v>
      </c>
      <c r="J315" s="34">
        <f t="shared" si="4"/>
        <v>741</v>
      </c>
      <c r="K315" s="29" t="str">
        <f>IF('Paste SD Data'!O312="","",'Paste SD Data'!O312)</f>
        <v>OBC</v>
      </c>
    </row>
    <row r="316" spans="1:11" ht="30" customHeight="1" x14ac:dyDescent="0.25">
      <c r="A316" s="25">
        <f>IF(Table1[[#This Row],[Name of Student]]="","",ROWS($A$1:A312))</f>
        <v>312</v>
      </c>
      <c r="B316" s="26">
        <f>IF('Paste SD Data'!A313="","",'Paste SD Data'!A313)</f>
        <v>9</v>
      </c>
      <c r="C316" s="26" t="str">
        <f>IF('Paste SD Data'!B313="","",'Paste SD Data'!B313)</f>
        <v>B</v>
      </c>
      <c r="D316" s="26">
        <f>IF('Paste SD Data'!C313="","",'Paste SD Data'!C313)</f>
        <v>13973</v>
      </c>
      <c r="E316" s="27" t="str">
        <f>IF('Paste SD Data'!E313="","",UPPER('Paste SD Data'!E313))</f>
        <v>YASH VERAGI</v>
      </c>
      <c r="F316" s="27" t="str">
        <f>IF('Paste SD Data'!G313="","",UPPER('Paste SD Data'!G313))</f>
        <v>HEMANT VAISHNAV</v>
      </c>
      <c r="G316" s="27" t="str">
        <f>IF('Paste SD Data'!H313="","",UPPER('Paste SD Data'!H313))</f>
        <v>NEHA VAISHNAV</v>
      </c>
      <c r="H316" s="26" t="str">
        <f>IF('Paste SD Data'!I313="","",IF('Paste SD Data'!I313="M","BOY","GIRL"))</f>
        <v>BOY</v>
      </c>
      <c r="I316" s="28">
        <f>IF('Paste SD Data'!J313="","",'Paste SD Data'!J313)</f>
        <v>39209</v>
      </c>
      <c r="J316" s="34">
        <f t="shared" si="4"/>
        <v>742</v>
      </c>
      <c r="K316" s="29" t="str">
        <f>IF('Paste SD Data'!O313="","",'Paste SD Data'!O313)</f>
        <v>OBC</v>
      </c>
    </row>
    <row r="317" spans="1:11" ht="30" customHeight="1" x14ac:dyDescent="0.25">
      <c r="A317" s="25">
        <f>IF(Table1[[#This Row],[Name of Student]]="","",ROWS($A$1:A313))</f>
        <v>313</v>
      </c>
      <c r="B317" s="26">
        <f>IF('Paste SD Data'!A314="","",'Paste SD Data'!A314)</f>
        <v>9</v>
      </c>
      <c r="C317" s="26" t="str">
        <f>IF('Paste SD Data'!B314="","",'Paste SD Data'!B314)</f>
        <v>B</v>
      </c>
      <c r="D317" s="26">
        <f>IF('Paste SD Data'!C314="","",'Paste SD Data'!C314)</f>
        <v>13888</v>
      </c>
      <c r="E317" s="27" t="str">
        <f>IF('Paste SD Data'!E314="","",UPPER('Paste SD Data'!E314))</f>
        <v>YASHWANT REGAR</v>
      </c>
      <c r="F317" s="27" t="str">
        <f>IF('Paste SD Data'!G314="","",UPPER('Paste SD Data'!G314))</f>
        <v>PINTU KUMAR</v>
      </c>
      <c r="G317" s="27" t="str">
        <f>IF('Paste SD Data'!H314="","",UPPER('Paste SD Data'!H314))</f>
        <v>DEU DEVI</v>
      </c>
      <c r="H317" s="26" t="str">
        <f>IF('Paste SD Data'!I314="","",IF('Paste SD Data'!I314="M","BOY","GIRL"))</f>
        <v>BOY</v>
      </c>
      <c r="I317" s="28">
        <f>IF('Paste SD Data'!J314="","",'Paste SD Data'!J314)</f>
        <v>39344</v>
      </c>
      <c r="J317" s="34">
        <f t="shared" si="4"/>
        <v>743</v>
      </c>
      <c r="K317" s="29" t="str">
        <f>IF('Paste SD Data'!O314="","",'Paste SD Data'!O314)</f>
        <v>SC</v>
      </c>
    </row>
    <row r="318" spans="1:11" ht="30" customHeight="1" x14ac:dyDescent="0.25">
      <c r="A318" s="25">
        <f>IF(Table1[[#This Row],[Name of Student]]="","",ROWS($A$1:A314))</f>
        <v>314</v>
      </c>
      <c r="B318" s="26">
        <f>IF('Paste SD Data'!A315="","",'Paste SD Data'!A315)</f>
        <v>9</v>
      </c>
      <c r="C318" s="26" t="str">
        <f>IF('Paste SD Data'!B315="","",'Paste SD Data'!B315)</f>
        <v>B</v>
      </c>
      <c r="D318" s="26">
        <f>IF('Paste SD Data'!C315="","",'Paste SD Data'!C315)</f>
        <v>13736</v>
      </c>
      <c r="E318" s="27" t="str">
        <f>IF('Paste SD Data'!E315="","",UPPER('Paste SD Data'!E315))</f>
        <v>YASHWANT SINGH</v>
      </c>
      <c r="F318" s="27" t="str">
        <f>IF('Paste SD Data'!G315="","",UPPER('Paste SD Data'!G315))</f>
        <v>PREM SINGH</v>
      </c>
      <c r="G318" s="27" t="str">
        <f>IF('Paste SD Data'!H315="","",UPPER('Paste SD Data'!H315))</f>
        <v>INDRA DEVI</v>
      </c>
      <c r="H318" s="26" t="str">
        <f>IF('Paste SD Data'!I315="","",IF('Paste SD Data'!I315="M","BOY","GIRL"))</f>
        <v>BOY</v>
      </c>
      <c r="I318" s="28">
        <f>IF('Paste SD Data'!J315="","",'Paste SD Data'!J315)</f>
        <v>38907</v>
      </c>
      <c r="J318" s="34">
        <f t="shared" si="4"/>
        <v>744</v>
      </c>
      <c r="K318" s="29" t="str">
        <f>IF('Paste SD Data'!O315="","",'Paste SD Data'!O315)</f>
        <v>OBC</v>
      </c>
    </row>
    <row r="319" spans="1:11" ht="30" customHeight="1" x14ac:dyDescent="0.25">
      <c r="A319" s="25">
        <f>IF(Table1[[#This Row],[Name of Student]]="","",ROWS($A$1:A315))</f>
        <v>315</v>
      </c>
      <c r="B319" s="26">
        <f>IF('Paste SD Data'!A316="","",'Paste SD Data'!A316)</f>
        <v>10</v>
      </c>
      <c r="C319" s="26" t="str">
        <f>IF('Paste SD Data'!B316="","",'Paste SD Data'!B316)</f>
        <v>A</v>
      </c>
      <c r="D319" s="26">
        <f>IF('Paste SD Data'!C316="","",'Paste SD Data'!C316)</f>
        <v>13677</v>
      </c>
      <c r="E319" s="27" t="str">
        <f>IF('Paste SD Data'!E316="","",UPPER('Paste SD Data'!E316))</f>
        <v>ANUP KAHAR</v>
      </c>
      <c r="F319" s="27" t="str">
        <f>IF('Paste SD Data'!G316="","",UPPER('Paste SD Data'!G316))</f>
        <v>SOHAN LAL KAHAR</v>
      </c>
      <c r="G319" s="27" t="str">
        <f>IF('Paste SD Data'!H316="","",UPPER('Paste SD Data'!H316))</f>
        <v>SYAMU DEVI</v>
      </c>
      <c r="H319" s="26" t="str">
        <f>IF('Paste SD Data'!I316="","",IF('Paste SD Data'!I316="M","BOY","GIRL"))</f>
        <v>BOY</v>
      </c>
      <c r="I319" s="28">
        <f>IF('Paste SD Data'!J316="","",'Paste SD Data'!J316)</f>
        <v>38571</v>
      </c>
      <c r="J319" s="34">
        <f t="shared" si="4"/>
        <v>745</v>
      </c>
      <c r="K319" s="29" t="str">
        <f>IF('Paste SD Data'!O316="","",'Paste SD Data'!O316)</f>
        <v>OBC</v>
      </c>
    </row>
    <row r="320" spans="1:11" ht="30" customHeight="1" x14ac:dyDescent="0.25">
      <c r="A320" s="25">
        <f>IF(Table1[[#This Row],[Name of Student]]="","",ROWS($A$1:A316))</f>
        <v>316</v>
      </c>
      <c r="B320" s="26">
        <f>IF('Paste SD Data'!A317="","",'Paste SD Data'!A317)</f>
        <v>10</v>
      </c>
      <c r="C320" s="26" t="str">
        <f>IF('Paste SD Data'!B317="","",'Paste SD Data'!B317)</f>
        <v>A</v>
      </c>
      <c r="D320" s="26">
        <f>IF('Paste SD Data'!C317="","",'Paste SD Data'!C317)</f>
        <v>13443</v>
      </c>
      <c r="E320" s="27" t="str">
        <f>IF('Paste SD Data'!E317="","",UPPER('Paste SD Data'!E317))</f>
        <v>ANURAG SUMAN</v>
      </c>
      <c r="F320" s="27" t="str">
        <f>IF('Paste SD Data'!G317="","",UPPER('Paste SD Data'!G317))</f>
        <v>RAJENDRA KUMAR SUMAN</v>
      </c>
      <c r="G320" s="27" t="str">
        <f>IF('Paste SD Data'!H317="","",UPPER('Paste SD Data'!H317))</f>
        <v>SAVITRI BAI</v>
      </c>
      <c r="H320" s="26" t="str">
        <f>IF('Paste SD Data'!I317="","",IF('Paste SD Data'!I317="M","BOY","GIRL"))</f>
        <v>BOY</v>
      </c>
      <c r="I320" s="28">
        <f>IF('Paste SD Data'!J317="","",'Paste SD Data'!J317)</f>
        <v>38930</v>
      </c>
      <c r="J320" s="34">
        <f t="shared" si="4"/>
        <v>746</v>
      </c>
      <c r="K320" s="29" t="str">
        <f>IF('Paste SD Data'!O317="","",'Paste SD Data'!O317)</f>
        <v>OBC</v>
      </c>
    </row>
    <row r="321" spans="1:11" ht="30" customHeight="1" x14ac:dyDescent="0.25">
      <c r="A321" s="25">
        <f>IF(Table1[[#This Row],[Name of Student]]="","",ROWS($A$1:A317))</f>
        <v>317</v>
      </c>
      <c r="B321" s="26">
        <f>IF('Paste SD Data'!A318="","",'Paste SD Data'!A318)</f>
        <v>10</v>
      </c>
      <c r="C321" s="26" t="str">
        <f>IF('Paste SD Data'!B318="","",'Paste SD Data'!B318)</f>
        <v>A</v>
      </c>
      <c r="D321" s="26">
        <f>IF('Paste SD Data'!C318="","",'Paste SD Data'!C318)</f>
        <v>13440</v>
      </c>
      <c r="E321" s="27" t="str">
        <f>IF('Paste SD Data'!E318="","",UPPER('Paste SD Data'!E318))</f>
        <v>ARJUN SINGH</v>
      </c>
      <c r="F321" s="27" t="str">
        <f>IF('Paste SD Data'!G318="","",UPPER('Paste SD Data'!G318))</f>
        <v>GOPAL SINGH</v>
      </c>
      <c r="G321" s="27" t="str">
        <f>IF('Paste SD Data'!H318="","",UPPER('Paste SD Data'!H318))</f>
        <v>SEETA DEVI</v>
      </c>
      <c r="H321" s="26" t="str">
        <f>IF('Paste SD Data'!I318="","",IF('Paste SD Data'!I318="M","BOY","GIRL"))</f>
        <v>BOY</v>
      </c>
      <c r="I321" s="28">
        <f>IF('Paste SD Data'!J318="","",'Paste SD Data'!J318)</f>
        <v>38294</v>
      </c>
      <c r="J321" s="34">
        <f t="shared" si="4"/>
        <v>747</v>
      </c>
      <c r="K321" s="29" t="str">
        <f>IF('Paste SD Data'!O318="","",'Paste SD Data'!O318)</f>
        <v>OBC</v>
      </c>
    </row>
    <row r="322" spans="1:11" ht="30" customHeight="1" x14ac:dyDescent="0.25">
      <c r="A322" s="25">
        <f>IF(Table1[[#This Row],[Name of Student]]="","",ROWS($A$1:A318))</f>
        <v>318</v>
      </c>
      <c r="B322" s="26">
        <f>IF('Paste SD Data'!A319="","",'Paste SD Data'!A319)</f>
        <v>10</v>
      </c>
      <c r="C322" s="26" t="str">
        <f>IF('Paste SD Data'!B319="","",'Paste SD Data'!B319)</f>
        <v>A</v>
      </c>
      <c r="D322" s="26">
        <f>IF('Paste SD Data'!C319="","",'Paste SD Data'!C319)</f>
        <v>13442</v>
      </c>
      <c r="E322" s="27" t="str">
        <f>IF('Paste SD Data'!E319="","",UPPER('Paste SD Data'!E319))</f>
        <v>BABLU KALAL</v>
      </c>
      <c r="F322" s="27" t="str">
        <f>IF('Paste SD Data'!G319="","",UPPER('Paste SD Data'!G319))</f>
        <v>NARAYAN LAL KALAL</v>
      </c>
      <c r="G322" s="27" t="str">
        <f>IF('Paste SD Data'!H319="","",UPPER('Paste SD Data'!H319))</f>
        <v>MOHANI DEVI</v>
      </c>
      <c r="H322" s="26" t="str">
        <f>IF('Paste SD Data'!I319="","",IF('Paste SD Data'!I319="M","BOY","GIRL"))</f>
        <v>BOY</v>
      </c>
      <c r="I322" s="28">
        <f>IF('Paste SD Data'!J319="","",'Paste SD Data'!J319)</f>
        <v>38090</v>
      </c>
      <c r="J322" s="34">
        <f t="shared" si="4"/>
        <v>748</v>
      </c>
      <c r="K322" s="29" t="str">
        <f>IF('Paste SD Data'!O319="","",'Paste SD Data'!O319)</f>
        <v>OBC</v>
      </c>
    </row>
    <row r="323" spans="1:11" ht="30" customHeight="1" x14ac:dyDescent="0.25">
      <c r="A323" s="25">
        <f>IF(Table1[[#This Row],[Name of Student]]="","",ROWS($A$1:A319))</f>
        <v>319</v>
      </c>
      <c r="B323" s="26">
        <f>IF('Paste SD Data'!A320="","",'Paste SD Data'!A320)</f>
        <v>10</v>
      </c>
      <c r="C323" s="26" t="str">
        <f>IF('Paste SD Data'!B320="","",'Paste SD Data'!B320)</f>
        <v>A</v>
      </c>
      <c r="D323" s="26">
        <f>IF('Paste SD Data'!C320="","",'Paste SD Data'!C320)</f>
        <v>13659</v>
      </c>
      <c r="E323" s="27" t="str">
        <f>IF('Paste SD Data'!E320="","",UPPER('Paste SD Data'!E320))</f>
        <v>BAHADUR RAWAL</v>
      </c>
      <c r="F323" s="27" t="str">
        <f>IF('Paste SD Data'!G320="","",UPPER('Paste SD Data'!G320))</f>
        <v>PARAS RAWAL</v>
      </c>
      <c r="G323" s="27" t="str">
        <f>IF('Paste SD Data'!H320="","",UPPER('Paste SD Data'!H320))</f>
        <v>REETA DEVI</v>
      </c>
      <c r="H323" s="26" t="str">
        <f>IF('Paste SD Data'!I320="","",IF('Paste SD Data'!I320="M","BOY","GIRL"))</f>
        <v>BOY</v>
      </c>
      <c r="I323" s="28">
        <f>IF('Paste SD Data'!J320="","",'Paste SD Data'!J320)</f>
        <v>38584</v>
      </c>
      <c r="J323" s="34">
        <f t="shared" si="4"/>
        <v>749</v>
      </c>
      <c r="K323" s="29" t="str">
        <f>IF('Paste SD Data'!O320="","",'Paste SD Data'!O320)</f>
        <v>OBC</v>
      </c>
    </row>
    <row r="324" spans="1:11" ht="30" customHeight="1" x14ac:dyDescent="0.25">
      <c r="A324" s="25">
        <f>IF(Table1[[#This Row],[Name of Student]]="","",ROWS($A$1:A320))</f>
        <v>320</v>
      </c>
      <c r="B324" s="26">
        <f>IF('Paste SD Data'!A321="","",'Paste SD Data'!A321)</f>
        <v>10</v>
      </c>
      <c r="C324" s="26" t="str">
        <f>IF('Paste SD Data'!B321="","",'Paste SD Data'!B321)</f>
        <v>A</v>
      </c>
      <c r="D324" s="26">
        <f>IF('Paste SD Data'!C321="","",'Paste SD Data'!C321)</f>
        <v>13676</v>
      </c>
      <c r="E324" s="27" t="str">
        <f>IF('Paste SD Data'!E321="","",UPPER('Paste SD Data'!E321))</f>
        <v>BHAIRU LAL RAYKA</v>
      </c>
      <c r="F324" s="27" t="str">
        <f>IF('Paste SD Data'!G321="","",UPPER('Paste SD Data'!G321))</f>
        <v>GANPAT LAL RAYKA</v>
      </c>
      <c r="G324" s="27" t="str">
        <f>IF('Paste SD Data'!H321="","",UPPER('Paste SD Data'!H321))</f>
        <v>ASANA BAI</v>
      </c>
      <c r="H324" s="26" t="str">
        <f>IF('Paste SD Data'!I321="","",IF('Paste SD Data'!I321="M","BOY","GIRL"))</f>
        <v>BOY</v>
      </c>
      <c r="I324" s="28">
        <f>IF('Paste SD Data'!J321="","",'Paste SD Data'!J321)</f>
        <v>38336</v>
      </c>
      <c r="J324" s="34">
        <f t="shared" si="4"/>
        <v>750</v>
      </c>
      <c r="K324" s="29" t="str">
        <f>IF('Paste SD Data'!O321="","",'Paste SD Data'!O321)</f>
        <v>SBC</v>
      </c>
    </row>
    <row r="325" spans="1:11" ht="30" customHeight="1" x14ac:dyDescent="0.25">
      <c r="A325" s="25">
        <f>IF(Table1[[#This Row],[Name of Student]]="","",ROWS($A$1:A321))</f>
        <v>321</v>
      </c>
      <c r="B325" s="26">
        <f>IF('Paste SD Data'!A322="","",'Paste SD Data'!A322)</f>
        <v>10</v>
      </c>
      <c r="C325" s="26" t="str">
        <f>IF('Paste SD Data'!B322="","",'Paste SD Data'!B322)</f>
        <v>A</v>
      </c>
      <c r="D325" s="26">
        <f>IF('Paste SD Data'!C322="","",'Paste SD Data'!C322)</f>
        <v>13349</v>
      </c>
      <c r="E325" s="27" t="str">
        <f>IF('Paste SD Data'!E322="","",UPPER('Paste SD Data'!E322))</f>
        <v>BHARAT KUMAR</v>
      </c>
      <c r="F325" s="27" t="str">
        <f>IF('Paste SD Data'!G322="","",UPPER('Paste SD Data'!G322))</f>
        <v>DEVI LAL</v>
      </c>
      <c r="G325" s="27" t="str">
        <f>IF('Paste SD Data'!H322="","",UPPER('Paste SD Data'!H322))</f>
        <v>SAROJ DEVI</v>
      </c>
      <c r="H325" s="26" t="str">
        <f>IF('Paste SD Data'!I322="","",IF('Paste SD Data'!I322="M","BOY","GIRL"))</f>
        <v>BOY</v>
      </c>
      <c r="I325" s="28">
        <f>IF('Paste SD Data'!J322="","",'Paste SD Data'!J322)</f>
        <v>38972</v>
      </c>
      <c r="J325" s="34">
        <f t="shared" si="4"/>
        <v>751</v>
      </c>
      <c r="K325" s="29" t="str">
        <f>IF('Paste SD Data'!O322="","",'Paste SD Data'!O322)</f>
        <v>SC</v>
      </c>
    </row>
    <row r="326" spans="1:11" ht="30" customHeight="1" x14ac:dyDescent="0.25">
      <c r="A326" s="25">
        <f>IF(Table1[[#This Row],[Name of Student]]="","",ROWS($A$1:A322))</f>
        <v>322</v>
      </c>
      <c r="B326" s="26">
        <f>IF('Paste SD Data'!A323="","",'Paste SD Data'!A323)</f>
        <v>10</v>
      </c>
      <c r="C326" s="26" t="str">
        <f>IF('Paste SD Data'!B323="","",'Paste SD Data'!B323)</f>
        <v>A</v>
      </c>
      <c r="D326" s="26">
        <f>IF('Paste SD Data'!C323="","",'Paste SD Data'!C323)</f>
        <v>12699</v>
      </c>
      <c r="E326" s="27" t="str">
        <f>IF('Paste SD Data'!E323="","",UPPER('Paste SD Data'!E323))</f>
        <v>BHARAT KUMAR MALI</v>
      </c>
      <c r="F326" s="27" t="str">
        <f>IF('Paste SD Data'!G323="","",UPPER('Paste SD Data'!G323))</f>
        <v>MOHAN LAL MALI</v>
      </c>
      <c r="G326" s="27" t="str">
        <f>IF('Paste SD Data'!H323="","",UPPER('Paste SD Data'!H323))</f>
        <v>REKHA DEVI</v>
      </c>
      <c r="H326" s="26" t="str">
        <f>IF('Paste SD Data'!I323="","",IF('Paste SD Data'!I323="M","BOY","GIRL"))</f>
        <v>BOY</v>
      </c>
      <c r="I326" s="28">
        <f>IF('Paste SD Data'!J323="","",'Paste SD Data'!J323)</f>
        <v>38335</v>
      </c>
      <c r="J326" s="34">
        <f t="shared" si="4"/>
        <v>752</v>
      </c>
      <c r="K326" s="29" t="str">
        <f>IF('Paste SD Data'!O323="","",'Paste SD Data'!O323)</f>
        <v>OBC</v>
      </c>
    </row>
    <row r="327" spans="1:11" ht="30" customHeight="1" x14ac:dyDescent="0.25">
      <c r="A327" s="25">
        <f>IF(Table1[[#This Row],[Name of Student]]="","",ROWS($A$1:A323))</f>
        <v>323</v>
      </c>
      <c r="B327" s="26">
        <f>IF('Paste SD Data'!A324="","",'Paste SD Data'!A324)</f>
        <v>10</v>
      </c>
      <c r="C327" s="26" t="str">
        <f>IF('Paste SD Data'!B324="","",'Paste SD Data'!B324)</f>
        <v>A</v>
      </c>
      <c r="D327" s="26">
        <f>IF('Paste SD Data'!C324="","",'Paste SD Data'!C324)</f>
        <v>13658</v>
      </c>
      <c r="E327" s="27" t="str">
        <f>IF('Paste SD Data'!E324="","",UPPER('Paste SD Data'!E324))</f>
        <v>BHAVESH MEWARA</v>
      </c>
      <c r="F327" s="27" t="str">
        <f>IF('Paste SD Data'!G324="","",UPPER('Paste SD Data'!G324))</f>
        <v>SOHAN LAL</v>
      </c>
      <c r="G327" s="27" t="str">
        <f>IF('Paste SD Data'!H324="","",UPPER('Paste SD Data'!H324))</f>
        <v>LADI DEVI</v>
      </c>
      <c r="H327" s="26" t="str">
        <f>IF('Paste SD Data'!I324="","",IF('Paste SD Data'!I324="M","BOY","GIRL"))</f>
        <v>BOY</v>
      </c>
      <c r="I327" s="28">
        <f>IF('Paste SD Data'!J324="","",'Paste SD Data'!J324)</f>
        <v>39017</v>
      </c>
      <c r="J327" s="34">
        <f t="shared" ref="J327:J390" si="5">J326+1</f>
        <v>753</v>
      </c>
      <c r="K327" s="29" t="str">
        <f>IF('Paste SD Data'!O324="","",'Paste SD Data'!O324)</f>
        <v>OBC</v>
      </c>
    </row>
    <row r="328" spans="1:11" ht="30" customHeight="1" x14ac:dyDescent="0.25">
      <c r="A328" s="25">
        <f>IF(Table1[[#This Row],[Name of Student]]="","",ROWS($A$1:A324))</f>
        <v>324</v>
      </c>
      <c r="B328" s="26">
        <f>IF('Paste SD Data'!A325="","",'Paste SD Data'!A325)</f>
        <v>10</v>
      </c>
      <c r="C328" s="26" t="str">
        <f>IF('Paste SD Data'!B325="","",'Paste SD Data'!B325)</f>
        <v>A</v>
      </c>
      <c r="D328" s="26">
        <f>IF('Paste SD Data'!C325="","",'Paste SD Data'!C325)</f>
        <v>13560</v>
      </c>
      <c r="E328" s="27" t="str">
        <f>IF('Paste SD Data'!E325="","",UPPER('Paste SD Data'!E325))</f>
        <v>BHAVESH MEWARA</v>
      </c>
      <c r="F328" s="27" t="str">
        <f>IF('Paste SD Data'!G325="","",UPPER('Paste SD Data'!G325))</f>
        <v>JAGANNATH MEWARA</v>
      </c>
      <c r="G328" s="27" t="str">
        <f>IF('Paste SD Data'!H325="","",UPPER('Paste SD Data'!H325))</f>
        <v>PARSI DEVI</v>
      </c>
      <c r="H328" s="26" t="str">
        <f>IF('Paste SD Data'!I325="","",IF('Paste SD Data'!I325="M","BOY","GIRL"))</f>
        <v>BOY</v>
      </c>
      <c r="I328" s="28">
        <f>IF('Paste SD Data'!J325="","",'Paste SD Data'!J325)</f>
        <v>39047</v>
      </c>
      <c r="J328" s="34">
        <f t="shared" si="5"/>
        <v>754</v>
      </c>
      <c r="K328" s="29" t="str">
        <f>IF('Paste SD Data'!O325="","",'Paste SD Data'!O325)</f>
        <v>OBC</v>
      </c>
    </row>
    <row r="329" spans="1:11" ht="30" customHeight="1" x14ac:dyDescent="0.25">
      <c r="A329" s="25">
        <f>IF(Table1[[#This Row],[Name of Student]]="","",ROWS($A$1:A325))</f>
        <v>325</v>
      </c>
      <c r="B329" s="26">
        <f>IF('Paste SD Data'!A326="","",'Paste SD Data'!A326)</f>
        <v>10</v>
      </c>
      <c r="C329" s="26" t="str">
        <f>IF('Paste SD Data'!B326="","",'Paste SD Data'!B326)</f>
        <v>A</v>
      </c>
      <c r="D329" s="26">
        <f>IF('Paste SD Data'!C326="","",'Paste SD Data'!C326)</f>
        <v>13519</v>
      </c>
      <c r="E329" s="27" t="str">
        <f>IF('Paste SD Data'!E326="","",UPPER('Paste SD Data'!E326))</f>
        <v>BHAVESH SUTHAR</v>
      </c>
      <c r="F329" s="27" t="str">
        <f>IF('Paste SD Data'!G326="","",UPPER('Paste SD Data'!G326))</f>
        <v>RAMESH LAL SUTHAR</v>
      </c>
      <c r="G329" s="27" t="str">
        <f>IF('Paste SD Data'!H326="","",UPPER('Paste SD Data'!H326))</f>
        <v>DEU BAI</v>
      </c>
      <c r="H329" s="26" t="str">
        <f>IF('Paste SD Data'!I326="","",IF('Paste SD Data'!I326="M","BOY","GIRL"))</f>
        <v>BOY</v>
      </c>
      <c r="I329" s="28">
        <f>IF('Paste SD Data'!J326="","",'Paste SD Data'!J326)</f>
        <v>39021</v>
      </c>
      <c r="J329" s="34">
        <f t="shared" si="5"/>
        <v>755</v>
      </c>
      <c r="K329" s="29" t="str">
        <f>IF('Paste SD Data'!O326="","",'Paste SD Data'!O326)</f>
        <v>OBC</v>
      </c>
    </row>
    <row r="330" spans="1:11" ht="30" customHeight="1" x14ac:dyDescent="0.25">
      <c r="A330" s="25">
        <f>IF(Table1[[#This Row],[Name of Student]]="","",ROWS($A$1:A326))</f>
        <v>326</v>
      </c>
      <c r="B330" s="26">
        <f>IF('Paste SD Data'!A327="","",'Paste SD Data'!A327)</f>
        <v>10</v>
      </c>
      <c r="C330" s="26" t="str">
        <f>IF('Paste SD Data'!B327="","",'Paste SD Data'!B327)</f>
        <v>A</v>
      </c>
      <c r="D330" s="26">
        <f>IF('Paste SD Data'!C327="","",'Paste SD Data'!C327)</f>
        <v>13786</v>
      </c>
      <c r="E330" s="27" t="str">
        <f>IF('Paste SD Data'!E327="","",UPPER('Paste SD Data'!E327))</f>
        <v>CHANDRAPAL SINGH</v>
      </c>
      <c r="F330" s="27" t="str">
        <f>IF('Paste SD Data'!G327="","",UPPER('Paste SD Data'!G327))</f>
        <v>DUNGER SINGH</v>
      </c>
      <c r="G330" s="27" t="str">
        <f>IF('Paste SD Data'!H327="","",UPPER('Paste SD Data'!H327))</f>
        <v>PUSHPA RUPAWAT</v>
      </c>
      <c r="H330" s="26" t="str">
        <f>IF('Paste SD Data'!I327="","",IF('Paste SD Data'!I327="M","BOY","GIRL"))</f>
        <v>BOY</v>
      </c>
      <c r="I330" s="28">
        <f>IF('Paste SD Data'!J327="","",'Paste SD Data'!J327)</f>
        <v>38516</v>
      </c>
      <c r="J330" s="34">
        <f t="shared" si="5"/>
        <v>756</v>
      </c>
      <c r="K330" s="29" t="str">
        <f>IF('Paste SD Data'!O327="","",'Paste SD Data'!O327)</f>
        <v>OBC</v>
      </c>
    </row>
    <row r="331" spans="1:11" ht="30" customHeight="1" x14ac:dyDescent="0.25">
      <c r="A331" s="25">
        <f>IF(Table1[[#This Row],[Name of Student]]="","",ROWS($A$1:A327))</f>
        <v>327</v>
      </c>
      <c r="B331" s="26">
        <f>IF('Paste SD Data'!A328="","",'Paste SD Data'!A328)</f>
        <v>10</v>
      </c>
      <c r="C331" s="26" t="str">
        <f>IF('Paste SD Data'!B328="","",'Paste SD Data'!B328)</f>
        <v>A</v>
      </c>
      <c r="D331" s="26">
        <f>IF('Paste SD Data'!C328="","",'Paste SD Data'!C328)</f>
        <v>13551</v>
      </c>
      <c r="E331" s="27" t="str">
        <f>IF('Paste SD Data'!E328="","",UPPER('Paste SD Data'!E328))</f>
        <v>CHHOTU LAL GAWARIYA</v>
      </c>
      <c r="F331" s="27" t="str">
        <f>IF('Paste SD Data'!G328="","",UPPER('Paste SD Data'!G328))</f>
        <v>MITHA LAL</v>
      </c>
      <c r="G331" s="27" t="str">
        <f>IF('Paste SD Data'!H328="","",UPPER('Paste SD Data'!H328))</f>
        <v>SEETA DEVI</v>
      </c>
      <c r="H331" s="26" t="str">
        <f>IF('Paste SD Data'!I328="","",IF('Paste SD Data'!I328="M","BOY","GIRL"))</f>
        <v>BOY</v>
      </c>
      <c r="I331" s="28">
        <f>IF('Paste SD Data'!J328="","",'Paste SD Data'!J328)</f>
        <v>39127</v>
      </c>
      <c r="J331" s="34">
        <f t="shared" si="5"/>
        <v>757</v>
      </c>
      <c r="K331" s="29" t="str">
        <f>IF('Paste SD Data'!O328="","",'Paste SD Data'!O328)</f>
        <v>SC</v>
      </c>
    </row>
    <row r="332" spans="1:11" ht="30" customHeight="1" x14ac:dyDescent="0.25">
      <c r="A332" s="25">
        <f>IF(Table1[[#This Row],[Name of Student]]="","",ROWS($A$1:A328))</f>
        <v>328</v>
      </c>
      <c r="B332" s="26">
        <f>IF('Paste SD Data'!A329="","",'Paste SD Data'!A329)</f>
        <v>10</v>
      </c>
      <c r="C332" s="26" t="str">
        <f>IF('Paste SD Data'!B329="","",'Paste SD Data'!B329)</f>
        <v>A</v>
      </c>
      <c r="D332" s="26">
        <f>IF('Paste SD Data'!C329="","",'Paste SD Data'!C329)</f>
        <v>13699</v>
      </c>
      <c r="E332" s="27" t="str">
        <f>IF('Paste SD Data'!E329="","",UPPER('Paste SD Data'!E329))</f>
        <v>CHITRANSH DESHANTRY</v>
      </c>
      <c r="F332" s="27" t="str">
        <f>IF('Paste SD Data'!G329="","",UPPER('Paste SD Data'!G329))</f>
        <v>PARESH KUMAR DESHANTRY</v>
      </c>
      <c r="G332" s="27" t="str">
        <f>IF('Paste SD Data'!H329="","",UPPER('Paste SD Data'!H329))</f>
        <v>SUMITRA DESHANTRY</v>
      </c>
      <c r="H332" s="26" t="str">
        <f>IF('Paste SD Data'!I329="","",IF('Paste SD Data'!I329="M","BOY","GIRL"))</f>
        <v>BOY</v>
      </c>
      <c r="I332" s="28">
        <f>IF('Paste SD Data'!J329="","",'Paste SD Data'!J329)</f>
        <v>39865</v>
      </c>
      <c r="J332" s="34">
        <f t="shared" si="5"/>
        <v>758</v>
      </c>
      <c r="K332" s="29" t="str">
        <f>IF('Paste SD Data'!O329="","",'Paste SD Data'!O329)</f>
        <v>OBC</v>
      </c>
    </row>
    <row r="333" spans="1:11" ht="30" customHeight="1" x14ac:dyDescent="0.25">
      <c r="A333" s="25">
        <f>IF(Table1[[#This Row],[Name of Student]]="","",ROWS($A$1:A329))</f>
        <v>329</v>
      </c>
      <c r="B333" s="26">
        <f>IF('Paste SD Data'!A330="","",'Paste SD Data'!A330)</f>
        <v>10</v>
      </c>
      <c r="C333" s="26" t="str">
        <f>IF('Paste SD Data'!B330="","",'Paste SD Data'!B330)</f>
        <v>A</v>
      </c>
      <c r="D333" s="26">
        <f>IF('Paste SD Data'!C330="","",'Paste SD Data'!C330)</f>
        <v>13445</v>
      </c>
      <c r="E333" s="27" t="str">
        <f>IF('Paste SD Data'!E330="","",UPPER('Paste SD Data'!E330))</f>
        <v>DAGAR SINGH</v>
      </c>
      <c r="F333" s="27" t="str">
        <f>IF('Paste SD Data'!G330="","",UPPER('Paste SD Data'!G330))</f>
        <v>BHAGWAN SINGH</v>
      </c>
      <c r="G333" s="27" t="str">
        <f>IF('Paste SD Data'!H330="","",UPPER('Paste SD Data'!H330))</f>
        <v>SEETA DEVI</v>
      </c>
      <c r="H333" s="26" t="str">
        <f>IF('Paste SD Data'!I330="","",IF('Paste SD Data'!I330="M","BOY","GIRL"))</f>
        <v>BOY</v>
      </c>
      <c r="I333" s="28">
        <f>IF('Paste SD Data'!J330="","",'Paste SD Data'!J330)</f>
        <v>39006</v>
      </c>
      <c r="J333" s="34">
        <f t="shared" si="5"/>
        <v>759</v>
      </c>
      <c r="K333" s="29" t="str">
        <f>IF('Paste SD Data'!O330="","",'Paste SD Data'!O330)</f>
        <v>OBC</v>
      </c>
    </row>
    <row r="334" spans="1:11" ht="30" customHeight="1" x14ac:dyDescent="0.25">
      <c r="A334" s="25">
        <f>IF(Table1[[#This Row],[Name of Student]]="","",ROWS($A$1:A330))</f>
        <v>330</v>
      </c>
      <c r="B334" s="26">
        <f>IF('Paste SD Data'!A331="","",'Paste SD Data'!A331)</f>
        <v>10</v>
      </c>
      <c r="C334" s="26" t="str">
        <f>IF('Paste SD Data'!B331="","",'Paste SD Data'!B331)</f>
        <v>A</v>
      </c>
      <c r="D334" s="26">
        <f>IF('Paste SD Data'!C331="","",'Paste SD Data'!C331)</f>
        <v>13472</v>
      </c>
      <c r="E334" s="27" t="str">
        <f>IF('Paste SD Data'!E331="","",UPPER('Paste SD Data'!E331))</f>
        <v>DALVEER SINGH</v>
      </c>
      <c r="F334" s="27" t="str">
        <f>IF('Paste SD Data'!G331="","",UPPER('Paste SD Data'!G331))</f>
        <v>KHEEM SINGH</v>
      </c>
      <c r="G334" s="27" t="str">
        <f>IF('Paste SD Data'!H331="","",UPPER('Paste SD Data'!H331))</f>
        <v>FULI DEVI</v>
      </c>
      <c r="H334" s="26" t="str">
        <f>IF('Paste SD Data'!I331="","",IF('Paste SD Data'!I331="M","BOY","GIRL"))</f>
        <v>BOY</v>
      </c>
      <c r="I334" s="28">
        <f>IF('Paste SD Data'!J331="","",'Paste SD Data'!J331)</f>
        <v>38762</v>
      </c>
      <c r="J334" s="34">
        <f t="shared" si="5"/>
        <v>760</v>
      </c>
      <c r="K334" s="29" t="str">
        <f>IF('Paste SD Data'!O331="","",'Paste SD Data'!O331)</f>
        <v>OBC</v>
      </c>
    </row>
    <row r="335" spans="1:11" ht="30" customHeight="1" x14ac:dyDescent="0.25">
      <c r="A335" s="25">
        <f>IF(Table1[[#This Row],[Name of Student]]="","",ROWS($A$1:A331))</f>
        <v>331</v>
      </c>
      <c r="B335" s="26">
        <f>IF('Paste SD Data'!A332="","",'Paste SD Data'!A332)</f>
        <v>10</v>
      </c>
      <c r="C335" s="26" t="str">
        <f>IF('Paste SD Data'!B332="","",'Paste SD Data'!B332)</f>
        <v>A</v>
      </c>
      <c r="D335" s="26">
        <f>IF('Paste SD Data'!C332="","",'Paste SD Data'!C332)</f>
        <v>13682</v>
      </c>
      <c r="E335" s="27" t="str">
        <f>IF('Paste SD Data'!E332="","",UPPER('Paste SD Data'!E332))</f>
        <v>DEEPAK KUMAR MALI</v>
      </c>
      <c r="F335" s="27" t="str">
        <f>IF('Paste SD Data'!G332="","",UPPER('Paste SD Data'!G332))</f>
        <v>SURESH CHANDRA MALI</v>
      </c>
      <c r="G335" s="27" t="str">
        <f>IF('Paste SD Data'!H332="","",UPPER('Paste SD Data'!H332))</f>
        <v>PREM DEVI MALI</v>
      </c>
      <c r="H335" s="26" t="str">
        <f>IF('Paste SD Data'!I332="","",IF('Paste SD Data'!I332="M","BOY","GIRL"))</f>
        <v>BOY</v>
      </c>
      <c r="I335" s="28">
        <f>IF('Paste SD Data'!J332="","",'Paste SD Data'!J332)</f>
        <v>39420</v>
      </c>
      <c r="J335" s="34">
        <f t="shared" si="5"/>
        <v>761</v>
      </c>
      <c r="K335" s="29" t="str">
        <f>IF('Paste SD Data'!O332="","",'Paste SD Data'!O332)</f>
        <v>OBC</v>
      </c>
    </row>
    <row r="336" spans="1:11" ht="30" customHeight="1" x14ac:dyDescent="0.25">
      <c r="A336" s="25">
        <f>IF(Table1[[#This Row],[Name of Student]]="","",ROWS($A$1:A332))</f>
        <v>332</v>
      </c>
      <c r="B336" s="26">
        <f>IF('Paste SD Data'!A333="","",'Paste SD Data'!A333)</f>
        <v>10</v>
      </c>
      <c r="C336" s="26" t="str">
        <f>IF('Paste SD Data'!B333="","",'Paste SD Data'!B333)</f>
        <v>A</v>
      </c>
      <c r="D336" s="26">
        <f>IF('Paste SD Data'!C333="","",'Paste SD Data'!C333)</f>
        <v>13576</v>
      </c>
      <c r="E336" s="27" t="str">
        <f>IF('Paste SD Data'!E333="","",UPPER('Paste SD Data'!E333))</f>
        <v>DEEPANSHU REGAR</v>
      </c>
      <c r="F336" s="27" t="str">
        <f>IF('Paste SD Data'!G333="","",UPPER('Paste SD Data'!G333))</f>
        <v>LADU LAL REGAR</v>
      </c>
      <c r="G336" s="27" t="str">
        <f>IF('Paste SD Data'!H333="","",UPPER('Paste SD Data'!H333))</f>
        <v>CHANDRA KALA REGAR</v>
      </c>
      <c r="H336" s="26" t="str">
        <f>IF('Paste SD Data'!I333="","",IF('Paste SD Data'!I333="M","BOY","GIRL"))</f>
        <v>BOY</v>
      </c>
      <c r="I336" s="28">
        <f>IF('Paste SD Data'!J333="","",'Paste SD Data'!J333)</f>
        <v>38341</v>
      </c>
      <c r="J336" s="34">
        <f t="shared" si="5"/>
        <v>762</v>
      </c>
      <c r="K336" s="29" t="str">
        <f>IF('Paste SD Data'!O333="","",'Paste SD Data'!O333)</f>
        <v>SC</v>
      </c>
    </row>
    <row r="337" spans="1:11" ht="30" customHeight="1" x14ac:dyDescent="0.25">
      <c r="A337" s="25">
        <f>IF(Table1[[#This Row],[Name of Student]]="","",ROWS($A$1:A333))</f>
        <v>333</v>
      </c>
      <c r="B337" s="26">
        <f>IF('Paste SD Data'!A334="","",'Paste SD Data'!A334)</f>
        <v>10</v>
      </c>
      <c r="C337" s="26" t="str">
        <f>IF('Paste SD Data'!B334="","",'Paste SD Data'!B334)</f>
        <v>A</v>
      </c>
      <c r="D337" s="26">
        <f>IF('Paste SD Data'!C334="","",'Paste SD Data'!C334)</f>
        <v>13561</v>
      </c>
      <c r="E337" s="27" t="str">
        <f>IF('Paste SD Data'!E334="","",UPPER('Paste SD Data'!E334))</f>
        <v>DEVENDRA GURJAR</v>
      </c>
      <c r="F337" s="27" t="str">
        <f>IF('Paste SD Data'!G334="","",UPPER('Paste SD Data'!G334))</f>
        <v>KANHAIYA LAL</v>
      </c>
      <c r="G337" s="27" t="str">
        <f>IF('Paste SD Data'!H334="","",UPPER('Paste SD Data'!H334))</f>
        <v>SUKHI DEVI</v>
      </c>
      <c r="H337" s="26" t="str">
        <f>IF('Paste SD Data'!I334="","",IF('Paste SD Data'!I334="M","BOY","GIRL"))</f>
        <v>BOY</v>
      </c>
      <c r="I337" s="28">
        <f>IF('Paste SD Data'!J334="","",'Paste SD Data'!J334)</f>
        <v>37724</v>
      </c>
      <c r="J337" s="34">
        <f t="shared" si="5"/>
        <v>763</v>
      </c>
      <c r="K337" s="29" t="str">
        <f>IF('Paste SD Data'!O334="","",'Paste SD Data'!O334)</f>
        <v>SBC</v>
      </c>
    </row>
    <row r="338" spans="1:11" ht="30" customHeight="1" x14ac:dyDescent="0.25">
      <c r="A338" s="25">
        <f>IF(Table1[[#This Row],[Name of Student]]="","",ROWS($A$1:A334))</f>
        <v>334</v>
      </c>
      <c r="B338" s="26">
        <f>IF('Paste SD Data'!A335="","",'Paste SD Data'!A335)</f>
        <v>10</v>
      </c>
      <c r="C338" s="26" t="str">
        <f>IF('Paste SD Data'!B335="","",'Paste SD Data'!B335)</f>
        <v>A</v>
      </c>
      <c r="D338" s="26">
        <f>IF('Paste SD Data'!C335="","",'Paste SD Data'!C335)</f>
        <v>13488</v>
      </c>
      <c r="E338" s="27" t="str">
        <f>IF('Paste SD Data'!E335="","",UPPER('Paste SD Data'!E335))</f>
        <v>DEVENDRA KUMAR KHATIK</v>
      </c>
      <c r="F338" s="27" t="str">
        <f>IF('Paste SD Data'!G335="","",UPPER('Paste SD Data'!G335))</f>
        <v>ARJUN LAL</v>
      </c>
      <c r="G338" s="27" t="str">
        <f>IF('Paste SD Data'!H335="","",UPPER('Paste SD Data'!H335))</f>
        <v>SUGANA DEVI</v>
      </c>
      <c r="H338" s="26" t="str">
        <f>IF('Paste SD Data'!I335="","",IF('Paste SD Data'!I335="M","BOY","GIRL"))</f>
        <v>BOY</v>
      </c>
      <c r="I338" s="28">
        <f>IF('Paste SD Data'!J335="","",'Paste SD Data'!J335)</f>
        <v>38553</v>
      </c>
      <c r="J338" s="34">
        <f t="shared" si="5"/>
        <v>764</v>
      </c>
      <c r="K338" s="29" t="str">
        <f>IF('Paste SD Data'!O335="","",'Paste SD Data'!O335)</f>
        <v>SC</v>
      </c>
    </row>
    <row r="339" spans="1:11" ht="30" customHeight="1" x14ac:dyDescent="0.25">
      <c r="A339" s="25">
        <f>IF(Table1[[#This Row],[Name of Student]]="","",ROWS($A$1:A335))</f>
        <v>335</v>
      </c>
      <c r="B339" s="26">
        <f>IF('Paste SD Data'!A336="","",'Paste SD Data'!A336)</f>
        <v>10</v>
      </c>
      <c r="C339" s="26" t="str">
        <f>IF('Paste SD Data'!B336="","",'Paste SD Data'!B336)</f>
        <v>A</v>
      </c>
      <c r="D339" s="26">
        <f>IF('Paste SD Data'!C336="","",'Paste SD Data'!C336)</f>
        <v>13441</v>
      </c>
      <c r="E339" s="27" t="str">
        <f>IF('Paste SD Data'!E336="","",UPPER('Paste SD Data'!E336))</f>
        <v>DHARMESH KALAL</v>
      </c>
      <c r="F339" s="27" t="str">
        <f>IF('Paste SD Data'!G336="","",UPPER('Paste SD Data'!G336))</f>
        <v>KHUMAN LAL KALAL</v>
      </c>
      <c r="G339" s="27" t="str">
        <f>IF('Paste SD Data'!H336="","",UPPER('Paste SD Data'!H336))</f>
        <v>DEU DEVI</v>
      </c>
      <c r="H339" s="26" t="str">
        <f>IF('Paste SD Data'!I336="","",IF('Paste SD Data'!I336="M","BOY","GIRL"))</f>
        <v>BOY</v>
      </c>
      <c r="I339" s="28">
        <f>IF('Paste SD Data'!J336="","",'Paste SD Data'!J336)</f>
        <v>39175</v>
      </c>
      <c r="J339" s="34">
        <f t="shared" si="5"/>
        <v>765</v>
      </c>
      <c r="K339" s="29" t="str">
        <f>IF('Paste SD Data'!O336="","",'Paste SD Data'!O336)</f>
        <v>OBC</v>
      </c>
    </row>
    <row r="340" spans="1:11" ht="30" customHeight="1" x14ac:dyDescent="0.25">
      <c r="A340" s="25">
        <f>IF(Table1[[#This Row],[Name of Student]]="","",ROWS($A$1:A336))</f>
        <v>336</v>
      </c>
      <c r="B340" s="26">
        <f>IF('Paste SD Data'!A337="","",'Paste SD Data'!A337)</f>
        <v>10</v>
      </c>
      <c r="C340" s="26" t="str">
        <f>IF('Paste SD Data'!B337="","",'Paste SD Data'!B337)</f>
        <v>A</v>
      </c>
      <c r="D340" s="26">
        <f>IF('Paste SD Data'!C337="","",'Paste SD Data'!C337)</f>
        <v>13550</v>
      </c>
      <c r="E340" s="27" t="str">
        <f>IF('Paste SD Data'!E337="","",UPPER('Paste SD Data'!E337))</f>
        <v>DUNGAR SINGH</v>
      </c>
      <c r="F340" s="27" t="str">
        <f>IF('Paste SD Data'!G337="","",UPPER('Paste SD Data'!G337))</f>
        <v>MOHAN SINGH</v>
      </c>
      <c r="G340" s="27" t="str">
        <f>IF('Paste SD Data'!H337="","",UPPER('Paste SD Data'!H337))</f>
        <v>UDI DEVI</v>
      </c>
      <c r="H340" s="26" t="str">
        <f>IF('Paste SD Data'!I337="","",IF('Paste SD Data'!I337="M","BOY","GIRL"))</f>
        <v>BOY</v>
      </c>
      <c r="I340" s="28">
        <f>IF('Paste SD Data'!J337="","",'Paste SD Data'!J337)</f>
        <v>38139</v>
      </c>
      <c r="J340" s="34">
        <f t="shared" si="5"/>
        <v>766</v>
      </c>
      <c r="K340" s="29" t="str">
        <f>IF('Paste SD Data'!O337="","",'Paste SD Data'!O337)</f>
        <v>OBC</v>
      </c>
    </row>
    <row r="341" spans="1:11" ht="30" customHeight="1" x14ac:dyDescent="0.25">
      <c r="A341" s="25">
        <f>IF(Table1[[#This Row],[Name of Student]]="","",ROWS($A$1:A337))</f>
        <v>337</v>
      </c>
      <c r="B341" s="26">
        <f>IF('Paste SD Data'!A338="","",'Paste SD Data'!A338)</f>
        <v>10</v>
      </c>
      <c r="C341" s="26" t="str">
        <f>IF('Paste SD Data'!B338="","",'Paste SD Data'!B338)</f>
        <v>A</v>
      </c>
      <c r="D341" s="26">
        <f>IF('Paste SD Data'!C338="","",'Paste SD Data'!C338)</f>
        <v>13487</v>
      </c>
      <c r="E341" s="27" t="str">
        <f>IF('Paste SD Data'!E338="","",UPPER('Paste SD Data'!E338))</f>
        <v>DUNGAR SINGH</v>
      </c>
      <c r="F341" s="27" t="str">
        <f>IF('Paste SD Data'!G338="","",UPPER('Paste SD Data'!G338))</f>
        <v>KHEEM SINGH</v>
      </c>
      <c r="G341" s="27" t="str">
        <f>IF('Paste SD Data'!H338="","",UPPER('Paste SD Data'!H338))</f>
        <v>JASODA DEVI</v>
      </c>
      <c r="H341" s="26" t="str">
        <f>IF('Paste SD Data'!I338="","",IF('Paste SD Data'!I338="M","BOY","GIRL"))</f>
        <v>BOY</v>
      </c>
      <c r="I341" s="28">
        <f>IF('Paste SD Data'!J338="","",'Paste SD Data'!J338)</f>
        <v>38945</v>
      </c>
      <c r="J341" s="34">
        <f t="shared" si="5"/>
        <v>767</v>
      </c>
      <c r="K341" s="29" t="str">
        <f>IF('Paste SD Data'!O338="","",'Paste SD Data'!O338)</f>
        <v>OBC</v>
      </c>
    </row>
    <row r="342" spans="1:11" ht="30" customHeight="1" x14ac:dyDescent="0.25">
      <c r="A342" s="25">
        <f>IF(Table1[[#This Row],[Name of Student]]="","",ROWS($A$1:A338))</f>
        <v>338</v>
      </c>
      <c r="B342" s="26">
        <f>IF('Paste SD Data'!A339="","",'Paste SD Data'!A339)</f>
        <v>10</v>
      </c>
      <c r="C342" s="26" t="str">
        <f>IF('Paste SD Data'!B339="","",'Paste SD Data'!B339)</f>
        <v>A</v>
      </c>
      <c r="D342" s="26">
        <f>IF('Paste SD Data'!C339="","",'Paste SD Data'!C339)</f>
        <v>13536</v>
      </c>
      <c r="E342" s="27" t="str">
        <f>IF('Paste SD Data'!E339="","",UPPER('Paste SD Data'!E339))</f>
        <v>GANPAT SINGH</v>
      </c>
      <c r="F342" s="27" t="str">
        <f>IF('Paste SD Data'!G339="","",UPPER('Paste SD Data'!G339))</f>
        <v>LAXMAN SINGH</v>
      </c>
      <c r="G342" s="27" t="str">
        <f>IF('Paste SD Data'!H339="","",UPPER('Paste SD Data'!H339))</f>
        <v>DHANU DEVI</v>
      </c>
      <c r="H342" s="26" t="str">
        <f>IF('Paste SD Data'!I339="","",IF('Paste SD Data'!I339="M","BOY","GIRL"))</f>
        <v>BOY</v>
      </c>
      <c r="I342" s="28">
        <f>IF('Paste SD Data'!J339="","",'Paste SD Data'!J339)</f>
        <v>38816</v>
      </c>
      <c r="J342" s="34">
        <f t="shared" si="5"/>
        <v>768</v>
      </c>
      <c r="K342" s="29" t="str">
        <f>IF('Paste SD Data'!O339="","",'Paste SD Data'!O339)</f>
        <v>OBC</v>
      </c>
    </row>
    <row r="343" spans="1:11" ht="30" customHeight="1" x14ac:dyDescent="0.25">
      <c r="A343" s="25">
        <f>IF(Table1[[#This Row],[Name of Student]]="","",ROWS($A$1:A339))</f>
        <v>339</v>
      </c>
      <c r="B343" s="26">
        <f>IF('Paste SD Data'!A340="","",'Paste SD Data'!A340)</f>
        <v>10</v>
      </c>
      <c r="C343" s="26" t="str">
        <f>IF('Paste SD Data'!B340="","",'Paste SD Data'!B340)</f>
        <v>A</v>
      </c>
      <c r="D343" s="26">
        <f>IF('Paste SD Data'!C340="","",'Paste SD Data'!C340)</f>
        <v>12292</v>
      </c>
      <c r="E343" s="27" t="str">
        <f>IF('Paste SD Data'!E340="","",UPPER('Paste SD Data'!E340))</f>
        <v>GAURAV MALI</v>
      </c>
      <c r="F343" s="27" t="str">
        <f>IF('Paste SD Data'!G340="","",UPPER('Paste SD Data'!G340))</f>
        <v>KAILASH MALI</v>
      </c>
      <c r="G343" s="27" t="str">
        <f>IF('Paste SD Data'!H340="","",UPPER('Paste SD Data'!H340))</f>
        <v>SANTOSH BAI</v>
      </c>
      <c r="H343" s="26" t="str">
        <f>IF('Paste SD Data'!I340="","",IF('Paste SD Data'!I340="M","BOY","GIRL"))</f>
        <v>BOY</v>
      </c>
      <c r="I343" s="28">
        <f>IF('Paste SD Data'!J340="","",'Paste SD Data'!J340)</f>
        <v>38451</v>
      </c>
      <c r="J343" s="34">
        <f t="shared" si="5"/>
        <v>769</v>
      </c>
      <c r="K343" s="29" t="str">
        <f>IF('Paste SD Data'!O340="","",'Paste SD Data'!O340)</f>
        <v>OBC</v>
      </c>
    </row>
    <row r="344" spans="1:11" ht="30" customHeight="1" x14ac:dyDescent="0.25">
      <c r="A344" s="25">
        <f>IF(Table1[[#This Row],[Name of Student]]="","",ROWS($A$1:A340))</f>
        <v>340</v>
      </c>
      <c r="B344" s="26">
        <f>IF('Paste SD Data'!A341="","",'Paste SD Data'!A341)</f>
        <v>10</v>
      </c>
      <c r="C344" s="26" t="str">
        <f>IF('Paste SD Data'!B341="","",'Paste SD Data'!B341)</f>
        <v>A</v>
      </c>
      <c r="D344" s="26">
        <f>IF('Paste SD Data'!C341="","",'Paste SD Data'!C341)</f>
        <v>13489</v>
      </c>
      <c r="E344" s="27" t="str">
        <f>IF('Paste SD Data'!E341="","",UPPER('Paste SD Data'!E341))</f>
        <v>GIRIRAJ GAWARIYA</v>
      </c>
      <c r="F344" s="27" t="str">
        <f>IF('Paste SD Data'!G341="","",UPPER('Paste SD Data'!G341))</f>
        <v>GOVIND GAWARIYA</v>
      </c>
      <c r="G344" s="27" t="str">
        <f>IF('Paste SD Data'!H341="","",UPPER('Paste SD Data'!H341))</f>
        <v>SEEMA DEVI</v>
      </c>
      <c r="H344" s="26" t="str">
        <f>IF('Paste SD Data'!I341="","",IF('Paste SD Data'!I341="M","BOY","GIRL"))</f>
        <v>BOY</v>
      </c>
      <c r="I344" s="28">
        <f>IF('Paste SD Data'!J341="","",'Paste SD Data'!J341)</f>
        <v>38874</v>
      </c>
      <c r="J344" s="34">
        <f t="shared" si="5"/>
        <v>770</v>
      </c>
      <c r="K344" s="29" t="str">
        <f>IF('Paste SD Data'!O341="","",'Paste SD Data'!O341)</f>
        <v>SC</v>
      </c>
    </row>
    <row r="345" spans="1:11" ht="30" customHeight="1" x14ac:dyDescent="0.25">
      <c r="A345" s="25">
        <f>IF(Table1[[#This Row],[Name of Student]]="","",ROWS($A$1:A341))</f>
        <v>341</v>
      </c>
      <c r="B345" s="26">
        <f>IF('Paste SD Data'!A342="","",'Paste SD Data'!A342)</f>
        <v>10</v>
      </c>
      <c r="C345" s="26" t="str">
        <f>IF('Paste SD Data'!B342="","",'Paste SD Data'!B342)</f>
        <v>A</v>
      </c>
      <c r="D345" s="26">
        <f>IF('Paste SD Data'!C342="","",'Paste SD Data'!C342)</f>
        <v>13471</v>
      </c>
      <c r="E345" s="27" t="str">
        <f>IF('Paste SD Data'!E342="","",UPPER('Paste SD Data'!E342))</f>
        <v>GOPAL LAL GURJAR</v>
      </c>
      <c r="F345" s="27" t="str">
        <f>IF('Paste SD Data'!G342="","",UPPER('Paste SD Data'!G342))</f>
        <v>NENALAL GURJAR</v>
      </c>
      <c r="G345" s="27" t="str">
        <f>IF('Paste SD Data'!H342="","",UPPER('Paste SD Data'!H342))</f>
        <v>CHANDI DEVI</v>
      </c>
      <c r="H345" s="26" t="str">
        <f>IF('Paste SD Data'!I342="","",IF('Paste SD Data'!I342="M","BOY","GIRL"))</f>
        <v>BOY</v>
      </c>
      <c r="I345" s="28">
        <f>IF('Paste SD Data'!J342="","",'Paste SD Data'!J342)</f>
        <v>38998</v>
      </c>
      <c r="J345" s="34">
        <f t="shared" si="5"/>
        <v>771</v>
      </c>
      <c r="K345" s="29" t="str">
        <f>IF('Paste SD Data'!O342="","",'Paste SD Data'!O342)</f>
        <v>SBC</v>
      </c>
    </row>
    <row r="346" spans="1:11" ht="30" customHeight="1" x14ac:dyDescent="0.25">
      <c r="A346" s="25">
        <f>IF(Table1[[#This Row],[Name of Student]]="","",ROWS($A$1:A342))</f>
        <v>342</v>
      </c>
      <c r="B346" s="26">
        <f>IF('Paste SD Data'!A343="","",'Paste SD Data'!A343)</f>
        <v>10</v>
      </c>
      <c r="C346" s="26" t="str">
        <f>IF('Paste SD Data'!B343="","",'Paste SD Data'!B343)</f>
        <v>A</v>
      </c>
      <c r="D346" s="26">
        <f>IF('Paste SD Data'!C343="","",'Paste SD Data'!C343)</f>
        <v>12287</v>
      </c>
      <c r="E346" s="27" t="str">
        <f>IF('Paste SD Data'!E343="","",UPPER('Paste SD Data'!E343))</f>
        <v>GOVIND MALI</v>
      </c>
      <c r="F346" s="27" t="str">
        <f>IF('Paste SD Data'!G343="","",UPPER('Paste SD Data'!G343))</f>
        <v>MADAN LAL MALI</v>
      </c>
      <c r="G346" s="27" t="str">
        <f>IF('Paste SD Data'!H343="","",UPPER('Paste SD Data'!H343))</f>
        <v>SOHANI DEVI</v>
      </c>
      <c r="H346" s="26" t="str">
        <f>IF('Paste SD Data'!I343="","",IF('Paste SD Data'!I343="M","BOY","GIRL"))</f>
        <v>BOY</v>
      </c>
      <c r="I346" s="28">
        <f>IF('Paste SD Data'!J343="","",'Paste SD Data'!J343)</f>
        <v>39457</v>
      </c>
      <c r="J346" s="34">
        <f t="shared" si="5"/>
        <v>772</v>
      </c>
      <c r="K346" s="29" t="str">
        <f>IF('Paste SD Data'!O343="","",'Paste SD Data'!O343)</f>
        <v>OBC</v>
      </c>
    </row>
    <row r="347" spans="1:11" ht="30" customHeight="1" x14ac:dyDescent="0.25">
      <c r="A347" s="25">
        <f>IF(Table1[[#This Row],[Name of Student]]="","",ROWS($A$1:A343))</f>
        <v>343</v>
      </c>
      <c r="B347" s="26">
        <f>IF('Paste SD Data'!A344="","",'Paste SD Data'!A344)</f>
        <v>10</v>
      </c>
      <c r="C347" s="26" t="str">
        <f>IF('Paste SD Data'!B344="","",'Paste SD Data'!B344)</f>
        <v>A</v>
      </c>
      <c r="D347" s="26">
        <f>IF('Paste SD Data'!C344="","",'Paste SD Data'!C344)</f>
        <v>13963</v>
      </c>
      <c r="E347" s="27" t="str">
        <f>IF('Paste SD Data'!E344="","",UPPER('Paste SD Data'!E344))</f>
        <v>GOVIND NATH YOGI</v>
      </c>
      <c r="F347" s="27" t="str">
        <f>IF('Paste SD Data'!G344="","",UPPER('Paste SD Data'!G344))</f>
        <v>BHAIRU NATH YOGI</v>
      </c>
      <c r="G347" s="27" t="str">
        <f>IF('Paste SD Data'!H344="","",UPPER('Paste SD Data'!H344))</f>
        <v>TEEPU DEVI</v>
      </c>
      <c r="H347" s="26" t="str">
        <f>IF('Paste SD Data'!I344="","",IF('Paste SD Data'!I344="M","BOY","GIRL"))</f>
        <v>BOY</v>
      </c>
      <c r="I347" s="28">
        <f>IF('Paste SD Data'!J344="","",'Paste SD Data'!J344)</f>
        <v>38009</v>
      </c>
      <c r="J347" s="34">
        <f t="shared" si="5"/>
        <v>773</v>
      </c>
      <c r="K347" s="29" t="str">
        <f>IF('Paste SD Data'!O344="","",'Paste SD Data'!O344)</f>
        <v>OBC</v>
      </c>
    </row>
    <row r="348" spans="1:11" ht="30" customHeight="1" x14ac:dyDescent="0.25">
      <c r="A348" s="25">
        <f>IF(Table1[[#This Row],[Name of Student]]="","",ROWS($A$1:A344))</f>
        <v>344</v>
      </c>
      <c r="B348" s="26">
        <f>IF('Paste SD Data'!A345="","",'Paste SD Data'!A345)</f>
        <v>10</v>
      </c>
      <c r="C348" s="26" t="str">
        <f>IF('Paste SD Data'!B345="","",'Paste SD Data'!B345)</f>
        <v>A</v>
      </c>
      <c r="D348" s="26">
        <f>IF('Paste SD Data'!C345="","",'Paste SD Data'!C345)</f>
        <v>13444</v>
      </c>
      <c r="E348" s="27" t="str">
        <f>IF('Paste SD Data'!E345="","",UPPER('Paste SD Data'!E345))</f>
        <v>HEMANT SINGH RAWAT</v>
      </c>
      <c r="F348" s="27" t="str">
        <f>IF('Paste SD Data'!G345="","",UPPER('Paste SD Data'!G345))</f>
        <v>HARI SINGH</v>
      </c>
      <c r="G348" s="27" t="str">
        <f>IF('Paste SD Data'!H345="","",UPPER('Paste SD Data'!H345))</f>
        <v>ANHCHI DEVI</v>
      </c>
      <c r="H348" s="26" t="str">
        <f>IF('Paste SD Data'!I345="","",IF('Paste SD Data'!I345="M","BOY","GIRL"))</f>
        <v>BOY</v>
      </c>
      <c r="I348" s="28">
        <f>IF('Paste SD Data'!J345="","",'Paste SD Data'!J345)</f>
        <v>39330</v>
      </c>
      <c r="J348" s="34">
        <f t="shared" si="5"/>
        <v>774</v>
      </c>
      <c r="K348" s="29" t="str">
        <f>IF('Paste SD Data'!O345="","",'Paste SD Data'!O345)</f>
        <v>OBC</v>
      </c>
    </row>
    <row r="349" spans="1:11" ht="30" customHeight="1" x14ac:dyDescent="0.25">
      <c r="A349" s="25">
        <f>IF(Table1[[#This Row],[Name of Student]]="","",ROWS($A$1:A345))</f>
        <v>345</v>
      </c>
      <c r="B349" s="26">
        <f>IF('Paste SD Data'!A346="","",'Paste SD Data'!A346)</f>
        <v>10</v>
      </c>
      <c r="C349" s="26" t="str">
        <f>IF('Paste SD Data'!B346="","",'Paste SD Data'!B346)</f>
        <v>A</v>
      </c>
      <c r="D349" s="26">
        <f>IF('Paste SD Data'!C346="","",'Paste SD Data'!C346)</f>
        <v>13521</v>
      </c>
      <c r="E349" s="27" t="str">
        <f>IF('Paste SD Data'!E346="","",UPPER('Paste SD Data'!E346))</f>
        <v>HEMENDRA</v>
      </c>
      <c r="F349" s="27" t="str">
        <f>IF('Paste SD Data'!G346="","",UPPER('Paste SD Data'!G346))</f>
        <v>LAXMAN LAL KALAL</v>
      </c>
      <c r="G349" s="27" t="str">
        <f>IF('Paste SD Data'!H346="","",UPPER('Paste SD Data'!H346))</f>
        <v>SANTOSH DEVI</v>
      </c>
      <c r="H349" s="26" t="str">
        <f>IF('Paste SD Data'!I346="","",IF('Paste SD Data'!I346="M","BOY","GIRL"))</f>
        <v>BOY</v>
      </c>
      <c r="I349" s="28">
        <f>IF('Paste SD Data'!J346="","",'Paste SD Data'!J346)</f>
        <v>38867</v>
      </c>
      <c r="J349" s="34">
        <f t="shared" si="5"/>
        <v>775</v>
      </c>
      <c r="K349" s="29" t="str">
        <f>IF('Paste SD Data'!O346="","",'Paste SD Data'!O346)</f>
        <v>OBC</v>
      </c>
    </row>
    <row r="350" spans="1:11" ht="30" customHeight="1" x14ac:dyDescent="0.25">
      <c r="A350" s="25">
        <f>IF(Table1[[#This Row],[Name of Student]]="","",ROWS($A$1:A346))</f>
        <v>346</v>
      </c>
      <c r="B350" s="26">
        <f>IF('Paste SD Data'!A347="","",'Paste SD Data'!A347)</f>
        <v>10</v>
      </c>
      <c r="C350" s="26" t="str">
        <f>IF('Paste SD Data'!B347="","",'Paste SD Data'!B347)</f>
        <v>A</v>
      </c>
      <c r="D350" s="26">
        <f>IF('Paste SD Data'!C347="","",'Paste SD Data'!C347)</f>
        <v>13024</v>
      </c>
      <c r="E350" s="27" t="str">
        <f>IF('Paste SD Data'!E347="","",UPPER('Paste SD Data'!E347))</f>
        <v>HEMENDRA SEN</v>
      </c>
      <c r="F350" s="27" t="str">
        <f>IF('Paste SD Data'!G347="","",UPPER('Paste SD Data'!G347))</f>
        <v>BANSI LAL SEN</v>
      </c>
      <c r="G350" s="27" t="str">
        <f>IF('Paste SD Data'!H347="","",UPPER('Paste SD Data'!H347))</f>
        <v>BINDU SEN</v>
      </c>
      <c r="H350" s="26" t="str">
        <f>IF('Paste SD Data'!I347="","",IF('Paste SD Data'!I347="M","BOY","GIRL"))</f>
        <v>BOY</v>
      </c>
      <c r="I350" s="28">
        <f>IF('Paste SD Data'!J347="","",'Paste SD Data'!J347)</f>
        <v>39224</v>
      </c>
      <c r="J350" s="34">
        <f t="shared" si="5"/>
        <v>776</v>
      </c>
      <c r="K350" s="29" t="str">
        <f>IF('Paste SD Data'!O347="","",'Paste SD Data'!O347)</f>
        <v>OBC</v>
      </c>
    </row>
    <row r="351" spans="1:11" ht="30" customHeight="1" x14ac:dyDescent="0.25">
      <c r="A351" s="25">
        <f>IF(Table1[[#This Row],[Name of Student]]="","",ROWS($A$1:A347))</f>
        <v>347</v>
      </c>
      <c r="B351" s="26">
        <f>IF('Paste SD Data'!A348="","",'Paste SD Data'!A348)</f>
        <v>10</v>
      </c>
      <c r="C351" s="26" t="str">
        <f>IF('Paste SD Data'!B348="","",'Paste SD Data'!B348)</f>
        <v>A</v>
      </c>
      <c r="D351" s="26">
        <f>IF('Paste SD Data'!C348="","",'Paste SD Data'!C348)</f>
        <v>13679</v>
      </c>
      <c r="E351" s="27" t="str">
        <f>IF('Paste SD Data'!E348="","",UPPER('Paste SD Data'!E348))</f>
        <v>HEMRAJ REGAR</v>
      </c>
      <c r="F351" s="27" t="str">
        <f>IF('Paste SD Data'!G348="","",UPPER('Paste SD Data'!G348))</f>
        <v>NENA LAL REGAR</v>
      </c>
      <c r="G351" s="27" t="str">
        <f>IF('Paste SD Data'!H348="","",UPPER('Paste SD Data'!H348))</f>
        <v>KANCHAN DEVI</v>
      </c>
      <c r="H351" s="26" t="str">
        <f>IF('Paste SD Data'!I348="","",IF('Paste SD Data'!I348="M","BOY","GIRL"))</f>
        <v>BOY</v>
      </c>
      <c r="I351" s="28">
        <f>IF('Paste SD Data'!J348="","",'Paste SD Data'!J348)</f>
        <v>38651</v>
      </c>
      <c r="J351" s="34">
        <f t="shared" si="5"/>
        <v>777</v>
      </c>
      <c r="K351" s="29" t="str">
        <f>IF('Paste SD Data'!O348="","",'Paste SD Data'!O348)</f>
        <v>SC</v>
      </c>
    </row>
    <row r="352" spans="1:11" ht="30" customHeight="1" x14ac:dyDescent="0.25">
      <c r="A352" s="25">
        <f>IF(Table1[[#This Row],[Name of Student]]="","",ROWS($A$1:A348))</f>
        <v>348</v>
      </c>
      <c r="B352" s="26">
        <f>IF('Paste SD Data'!A349="","",'Paste SD Data'!A349)</f>
        <v>10</v>
      </c>
      <c r="C352" s="26" t="str">
        <f>IF('Paste SD Data'!B349="","",'Paste SD Data'!B349)</f>
        <v>A</v>
      </c>
      <c r="D352" s="26">
        <f>IF('Paste SD Data'!C349="","",'Paste SD Data'!C349)</f>
        <v>13948</v>
      </c>
      <c r="E352" s="27" t="str">
        <f>IF('Paste SD Data'!E349="","",UPPER('Paste SD Data'!E349))</f>
        <v>HINDRAJ SINGH PANWAR</v>
      </c>
      <c r="F352" s="27" t="str">
        <f>IF('Paste SD Data'!G349="","",UPPER('Paste SD Data'!G349))</f>
        <v>DWARKA SINGH PANWAR</v>
      </c>
      <c r="G352" s="27" t="str">
        <f>IF('Paste SD Data'!H349="","",UPPER('Paste SD Data'!H349))</f>
        <v>RAJESHWARI PANWAR</v>
      </c>
      <c r="H352" s="26" t="str">
        <f>IF('Paste SD Data'!I349="","",IF('Paste SD Data'!I349="M","BOY","GIRL"))</f>
        <v>BOY</v>
      </c>
      <c r="I352" s="28">
        <f>IF('Paste SD Data'!J349="","",'Paste SD Data'!J349)</f>
        <v>38649</v>
      </c>
      <c r="J352" s="34">
        <f t="shared" si="5"/>
        <v>778</v>
      </c>
      <c r="K352" s="29" t="str">
        <f>IF('Paste SD Data'!O349="","",'Paste SD Data'!O349)</f>
        <v>OBC</v>
      </c>
    </row>
    <row r="353" spans="1:11" ht="30" customHeight="1" x14ac:dyDescent="0.25">
      <c r="A353" s="25">
        <f>IF(Table1[[#This Row],[Name of Student]]="","",ROWS($A$1:A349))</f>
        <v>349</v>
      </c>
      <c r="B353" s="26">
        <f>IF('Paste SD Data'!A350="","",'Paste SD Data'!A350)</f>
        <v>10</v>
      </c>
      <c r="C353" s="26" t="str">
        <f>IF('Paste SD Data'!B350="","",'Paste SD Data'!B350)</f>
        <v>A</v>
      </c>
      <c r="D353" s="26">
        <f>IF('Paste SD Data'!C350="","",'Paste SD Data'!C350)</f>
        <v>13446</v>
      </c>
      <c r="E353" s="27" t="str">
        <f>IF('Paste SD Data'!E350="","",UPPER('Paste SD Data'!E350))</f>
        <v>JASRAJ NAT</v>
      </c>
      <c r="F353" s="27" t="str">
        <f>IF('Paste SD Data'!G350="","",UPPER('Paste SD Data'!G350))</f>
        <v>GOPAL LAL NAT</v>
      </c>
      <c r="G353" s="27" t="str">
        <f>IF('Paste SD Data'!H350="","",UPPER('Paste SD Data'!H350))</f>
        <v>SHANTI DEVI NAT</v>
      </c>
      <c r="H353" s="26" t="str">
        <f>IF('Paste SD Data'!I350="","",IF('Paste SD Data'!I350="M","BOY","GIRL"))</f>
        <v>BOY</v>
      </c>
      <c r="I353" s="28">
        <f>IF('Paste SD Data'!J350="","",'Paste SD Data'!J350)</f>
        <v>39661</v>
      </c>
      <c r="J353" s="34">
        <f t="shared" si="5"/>
        <v>779</v>
      </c>
      <c r="K353" s="29" t="str">
        <f>IF('Paste SD Data'!O350="","",'Paste SD Data'!O350)</f>
        <v>SC</v>
      </c>
    </row>
    <row r="354" spans="1:11" ht="30" customHeight="1" x14ac:dyDescent="0.25">
      <c r="A354" s="25">
        <f>IF(Table1[[#This Row],[Name of Student]]="","",ROWS($A$1:A350))</f>
        <v>350</v>
      </c>
      <c r="B354" s="26">
        <f>IF('Paste SD Data'!A351="","",'Paste SD Data'!A351)</f>
        <v>10</v>
      </c>
      <c r="C354" s="26" t="str">
        <f>IF('Paste SD Data'!B351="","",'Paste SD Data'!B351)</f>
        <v>A</v>
      </c>
      <c r="D354" s="26">
        <f>IF('Paste SD Data'!C351="","",'Paste SD Data'!C351)</f>
        <v>13455</v>
      </c>
      <c r="E354" s="27" t="str">
        <f>IF('Paste SD Data'!E351="","",UPPER('Paste SD Data'!E351))</f>
        <v>JEETU SINGH</v>
      </c>
      <c r="F354" s="27" t="str">
        <f>IF('Paste SD Data'!G351="","",UPPER('Paste SD Data'!G351))</f>
        <v>KISHAN SINGH</v>
      </c>
      <c r="G354" s="27" t="str">
        <f>IF('Paste SD Data'!H351="","",UPPER('Paste SD Data'!H351))</f>
        <v>SENA DEVI</v>
      </c>
      <c r="H354" s="26" t="str">
        <f>IF('Paste SD Data'!I351="","",IF('Paste SD Data'!I351="M","BOY","GIRL"))</f>
        <v>BOY</v>
      </c>
      <c r="I354" s="28">
        <f>IF('Paste SD Data'!J351="","",'Paste SD Data'!J351)</f>
        <v>38547</v>
      </c>
      <c r="J354" s="34">
        <f t="shared" si="5"/>
        <v>780</v>
      </c>
      <c r="K354" s="29" t="str">
        <f>IF('Paste SD Data'!O351="","",'Paste SD Data'!O351)</f>
        <v>OBC</v>
      </c>
    </row>
    <row r="355" spans="1:11" ht="30" customHeight="1" x14ac:dyDescent="0.25">
      <c r="A355" s="25">
        <f>IF(Table1[[#This Row],[Name of Student]]="","",ROWS($A$1:A351))</f>
        <v>351</v>
      </c>
      <c r="B355" s="26">
        <f>IF('Paste SD Data'!A352="","",'Paste SD Data'!A352)</f>
        <v>10</v>
      </c>
      <c r="C355" s="26" t="str">
        <f>IF('Paste SD Data'!B352="","",'Paste SD Data'!B352)</f>
        <v>A</v>
      </c>
      <c r="D355" s="26">
        <f>IF('Paste SD Data'!C352="","",'Paste SD Data'!C352)</f>
        <v>13346</v>
      </c>
      <c r="E355" s="27" t="str">
        <f>IF('Paste SD Data'!E352="","",UPPER('Paste SD Data'!E352))</f>
        <v>KAILASH SINGH</v>
      </c>
      <c r="F355" s="27" t="str">
        <f>IF('Paste SD Data'!G352="","",UPPER('Paste SD Data'!G352))</f>
        <v>BHANWAR SINGH</v>
      </c>
      <c r="G355" s="27" t="str">
        <f>IF('Paste SD Data'!H352="","",UPPER('Paste SD Data'!H352))</f>
        <v>TAMU DEVI</v>
      </c>
      <c r="H355" s="26" t="str">
        <f>IF('Paste SD Data'!I352="","",IF('Paste SD Data'!I352="M","BOY","GIRL"))</f>
        <v>BOY</v>
      </c>
      <c r="I355" s="28">
        <f>IF('Paste SD Data'!J352="","",'Paste SD Data'!J352)</f>
        <v>38900</v>
      </c>
      <c r="J355" s="34">
        <f t="shared" si="5"/>
        <v>781</v>
      </c>
      <c r="K355" s="29" t="str">
        <f>IF('Paste SD Data'!O352="","",'Paste SD Data'!O352)</f>
        <v>OBC</v>
      </c>
    </row>
    <row r="356" spans="1:11" ht="30" customHeight="1" x14ac:dyDescent="0.25">
      <c r="A356" s="25">
        <f>IF(Table1[[#This Row],[Name of Student]]="","",ROWS($A$1:A352))</f>
        <v>352</v>
      </c>
      <c r="B356" s="26">
        <f>IF('Paste SD Data'!A353="","",'Paste SD Data'!A353)</f>
        <v>10</v>
      </c>
      <c r="C356" s="26" t="str">
        <f>IF('Paste SD Data'!B353="","",'Paste SD Data'!B353)</f>
        <v>A</v>
      </c>
      <c r="D356" s="26">
        <f>IF('Paste SD Data'!C353="","",'Paste SD Data'!C353)</f>
        <v>13667</v>
      </c>
      <c r="E356" s="27" t="str">
        <f>IF('Paste SD Data'!E353="","",UPPER('Paste SD Data'!E353))</f>
        <v>KAMLESH GUVARIYA</v>
      </c>
      <c r="F356" s="27" t="str">
        <f>IF('Paste SD Data'!G353="","",UPPER('Paste SD Data'!G353))</f>
        <v>LAKHA RAM GUVARIYA</v>
      </c>
      <c r="G356" s="27" t="str">
        <f>IF('Paste SD Data'!H353="","",UPPER('Paste SD Data'!H353))</f>
        <v>REKHA DEVI</v>
      </c>
      <c r="H356" s="26" t="str">
        <f>IF('Paste SD Data'!I353="","",IF('Paste SD Data'!I353="M","BOY","GIRL"))</f>
        <v>BOY</v>
      </c>
      <c r="I356" s="28">
        <f>IF('Paste SD Data'!J353="","",'Paste SD Data'!J353)</f>
        <v>38867</v>
      </c>
      <c r="J356" s="34">
        <f t="shared" si="5"/>
        <v>782</v>
      </c>
      <c r="K356" s="29" t="str">
        <f>IF('Paste SD Data'!O353="","",'Paste SD Data'!O353)</f>
        <v>SC</v>
      </c>
    </row>
    <row r="357" spans="1:11" ht="30" customHeight="1" x14ac:dyDescent="0.25">
      <c r="A357" s="25">
        <f>IF(Table1[[#This Row],[Name of Student]]="","",ROWS($A$1:A353))</f>
        <v>353</v>
      </c>
      <c r="B357" s="26">
        <f>IF('Paste SD Data'!A354="","",'Paste SD Data'!A354)</f>
        <v>10</v>
      </c>
      <c r="C357" s="26" t="str">
        <f>IF('Paste SD Data'!B354="","",'Paste SD Data'!B354)</f>
        <v>A</v>
      </c>
      <c r="D357" s="26">
        <f>IF('Paste SD Data'!C354="","",'Paste SD Data'!C354)</f>
        <v>13683</v>
      </c>
      <c r="E357" s="27" t="str">
        <f>IF('Paste SD Data'!E354="","",UPPER('Paste SD Data'!E354))</f>
        <v>KAMLESH KHATIK</v>
      </c>
      <c r="F357" s="27" t="str">
        <f>IF('Paste SD Data'!G354="","",UPPER('Paste SD Data'!G354))</f>
        <v>MUKESH KUMAR KHATIK</v>
      </c>
      <c r="G357" s="27" t="str">
        <f>IF('Paste SD Data'!H354="","",UPPER('Paste SD Data'!H354))</f>
        <v>PINKI DEVI</v>
      </c>
      <c r="H357" s="26" t="str">
        <f>IF('Paste SD Data'!I354="","",IF('Paste SD Data'!I354="M","BOY","GIRL"))</f>
        <v>BOY</v>
      </c>
      <c r="I357" s="28">
        <f>IF('Paste SD Data'!J354="","",'Paste SD Data'!J354)</f>
        <v>38943</v>
      </c>
      <c r="J357" s="34">
        <f t="shared" si="5"/>
        <v>783</v>
      </c>
      <c r="K357" s="29" t="str">
        <f>IF('Paste SD Data'!O354="","",'Paste SD Data'!O354)</f>
        <v>SC</v>
      </c>
    </row>
    <row r="358" spans="1:11" ht="30" customHeight="1" x14ac:dyDescent="0.25">
      <c r="A358" s="25">
        <f>IF(Table1[[#This Row],[Name of Student]]="","",ROWS($A$1:A354))</f>
        <v>354</v>
      </c>
      <c r="B358" s="26">
        <f>IF('Paste SD Data'!A355="","",'Paste SD Data'!A355)</f>
        <v>10</v>
      </c>
      <c r="C358" s="26" t="str">
        <f>IF('Paste SD Data'!B355="","",'Paste SD Data'!B355)</f>
        <v>A</v>
      </c>
      <c r="D358" s="26">
        <f>IF('Paste SD Data'!C355="","",'Paste SD Data'!C355)</f>
        <v>13573</v>
      </c>
      <c r="E358" s="27" t="str">
        <f>IF('Paste SD Data'!E355="","",UPPER('Paste SD Data'!E355))</f>
        <v>KAMLESH SINGH</v>
      </c>
      <c r="F358" s="27" t="str">
        <f>IF('Paste SD Data'!G355="","",UPPER('Paste SD Data'!G355))</f>
        <v>BHERU SINGH</v>
      </c>
      <c r="G358" s="27" t="str">
        <f>IF('Paste SD Data'!H355="","",UPPER('Paste SD Data'!H355))</f>
        <v>HEMA DEVI</v>
      </c>
      <c r="H358" s="26" t="str">
        <f>IF('Paste SD Data'!I355="","",IF('Paste SD Data'!I355="M","BOY","GIRL"))</f>
        <v>BOY</v>
      </c>
      <c r="I358" s="28">
        <f>IF('Paste SD Data'!J355="","",'Paste SD Data'!J355)</f>
        <v>38867</v>
      </c>
      <c r="J358" s="34">
        <f t="shared" si="5"/>
        <v>784</v>
      </c>
      <c r="K358" s="29" t="str">
        <f>IF('Paste SD Data'!O355="","",'Paste SD Data'!O355)</f>
        <v>OBC</v>
      </c>
    </row>
    <row r="359" spans="1:11" ht="30" customHeight="1" x14ac:dyDescent="0.25">
      <c r="A359" s="25">
        <f>IF(Table1[[#This Row],[Name of Student]]="","",ROWS($A$1:A355))</f>
        <v>355</v>
      </c>
      <c r="B359" s="26">
        <f>IF('Paste SD Data'!A356="","",'Paste SD Data'!A356)</f>
        <v>10</v>
      </c>
      <c r="C359" s="26" t="str">
        <f>IF('Paste SD Data'!B356="","",'Paste SD Data'!B356)</f>
        <v>A</v>
      </c>
      <c r="D359" s="26">
        <f>IF('Paste SD Data'!C356="","",'Paste SD Data'!C356)</f>
        <v>13062</v>
      </c>
      <c r="E359" s="27" t="str">
        <f>IF('Paste SD Data'!E356="","",UPPER('Paste SD Data'!E356))</f>
        <v>KARAN GAWARIYA</v>
      </c>
      <c r="F359" s="27" t="str">
        <f>IF('Paste SD Data'!G356="","",UPPER('Paste SD Data'!G356))</f>
        <v>BHURA LAL GAWARIYA</v>
      </c>
      <c r="G359" s="27" t="str">
        <f>IF('Paste SD Data'!H356="","",UPPER('Paste SD Data'!H356))</f>
        <v>LAXMI DEVI</v>
      </c>
      <c r="H359" s="26" t="str">
        <f>IF('Paste SD Data'!I356="","",IF('Paste SD Data'!I356="M","BOY","GIRL"))</f>
        <v>BOY</v>
      </c>
      <c r="I359" s="28">
        <f>IF('Paste SD Data'!J356="","",'Paste SD Data'!J356)</f>
        <v>38109</v>
      </c>
      <c r="J359" s="34">
        <f t="shared" si="5"/>
        <v>785</v>
      </c>
      <c r="K359" s="29" t="str">
        <f>IF('Paste SD Data'!O356="","",'Paste SD Data'!O356)</f>
        <v>SC</v>
      </c>
    </row>
    <row r="360" spans="1:11" ht="30" customHeight="1" x14ac:dyDescent="0.25">
      <c r="A360" s="25">
        <f>IF(Table1[[#This Row],[Name of Student]]="","",ROWS($A$1:A356))</f>
        <v>356</v>
      </c>
      <c r="B360" s="26">
        <f>IF('Paste SD Data'!A357="","",'Paste SD Data'!A357)</f>
        <v>10</v>
      </c>
      <c r="C360" s="26" t="str">
        <f>IF('Paste SD Data'!B357="","",'Paste SD Data'!B357)</f>
        <v>A</v>
      </c>
      <c r="D360" s="26">
        <f>IF('Paste SD Data'!C357="","",'Paste SD Data'!C357)</f>
        <v>13779</v>
      </c>
      <c r="E360" s="27" t="str">
        <f>IF('Paste SD Data'!E357="","",UPPER('Paste SD Data'!E357))</f>
        <v>KISHAN JOSHI</v>
      </c>
      <c r="F360" s="27" t="str">
        <f>IF('Paste SD Data'!G357="","",UPPER('Paste SD Data'!G357))</f>
        <v>RADHE SHYAM JOSHI</v>
      </c>
      <c r="G360" s="27" t="str">
        <f>IF('Paste SD Data'!H357="","",UPPER('Paste SD Data'!H357))</f>
        <v>PINNA DEVI</v>
      </c>
      <c r="H360" s="26" t="str">
        <f>IF('Paste SD Data'!I357="","",IF('Paste SD Data'!I357="M","BOY","GIRL"))</f>
        <v>BOY</v>
      </c>
      <c r="I360" s="28">
        <f>IF('Paste SD Data'!J357="","",'Paste SD Data'!J357)</f>
        <v>38635</v>
      </c>
      <c r="J360" s="34">
        <f t="shared" si="5"/>
        <v>786</v>
      </c>
      <c r="K360" s="29" t="str">
        <f>IF('Paste SD Data'!O357="","",'Paste SD Data'!O357)</f>
        <v>OBC</v>
      </c>
    </row>
    <row r="361" spans="1:11" ht="30" customHeight="1" x14ac:dyDescent="0.25">
      <c r="A361" s="25">
        <f>IF(Table1[[#This Row],[Name of Student]]="","",ROWS($A$1:A357))</f>
        <v>357</v>
      </c>
      <c r="B361" s="26">
        <f>IF('Paste SD Data'!A358="","",'Paste SD Data'!A358)</f>
        <v>10</v>
      </c>
      <c r="C361" s="26" t="str">
        <f>IF('Paste SD Data'!B358="","",'Paste SD Data'!B358)</f>
        <v>A</v>
      </c>
      <c r="D361" s="26">
        <f>IF('Paste SD Data'!C358="","",'Paste SD Data'!C358)</f>
        <v>13520</v>
      </c>
      <c r="E361" s="27" t="str">
        <f>IF('Paste SD Data'!E358="","",UPPER('Paste SD Data'!E358))</f>
        <v>KISHAN LAL REGAR</v>
      </c>
      <c r="F361" s="27" t="str">
        <f>IF('Paste SD Data'!G358="","",UPPER('Paste SD Data'!G358))</f>
        <v>BHANWAR LAL REGAR</v>
      </c>
      <c r="G361" s="27" t="str">
        <f>IF('Paste SD Data'!H358="","",UPPER('Paste SD Data'!H358))</f>
        <v>ROSHANI DEVI</v>
      </c>
      <c r="H361" s="26" t="str">
        <f>IF('Paste SD Data'!I358="","",IF('Paste SD Data'!I358="M","BOY","GIRL"))</f>
        <v>BOY</v>
      </c>
      <c r="I361" s="28">
        <f>IF('Paste SD Data'!J358="","",'Paste SD Data'!J358)</f>
        <v>38340</v>
      </c>
      <c r="J361" s="34">
        <f t="shared" si="5"/>
        <v>787</v>
      </c>
      <c r="K361" s="29" t="str">
        <f>IF('Paste SD Data'!O358="","",'Paste SD Data'!O358)</f>
        <v>SC</v>
      </c>
    </row>
    <row r="362" spans="1:11" ht="30" customHeight="1" x14ac:dyDescent="0.25">
      <c r="A362" s="25">
        <f>IF(Table1[[#This Row],[Name of Student]]="","",ROWS($A$1:A358))</f>
        <v>358</v>
      </c>
      <c r="B362" s="26">
        <f>IF('Paste SD Data'!A359="","",'Paste SD Data'!A359)</f>
        <v>10</v>
      </c>
      <c r="C362" s="26" t="str">
        <f>IF('Paste SD Data'!B359="","",'Paste SD Data'!B359)</f>
        <v>A</v>
      </c>
      <c r="D362" s="26">
        <f>IF('Paste SD Data'!C359="","",'Paste SD Data'!C359)</f>
        <v>13274</v>
      </c>
      <c r="E362" s="27" t="str">
        <f>IF('Paste SD Data'!E359="","",UPPER('Paste SD Data'!E359))</f>
        <v>KISHOR KAHAR</v>
      </c>
      <c r="F362" s="27" t="str">
        <f>IF('Paste SD Data'!G359="","",UPPER('Paste SD Data'!G359))</f>
        <v>GOVIND LAL KAHAR</v>
      </c>
      <c r="G362" s="27" t="str">
        <f>IF('Paste SD Data'!H359="","",UPPER('Paste SD Data'!H359))</f>
        <v>SUKHI DEVI</v>
      </c>
      <c r="H362" s="26" t="str">
        <f>IF('Paste SD Data'!I359="","",IF('Paste SD Data'!I359="M","BOY","GIRL"))</f>
        <v>BOY</v>
      </c>
      <c r="I362" s="28">
        <f>IF('Paste SD Data'!J359="","",'Paste SD Data'!J359)</f>
        <v>38457</v>
      </c>
      <c r="J362" s="34">
        <f t="shared" si="5"/>
        <v>788</v>
      </c>
      <c r="K362" s="29" t="str">
        <f>IF('Paste SD Data'!O359="","",'Paste SD Data'!O359)</f>
        <v>OBC</v>
      </c>
    </row>
    <row r="363" spans="1:11" ht="30" customHeight="1" x14ac:dyDescent="0.25">
      <c r="A363" s="25">
        <f>IF(Table1[[#This Row],[Name of Student]]="","",ROWS($A$1:A359))</f>
        <v>359</v>
      </c>
      <c r="B363" s="26">
        <f>IF('Paste SD Data'!A360="","",'Paste SD Data'!A360)</f>
        <v>10</v>
      </c>
      <c r="C363" s="26" t="str">
        <f>IF('Paste SD Data'!B360="","",'Paste SD Data'!B360)</f>
        <v>A</v>
      </c>
      <c r="D363" s="26">
        <f>IF('Paste SD Data'!C360="","",'Paste SD Data'!C360)</f>
        <v>13447</v>
      </c>
      <c r="E363" s="27" t="str">
        <f>IF('Paste SD Data'!E360="","",UPPER('Paste SD Data'!E360))</f>
        <v>KISHOR NATH</v>
      </c>
      <c r="F363" s="27" t="str">
        <f>IF('Paste SD Data'!G360="","",UPPER('Paste SD Data'!G360))</f>
        <v>LADU NATH</v>
      </c>
      <c r="G363" s="27" t="str">
        <f>IF('Paste SD Data'!H360="","",UPPER('Paste SD Data'!H360))</f>
        <v>TEEMU</v>
      </c>
      <c r="H363" s="26" t="str">
        <f>IF('Paste SD Data'!I360="","",IF('Paste SD Data'!I360="M","BOY","GIRL"))</f>
        <v>BOY</v>
      </c>
      <c r="I363" s="28">
        <f>IF('Paste SD Data'!J360="","",'Paste SD Data'!J360)</f>
        <v>38647</v>
      </c>
      <c r="J363" s="34">
        <f t="shared" si="5"/>
        <v>789</v>
      </c>
      <c r="K363" s="29" t="str">
        <f>IF('Paste SD Data'!O360="","",'Paste SD Data'!O360)</f>
        <v>OBC</v>
      </c>
    </row>
    <row r="364" spans="1:11" ht="30" customHeight="1" x14ac:dyDescent="0.25">
      <c r="A364" s="25">
        <f>IF(Table1[[#This Row],[Name of Student]]="","",ROWS($A$1:A360))</f>
        <v>360</v>
      </c>
      <c r="B364" s="26">
        <f>IF('Paste SD Data'!A361="","",'Paste SD Data'!A361)</f>
        <v>10</v>
      </c>
      <c r="C364" s="26" t="str">
        <f>IF('Paste SD Data'!B361="","",'Paste SD Data'!B361)</f>
        <v>A</v>
      </c>
      <c r="D364" s="26">
        <f>IF('Paste SD Data'!C361="","",'Paste SD Data'!C361)</f>
        <v>13474</v>
      </c>
      <c r="E364" s="27" t="str">
        <f>IF('Paste SD Data'!E361="","",UPPER('Paste SD Data'!E361))</f>
        <v>KISHOR SINGH</v>
      </c>
      <c r="F364" s="27" t="str">
        <f>IF('Paste SD Data'!G361="","",UPPER('Paste SD Data'!G361))</f>
        <v>TILOK SINGH</v>
      </c>
      <c r="G364" s="27" t="str">
        <f>IF('Paste SD Data'!H361="","",UPPER('Paste SD Data'!H361))</f>
        <v>SENA DEVI</v>
      </c>
      <c r="H364" s="26" t="str">
        <f>IF('Paste SD Data'!I361="","",IF('Paste SD Data'!I361="M","BOY","GIRL"))</f>
        <v>BOY</v>
      </c>
      <c r="I364" s="28">
        <f>IF('Paste SD Data'!J361="","",'Paste SD Data'!J361)</f>
        <v>39022</v>
      </c>
      <c r="J364" s="34">
        <f t="shared" si="5"/>
        <v>790</v>
      </c>
      <c r="K364" s="29" t="str">
        <f>IF('Paste SD Data'!O361="","",'Paste SD Data'!O361)</f>
        <v>OBC</v>
      </c>
    </row>
    <row r="365" spans="1:11" ht="30" customHeight="1" x14ac:dyDescent="0.25">
      <c r="A365" s="25">
        <f>IF(Table1[[#This Row],[Name of Student]]="","",ROWS($A$1:A361))</f>
        <v>361</v>
      </c>
      <c r="B365" s="26">
        <f>IF('Paste SD Data'!A362="","",'Paste SD Data'!A362)</f>
        <v>10</v>
      </c>
      <c r="C365" s="26" t="str">
        <f>IF('Paste SD Data'!B362="","",'Paste SD Data'!B362)</f>
        <v>A</v>
      </c>
      <c r="D365" s="26">
        <f>IF('Paste SD Data'!C362="","",'Paste SD Data'!C362)</f>
        <v>13517</v>
      </c>
      <c r="E365" s="27" t="str">
        <f>IF('Paste SD Data'!E362="","",UPPER('Paste SD Data'!E362))</f>
        <v>LAVISH JEENGAR</v>
      </c>
      <c r="F365" s="27" t="str">
        <f>IF('Paste SD Data'!G362="","",UPPER('Paste SD Data'!G362))</f>
        <v>PARAS JEENGAR</v>
      </c>
      <c r="G365" s="27" t="str">
        <f>IF('Paste SD Data'!H362="","",UPPER('Paste SD Data'!H362))</f>
        <v>KIRAN DEVI</v>
      </c>
      <c r="H365" s="26" t="str">
        <f>IF('Paste SD Data'!I362="","",IF('Paste SD Data'!I362="M","BOY","GIRL"))</f>
        <v>BOY</v>
      </c>
      <c r="I365" s="28">
        <f>IF('Paste SD Data'!J362="","",'Paste SD Data'!J362)</f>
        <v>38886</v>
      </c>
      <c r="J365" s="34">
        <f t="shared" si="5"/>
        <v>791</v>
      </c>
      <c r="K365" s="29" t="str">
        <f>IF('Paste SD Data'!O362="","",'Paste SD Data'!O362)</f>
        <v>SC</v>
      </c>
    </row>
    <row r="366" spans="1:11" ht="30" customHeight="1" x14ac:dyDescent="0.25">
      <c r="A366" s="25">
        <f>IF(Table1[[#This Row],[Name of Student]]="","",ROWS($A$1:A362))</f>
        <v>362</v>
      </c>
      <c r="B366" s="26">
        <f>IF('Paste SD Data'!A363="","",'Paste SD Data'!A363)</f>
        <v>10</v>
      </c>
      <c r="C366" s="26" t="str">
        <f>IF('Paste SD Data'!B363="","",'Paste SD Data'!B363)</f>
        <v>A</v>
      </c>
      <c r="D366" s="26">
        <f>IF('Paste SD Data'!C363="","",'Paste SD Data'!C363)</f>
        <v>12306</v>
      </c>
      <c r="E366" s="27" t="str">
        <f>IF('Paste SD Data'!E363="","",UPPER('Paste SD Data'!E363))</f>
        <v>LOKESH MALI</v>
      </c>
      <c r="F366" s="27" t="str">
        <f>IF('Paste SD Data'!G363="","",UPPER('Paste SD Data'!G363))</f>
        <v>TARU MALI</v>
      </c>
      <c r="G366" s="27" t="str">
        <f>IF('Paste SD Data'!H363="","",UPPER('Paste SD Data'!H363))</f>
        <v>BHAWANA MALI</v>
      </c>
      <c r="H366" s="26" t="str">
        <f>IF('Paste SD Data'!I363="","",IF('Paste SD Data'!I363="M","BOY","GIRL"))</f>
        <v>BOY</v>
      </c>
      <c r="I366" s="28">
        <f>IF('Paste SD Data'!J363="","",'Paste SD Data'!J363)</f>
        <v>37791</v>
      </c>
      <c r="J366" s="34">
        <f t="shared" si="5"/>
        <v>792</v>
      </c>
      <c r="K366" s="29" t="str">
        <f>IF('Paste SD Data'!O363="","",'Paste SD Data'!O363)</f>
        <v>OBC</v>
      </c>
    </row>
    <row r="367" spans="1:11" ht="30" customHeight="1" x14ac:dyDescent="0.25">
      <c r="A367" s="25">
        <f>IF(Table1[[#This Row],[Name of Student]]="","",ROWS($A$1:A363))</f>
        <v>363</v>
      </c>
      <c r="B367" s="26">
        <f>IF('Paste SD Data'!A364="","",'Paste SD Data'!A364)</f>
        <v>10</v>
      </c>
      <c r="C367" s="26" t="str">
        <f>IF('Paste SD Data'!B364="","",'Paste SD Data'!B364)</f>
        <v>B</v>
      </c>
      <c r="D367" s="26">
        <f>IF('Paste SD Data'!C364="","",'Paste SD Data'!C364)</f>
        <v>13591</v>
      </c>
      <c r="E367" s="27" t="str">
        <f>IF('Paste SD Data'!E364="","",UPPER('Paste SD Data'!E364))</f>
        <v>BANTI MOHAMMAD</v>
      </c>
      <c r="F367" s="27" t="str">
        <f>IF('Paste SD Data'!G364="","",UPPER('Paste SD Data'!G364))</f>
        <v>SADDIK MOHAMMAD</v>
      </c>
      <c r="G367" s="27" t="str">
        <f>IF('Paste SD Data'!H364="","",UPPER('Paste SD Data'!H364))</f>
        <v>MADINA BANU</v>
      </c>
      <c r="H367" s="26" t="str">
        <f>IF('Paste SD Data'!I364="","",IF('Paste SD Data'!I364="M","BOY","GIRL"))</f>
        <v>BOY</v>
      </c>
      <c r="I367" s="28">
        <f>IF('Paste SD Data'!J364="","",'Paste SD Data'!J364)</f>
        <v>38642</v>
      </c>
      <c r="J367" s="34">
        <f t="shared" si="5"/>
        <v>793</v>
      </c>
      <c r="K367" s="29" t="str">
        <f>IF('Paste SD Data'!O364="","",'Paste SD Data'!O364)</f>
        <v>OBC</v>
      </c>
    </row>
    <row r="368" spans="1:11" ht="30" customHeight="1" x14ac:dyDescent="0.25">
      <c r="A368" s="25">
        <f>IF(Table1[[#This Row],[Name of Student]]="","",ROWS($A$1:A364))</f>
        <v>364</v>
      </c>
      <c r="B368" s="26">
        <f>IF('Paste SD Data'!A365="","",'Paste SD Data'!A365)</f>
        <v>10</v>
      </c>
      <c r="C368" s="26" t="str">
        <f>IF('Paste SD Data'!B365="","",'Paste SD Data'!B365)</f>
        <v>B</v>
      </c>
      <c r="D368" s="26">
        <f>IF('Paste SD Data'!C365="","",'Paste SD Data'!C365)</f>
        <v>13470</v>
      </c>
      <c r="E368" s="27" t="str">
        <f>IF('Paste SD Data'!E365="","",UPPER('Paste SD Data'!E365))</f>
        <v>MADAN REGAR</v>
      </c>
      <c r="F368" s="27" t="str">
        <f>IF('Paste SD Data'!G365="","",UPPER('Paste SD Data'!G365))</f>
        <v>KESHU LAL REGAR</v>
      </c>
      <c r="G368" s="27" t="str">
        <f>IF('Paste SD Data'!H365="","",UPPER('Paste SD Data'!H365))</f>
        <v>INDRA DEVI</v>
      </c>
      <c r="H368" s="26" t="str">
        <f>IF('Paste SD Data'!I365="","",IF('Paste SD Data'!I365="M","BOY","GIRL"))</f>
        <v>BOY</v>
      </c>
      <c r="I368" s="28">
        <f>IF('Paste SD Data'!J365="","",'Paste SD Data'!J365)</f>
        <v>39088</v>
      </c>
      <c r="J368" s="34">
        <f t="shared" si="5"/>
        <v>794</v>
      </c>
      <c r="K368" s="29" t="str">
        <f>IF('Paste SD Data'!O365="","",'Paste SD Data'!O365)</f>
        <v>SC</v>
      </c>
    </row>
    <row r="369" spans="1:11" ht="30" customHeight="1" x14ac:dyDescent="0.25">
      <c r="A369" s="25">
        <f>IF(Table1[[#This Row],[Name of Student]]="","",ROWS($A$1:A365))</f>
        <v>365</v>
      </c>
      <c r="B369" s="26">
        <f>IF('Paste SD Data'!A366="","",'Paste SD Data'!A366)</f>
        <v>10</v>
      </c>
      <c r="C369" s="26" t="str">
        <f>IF('Paste SD Data'!B366="","",'Paste SD Data'!B366)</f>
        <v>B</v>
      </c>
      <c r="D369" s="26">
        <f>IF('Paste SD Data'!C366="","",'Paste SD Data'!C366)</f>
        <v>13131</v>
      </c>
      <c r="E369" s="27" t="str">
        <f>IF('Paste SD Data'!E366="","",UPPER('Paste SD Data'!E366))</f>
        <v>MAHAVEER SINGH</v>
      </c>
      <c r="F369" s="27" t="str">
        <f>IF('Paste SD Data'!G366="","",UPPER('Paste SD Data'!G366))</f>
        <v>GOPAL SINGH</v>
      </c>
      <c r="G369" s="27" t="str">
        <f>IF('Paste SD Data'!H366="","",UPPER('Paste SD Data'!H366))</f>
        <v>SUSHILA DEVI</v>
      </c>
      <c r="H369" s="26" t="str">
        <f>IF('Paste SD Data'!I366="","",IF('Paste SD Data'!I366="M","BOY","GIRL"))</f>
        <v>BOY</v>
      </c>
      <c r="I369" s="28">
        <f>IF('Paste SD Data'!J366="","",'Paste SD Data'!J366)</f>
        <v>39308</v>
      </c>
      <c r="J369" s="34">
        <f t="shared" si="5"/>
        <v>795</v>
      </c>
      <c r="K369" s="29" t="str">
        <f>IF('Paste SD Data'!O366="","",'Paste SD Data'!O366)</f>
        <v>OBC</v>
      </c>
    </row>
    <row r="370" spans="1:11" ht="30" customHeight="1" x14ac:dyDescent="0.25">
      <c r="A370" s="25">
        <f>IF(Table1[[#This Row],[Name of Student]]="","",ROWS($A$1:A366))</f>
        <v>366</v>
      </c>
      <c r="B370" s="26">
        <f>IF('Paste SD Data'!A367="","",'Paste SD Data'!A367)</f>
        <v>10</v>
      </c>
      <c r="C370" s="26" t="str">
        <f>IF('Paste SD Data'!B367="","",'Paste SD Data'!B367)</f>
        <v>B</v>
      </c>
      <c r="D370" s="26">
        <f>IF('Paste SD Data'!C367="","",'Paste SD Data'!C367)</f>
        <v>13547</v>
      </c>
      <c r="E370" s="27" t="str">
        <f>IF('Paste SD Data'!E367="","",UPPER('Paste SD Data'!E367))</f>
        <v>MAHENDRA LAL LOHAR</v>
      </c>
      <c r="F370" s="27" t="str">
        <f>IF('Paste SD Data'!G367="","",UPPER('Paste SD Data'!G367))</f>
        <v>SURESH LAL LOHAR</v>
      </c>
      <c r="G370" s="27" t="str">
        <f>IF('Paste SD Data'!H367="","",UPPER('Paste SD Data'!H367))</f>
        <v>LEELA DEVI</v>
      </c>
      <c r="H370" s="26" t="str">
        <f>IF('Paste SD Data'!I367="","",IF('Paste SD Data'!I367="M","BOY","GIRL"))</f>
        <v>BOY</v>
      </c>
      <c r="I370" s="28">
        <f>IF('Paste SD Data'!J367="","",'Paste SD Data'!J367)</f>
        <v>38681</v>
      </c>
      <c r="J370" s="34">
        <f t="shared" si="5"/>
        <v>796</v>
      </c>
      <c r="K370" s="29" t="str">
        <f>IF('Paste SD Data'!O367="","",'Paste SD Data'!O367)</f>
        <v>OBC</v>
      </c>
    </row>
    <row r="371" spans="1:11" ht="30" customHeight="1" x14ac:dyDescent="0.25">
      <c r="A371" s="25">
        <f>IF(Table1[[#This Row],[Name of Student]]="","",ROWS($A$1:A367))</f>
        <v>367</v>
      </c>
      <c r="B371" s="26">
        <f>IF('Paste SD Data'!A368="","",'Paste SD Data'!A368)</f>
        <v>10</v>
      </c>
      <c r="C371" s="26" t="str">
        <f>IF('Paste SD Data'!B368="","",'Paste SD Data'!B368)</f>
        <v>B</v>
      </c>
      <c r="D371" s="26">
        <f>IF('Paste SD Data'!C368="","",'Paste SD Data'!C368)</f>
        <v>12839</v>
      </c>
      <c r="E371" s="27" t="str">
        <f>IF('Paste SD Data'!E368="","",UPPER('Paste SD Data'!E368))</f>
        <v>MAHENDRA SINGH</v>
      </c>
      <c r="F371" s="27" t="str">
        <f>IF('Paste SD Data'!G368="","",UPPER('Paste SD Data'!G368))</f>
        <v>BABU SINGH</v>
      </c>
      <c r="G371" s="27" t="str">
        <f>IF('Paste SD Data'!H368="","",UPPER('Paste SD Data'!H368))</f>
        <v>LAXMI DEVI</v>
      </c>
      <c r="H371" s="26" t="str">
        <f>IF('Paste SD Data'!I368="","",IF('Paste SD Data'!I368="M","BOY","GIRL"))</f>
        <v>BOY</v>
      </c>
      <c r="I371" s="28">
        <f>IF('Paste SD Data'!J368="","",'Paste SD Data'!J368)</f>
        <v>39171</v>
      </c>
      <c r="J371" s="34">
        <f t="shared" si="5"/>
        <v>797</v>
      </c>
      <c r="K371" s="29" t="str">
        <f>IF('Paste SD Data'!O368="","",'Paste SD Data'!O368)</f>
        <v>OBC</v>
      </c>
    </row>
    <row r="372" spans="1:11" ht="30" customHeight="1" x14ac:dyDescent="0.25">
      <c r="A372" s="25">
        <f>IF(Table1[[#This Row],[Name of Student]]="","",ROWS($A$1:A368))</f>
        <v>368</v>
      </c>
      <c r="B372" s="26">
        <f>IF('Paste SD Data'!A369="","",'Paste SD Data'!A369)</f>
        <v>10</v>
      </c>
      <c r="C372" s="26" t="str">
        <f>IF('Paste SD Data'!B369="","",'Paste SD Data'!B369)</f>
        <v>B</v>
      </c>
      <c r="D372" s="26">
        <f>IF('Paste SD Data'!C369="","",'Paste SD Data'!C369)</f>
        <v>13883</v>
      </c>
      <c r="E372" s="27" t="str">
        <f>IF('Paste SD Data'!E369="","",UPPER('Paste SD Data'!E369))</f>
        <v>MAHENDRA SINGH</v>
      </c>
      <c r="F372" s="27" t="str">
        <f>IF('Paste SD Data'!G369="","",UPPER('Paste SD Data'!G369))</f>
        <v>TEJ SINGH</v>
      </c>
      <c r="G372" s="27" t="str">
        <f>IF('Paste SD Data'!H369="","",UPPER('Paste SD Data'!H369))</f>
        <v>GULAB DEVI</v>
      </c>
      <c r="H372" s="26" t="str">
        <f>IF('Paste SD Data'!I369="","",IF('Paste SD Data'!I369="M","BOY","GIRL"))</f>
        <v>BOY</v>
      </c>
      <c r="I372" s="28">
        <f>IF('Paste SD Data'!J369="","",'Paste SD Data'!J369)</f>
        <v>38985</v>
      </c>
      <c r="J372" s="34">
        <f t="shared" si="5"/>
        <v>798</v>
      </c>
      <c r="K372" s="29" t="str">
        <f>IF('Paste SD Data'!O369="","",'Paste SD Data'!O369)</f>
        <v>OBC</v>
      </c>
    </row>
    <row r="373" spans="1:11" ht="30" customHeight="1" x14ac:dyDescent="0.25">
      <c r="A373" s="25">
        <f>IF(Table1[[#This Row],[Name of Student]]="","",ROWS($A$1:A369))</f>
        <v>369</v>
      </c>
      <c r="B373" s="26">
        <f>IF('Paste SD Data'!A370="","",'Paste SD Data'!A370)</f>
        <v>10</v>
      </c>
      <c r="C373" s="26" t="str">
        <f>IF('Paste SD Data'!B370="","",'Paste SD Data'!B370)</f>
        <v>B</v>
      </c>
      <c r="D373" s="26">
        <f>IF('Paste SD Data'!C370="","",'Paste SD Data'!C370)</f>
        <v>12282</v>
      </c>
      <c r="E373" s="27" t="str">
        <f>IF('Paste SD Data'!E370="","",UPPER('Paste SD Data'!E370))</f>
        <v>MAHESH REGAR</v>
      </c>
      <c r="F373" s="27" t="str">
        <f>IF('Paste SD Data'!G370="","",UPPER('Paste SD Data'!G370))</f>
        <v>PRABHU LAL REGAR</v>
      </c>
      <c r="G373" s="27" t="str">
        <f>IF('Paste SD Data'!H370="","",UPPER('Paste SD Data'!H370))</f>
        <v>PREM DEVI</v>
      </c>
      <c r="H373" s="26" t="str">
        <f>IF('Paste SD Data'!I370="","",IF('Paste SD Data'!I370="M","BOY","GIRL"))</f>
        <v>BOY</v>
      </c>
      <c r="I373" s="28">
        <f>IF('Paste SD Data'!J370="","",'Paste SD Data'!J370)</f>
        <v>38763</v>
      </c>
      <c r="J373" s="34">
        <f t="shared" si="5"/>
        <v>799</v>
      </c>
      <c r="K373" s="29" t="str">
        <f>IF('Paste SD Data'!O370="","",'Paste SD Data'!O370)</f>
        <v>SC</v>
      </c>
    </row>
    <row r="374" spans="1:11" ht="30" customHeight="1" x14ac:dyDescent="0.25">
      <c r="A374" s="25">
        <f>IF(Table1[[#This Row],[Name of Student]]="","",ROWS($A$1:A370))</f>
        <v>370</v>
      </c>
      <c r="B374" s="26">
        <f>IF('Paste SD Data'!A371="","",'Paste SD Data'!A371)</f>
        <v>10</v>
      </c>
      <c r="C374" s="26" t="str">
        <f>IF('Paste SD Data'!B371="","",'Paste SD Data'!B371)</f>
        <v>B</v>
      </c>
      <c r="D374" s="26">
        <f>IF('Paste SD Data'!C371="","",'Paste SD Data'!C371)</f>
        <v>13486</v>
      </c>
      <c r="E374" s="27" t="str">
        <f>IF('Paste SD Data'!E371="","",UPPER('Paste SD Data'!E371))</f>
        <v>MANOHAR SINGH</v>
      </c>
      <c r="F374" s="27" t="str">
        <f>IF('Paste SD Data'!G371="","",UPPER('Paste SD Data'!G371))</f>
        <v>KHUMAN SINGH</v>
      </c>
      <c r="G374" s="27" t="str">
        <f>IF('Paste SD Data'!H371="","",UPPER('Paste SD Data'!H371))</f>
        <v>RADHA DEVI</v>
      </c>
      <c r="H374" s="26" t="str">
        <f>IF('Paste SD Data'!I371="","",IF('Paste SD Data'!I371="M","BOY","GIRL"))</f>
        <v>BOY</v>
      </c>
      <c r="I374" s="28">
        <f>IF('Paste SD Data'!J371="","",'Paste SD Data'!J371)</f>
        <v>38735</v>
      </c>
      <c r="J374" s="34">
        <f t="shared" si="5"/>
        <v>800</v>
      </c>
      <c r="K374" s="29" t="str">
        <f>IF('Paste SD Data'!O371="","",'Paste SD Data'!O371)</f>
        <v>OBC</v>
      </c>
    </row>
    <row r="375" spans="1:11" ht="30" customHeight="1" x14ac:dyDescent="0.25">
      <c r="A375" s="25">
        <f>IF(Table1[[#This Row],[Name of Student]]="","",ROWS($A$1:A371))</f>
        <v>371</v>
      </c>
      <c r="B375" s="26">
        <f>IF('Paste SD Data'!A372="","",'Paste SD Data'!A372)</f>
        <v>10</v>
      </c>
      <c r="C375" s="26" t="str">
        <f>IF('Paste SD Data'!B372="","",'Paste SD Data'!B372)</f>
        <v>B</v>
      </c>
      <c r="D375" s="26">
        <f>IF('Paste SD Data'!C372="","",'Paste SD Data'!C372)</f>
        <v>13742</v>
      </c>
      <c r="E375" s="27" t="str">
        <f>IF('Paste SD Data'!E372="","",UPPER('Paste SD Data'!E372))</f>
        <v>MAYUR KUMAR</v>
      </c>
      <c r="F375" s="27" t="str">
        <f>IF('Paste SD Data'!G372="","",UPPER('Paste SD Data'!G372))</f>
        <v>PARAS KUMAR PRAJAPAT</v>
      </c>
      <c r="G375" s="27" t="str">
        <f>IF('Paste SD Data'!H372="","",UPPER('Paste SD Data'!H372))</f>
        <v>BASANTI DEVI</v>
      </c>
      <c r="H375" s="26" t="str">
        <f>IF('Paste SD Data'!I372="","",IF('Paste SD Data'!I372="M","BOY","GIRL"))</f>
        <v>BOY</v>
      </c>
      <c r="I375" s="28">
        <f>IF('Paste SD Data'!J372="","",'Paste SD Data'!J372)</f>
        <v>38821</v>
      </c>
      <c r="J375" s="34">
        <f t="shared" si="5"/>
        <v>801</v>
      </c>
      <c r="K375" s="29" t="str">
        <f>IF('Paste SD Data'!O372="","",'Paste SD Data'!O372)</f>
        <v>OBC</v>
      </c>
    </row>
    <row r="376" spans="1:11" ht="30" customHeight="1" x14ac:dyDescent="0.25">
      <c r="A376" s="25">
        <f>IF(Table1[[#This Row],[Name of Student]]="","",ROWS($A$1:A372))</f>
        <v>372</v>
      </c>
      <c r="B376" s="26">
        <f>IF('Paste SD Data'!A373="","",'Paste SD Data'!A373)</f>
        <v>10</v>
      </c>
      <c r="C376" s="26" t="str">
        <f>IF('Paste SD Data'!B373="","",'Paste SD Data'!B373)</f>
        <v>B</v>
      </c>
      <c r="D376" s="26">
        <f>IF('Paste SD Data'!C373="","",'Paste SD Data'!C373)</f>
        <v>13473</v>
      </c>
      <c r="E376" s="27" t="str">
        <f>IF('Paste SD Data'!E373="","",UPPER('Paste SD Data'!E373))</f>
        <v>MOHAMMAD ABRAJ</v>
      </c>
      <c r="F376" s="27" t="str">
        <f>IF('Paste SD Data'!G373="","",UPPER('Paste SD Data'!G373))</f>
        <v>GANEE MOHAMMAD</v>
      </c>
      <c r="G376" s="27" t="str">
        <f>IF('Paste SD Data'!H373="","",UPPER('Paste SD Data'!H373))</f>
        <v>SITARA BANU</v>
      </c>
      <c r="H376" s="26" t="str">
        <f>IF('Paste SD Data'!I373="","",IF('Paste SD Data'!I373="M","BOY","GIRL"))</f>
        <v>BOY</v>
      </c>
      <c r="I376" s="28">
        <f>IF('Paste SD Data'!J373="","",'Paste SD Data'!J373)</f>
        <v>39404</v>
      </c>
      <c r="J376" s="34">
        <f t="shared" si="5"/>
        <v>802</v>
      </c>
      <c r="K376" s="29" t="str">
        <f>IF('Paste SD Data'!O373="","",'Paste SD Data'!O373)</f>
        <v>OBC</v>
      </c>
    </row>
    <row r="377" spans="1:11" ht="30" customHeight="1" x14ac:dyDescent="0.25">
      <c r="A377" s="25">
        <f>IF(Table1[[#This Row],[Name of Student]]="","",ROWS($A$1:A373))</f>
        <v>373</v>
      </c>
      <c r="B377" s="26">
        <f>IF('Paste SD Data'!A374="","",'Paste SD Data'!A374)</f>
        <v>10</v>
      </c>
      <c r="C377" s="26" t="str">
        <f>IF('Paste SD Data'!B374="","",'Paste SD Data'!B374)</f>
        <v>B</v>
      </c>
      <c r="D377" s="26">
        <f>IF('Paste SD Data'!C374="","",'Paste SD Data'!C374)</f>
        <v>12283</v>
      </c>
      <c r="E377" s="27" t="str">
        <f>IF('Paste SD Data'!E374="","",UPPER('Paste SD Data'!E374))</f>
        <v>MOHAMMAD FIROJ HASAMI</v>
      </c>
      <c r="F377" s="27" t="str">
        <f>IF('Paste SD Data'!G374="","",UPPER('Paste SD Data'!G374))</f>
        <v>NASIB ALI</v>
      </c>
      <c r="G377" s="27" t="str">
        <f>IF('Paste SD Data'!H374="","",UPPER('Paste SD Data'!H374))</f>
        <v>ISLAMUN NISHA</v>
      </c>
      <c r="H377" s="26" t="str">
        <f>IF('Paste SD Data'!I374="","",IF('Paste SD Data'!I374="M","BOY","GIRL"))</f>
        <v>BOY</v>
      </c>
      <c r="I377" s="28">
        <f>IF('Paste SD Data'!J374="","",'Paste SD Data'!J374)</f>
        <v>39320</v>
      </c>
      <c r="J377" s="34">
        <f t="shared" si="5"/>
        <v>803</v>
      </c>
      <c r="K377" s="29" t="str">
        <f>IF('Paste SD Data'!O374="","",'Paste SD Data'!O374)</f>
        <v>OBC</v>
      </c>
    </row>
    <row r="378" spans="1:11" ht="30" customHeight="1" x14ac:dyDescent="0.25">
      <c r="A378" s="25">
        <f>IF(Table1[[#This Row],[Name of Student]]="","",ROWS($A$1:A374))</f>
        <v>374</v>
      </c>
      <c r="B378" s="26">
        <f>IF('Paste SD Data'!A375="","",'Paste SD Data'!A375)</f>
        <v>10</v>
      </c>
      <c r="C378" s="26" t="str">
        <f>IF('Paste SD Data'!B375="","",'Paste SD Data'!B375)</f>
        <v>B</v>
      </c>
      <c r="D378" s="26">
        <f>IF('Paste SD Data'!C375="","",'Paste SD Data'!C375)</f>
        <v>13512</v>
      </c>
      <c r="E378" s="27" t="str">
        <f>IF('Paste SD Data'!E375="","",UPPER('Paste SD Data'!E375))</f>
        <v>MONU SHARMA</v>
      </c>
      <c r="F378" s="27" t="str">
        <f>IF('Paste SD Data'!G375="","",UPPER('Paste SD Data'!G375))</f>
        <v>RAKESH KUMAR SHARMA</v>
      </c>
      <c r="G378" s="27" t="str">
        <f>IF('Paste SD Data'!H375="","",UPPER('Paste SD Data'!H375))</f>
        <v>URMILA DEVI</v>
      </c>
      <c r="H378" s="26" t="str">
        <f>IF('Paste SD Data'!I375="","",IF('Paste SD Data'!I375="M","BOY","GIRL"))</f>
        <v>BOY</v>
      </c>
      <c r="I378" s="28">
        <f>IF('Paste SD Data'!J375="","",'Paste SD Data'!J375)</f>
        <v>38560</v>
      </c>
      <c r="J378" s="34">
        <f t="shared" si="5"/>
        <v>804</v>
      </c>
      <c r="K378" s="29" t="str">
        <f>IF('Paste SD Data'!O375="","",'Paste SD Data'!O375)</f>
        <v>GEN</v>
      </c>
    </row>
    <row r="379" spans="1:11" ht="30" customHeight="1" x14ac:dyDescent="0.25">
      <c r="A379" s="25">
        <f>IF(Table1[[#This Row],[Name of Student]]="","",ROWS($A$1:A375))</f>
        <v>375</v>
      </c>
      <c r="B379" s="26">
        <f>IF('Paste SD Data'!A376="","",'Paste SD Data'!A376)</f>
        <v>10</v>
      </c>
      <c r="C379" s="26" t="str">
        <f>IF('Paste SD Data'!B376="","",'Paste SD Data'!B376)</f>
        <v>B</v>
      </c>
      <c r="D379" s="26">
        <f>IF('Paste SD Data'!C376="","",'Paste SD Data'!C376)</f>
        <v>13524</v>
      </c>
      <c r="E379" s="27" t="str">
        <f>IF('Paste SD Data'!E376="","",UPPER('Paste SD Data'!E376))</f>
        <v>NARENDRA KUMAR SALVI</v>
      </c>
      <c r="F379" s="27" t="str">
        <f>IF('Paste SD Data'!G376="","",UPPER('Paste SD Data'!G376))</f>
        <v>BHERU LAL SALVI</v>
      </c>
      <c r="G379" s="27" t="str">
        <f>IF('Paste SD Data'!H376="","",UPPER('Paste SD Data'!H376))</f>
        <v>CHANDRA DEVI</v>
      </c>
      <c r="H379" s="26" t="str">
        <f>IF('Paste SD Data'!I376="","",IF('Paste SD Data'!I376="M","BOY","GIRL"))</f>
        <v>BOY</v>
      </c>
      <c r="I379" s="28">
        <f>IF('Paste SD Data'!J376="","",'Paste SD Data'!J376)</f>
        <v>38134</v>
      </c>
      <c r="J379" s="34">
        <f t="shared" si="5"/>
        <v>805</v>
      </c>
      <c r="K379" s="29" t="str">
        <f>IF('Paste SD Data'!O376="","",'Paste SD Data'!O376)</f>
        <v>SC</v>
      </c>
    </row>
    <row r="380" spans="1:11" ht="30" customHeight="1" x14ac:dyDescent="0.25">
      <c r="A380" s="25">
        <f>IF(Table1[[#This Row],[Name of Student]]="","",ROWS($A$1:A376))</f>
        <v>376</v>
      </c>
      <c r="B380" s="26">
        <f>IF('Paste SD Data'!A377="","",'Paste SD Data'!A377)</f>
        <v>10</v>
      </c>
      <c r="C380" s="26" t="str">
        <f>IF('Paste SD Data'!B377="","",'Paste SD Data'!B377)</f>
        <v>B</v>
      </c>
      <c r="D380" s="26">
        <f>IF('Paste SD Data'!C377="","",'Paste SD Data'!C377)</f>
        <v>13149</v>
      </c>
      <c r="E380" s="27" t="str">
        <f>IF('Paste SD Data'!E377="","",UPPER('Paste SD Data'!E377))</f>
        <v>NARESH KUMAR GURJAR</v>
      </c>
      <c r="F380" s="27" t="str">
        <f>IF('Paste SD Data'!G377="","",UPPER('Paste SD Data'!G377))</f>
        <v>MANGI LAL</v>
      </c>
      <c r="G380" s="27" t="str">
        <f>IF('Paste SD Data'!H377="","",UPPER('Paste SD Data'!H377))</f>
        <v>GANGA DEVI</v>
      </c>
      <c r="H380" s="26" t="str">
        <f>IF('Paste SD Data'!I377="","",IF('Paste SD Data'!I377="M","BOY","GIRL"))</f>
        <v>BOY</v>
      </c>
      <c r="I380" s="28">
        <f>IF('Paste SD Data'!J377="","",'Paste SD Data'!J377)</f>
        <v>37718</v>
      </c>
      <c r="J380" s="34">
        <f t="shared" si="5"/>
        <v>806</v>
      </c>
      <c r="K380" s="29" t="str">
        <f>IF('Paste SD Data'!O377="","",'Paste SD Data'!O377)</f>
        <v>SBC</v>
      </c>
    </row>
    <row r="381" spans="1:11" ht="30" customHeight="1" x14ac:dyDescent="0.25">
      <c r="A381" s="25">
        <f>IF(Table1[[#This Row],[Name of Student]]="","",ROWS($A$1:A377))</f>
        <v>377</v>
      </c>
      <c r="B381" s="26">
        <f>IF('Paste SD Data'!A378="","",'Paste SD Data'!A378)</f>
        <v>10</v>
      </c>
      <c r="C381" s="26" t="str">
        <f>IF('Paste SD Data'!B378="","",'Paste SD Data'!B378)</f>
        <v>B</v>
      </c>
      <c r="D381" s="26">
        <f>IF('Paste SD Data'!C378="","",'Paste SD Data'!C378)</f>
        <v>13675</v>
      </c>
      <c r="E381" s="27" t="str">
        <f>IF('Paste SD Data'!E378="","",UPPER('Paste SD Data'!E378))</f>
        <v>NIKHIL KUMAR HARIJAN</v>
      </c>
      <c r="F381" s="27" t="str">
        <f>IF('Paste SD Data'!G378="","",UPPER('Paste SD Data'!G378))</f>
        <v>LALIT KUMAR</v>
      </c>
      <c r="G381" s="27" t="str">
        <f>IF('Paste SD Data'!H378="","",UPPER('Paste SD Data'!H378))</f>
        <v>GYANEE DEVI</v>
      </c>
      <c r="H381" s="26" t="str">
        <f>IF('Paste SD Data'!I378="","",IF('Paste SD Data'!I378="M","BOY","GIRL"))</f>
        <v>BOY</v>
      </c>
      <c r="I381" s="28">
        <f>IF('Paste SD Data'!J378="","",'Paste SD Data'!J378)</f>
        <v>39002</v>
      </c>
      <c r="J381" s="34">
        <f t="shared" si="5"/>
        <v>807</v>
      </c>
      <c r="K381" s="29" t="str">
        <f>IF('Paste SD Data'!O378="","",'Paste SD Data'!O378)</f>
        <v>SC</v>
      </c>
    </row>
    <row r="382" spans="1:11" ht="30" customHeight="1" x14ac:dyDescent="0.25">
      <c r="A382" s="25">
        <f>IF(Table1[[#This Row],[Name of Student]]="","",ROWS($A$1:A378))</f>
        <v>378</v>
      </c>
      <c r="B382" s="26">
        <f>IF('Paste SD Data'!A379="","",'Paste SD Data'!A379)</f>
        <v>10</v>
      </c>
      <c r="C382" s="26" t="str">
        <f>IF('Paste SD Data'!B379="","",'Paste SD Data'!B379)</f>
        <v>B</v>
      </c>
      <c r="D382" s="26">
        <f>IF('Paste SD Data'!C379="","",'Paste SD Data'!C379)</f>
        <v>13527</v>
      </c>
      <c r="E382" s="27" t="str">
        <f>IF('Paste SD Data'!E379="","",UPPER('Paste SD Data'!E379))</f>
        <v>NIRMAL KUMAR SALVI</v>
      </c>
      <c r="F382" s="27" t="str">
        <f>IF('Paste SD Data'!G379="","",UPPER('Paste SD Data'!G379))</f>
        <v>LAXMAN LAL</v>
      </c>
      <c r="G382" s="27" t="str">
        <f>IF('Paste SD Data'!H379="","",UPPER('Paste SD Data'!H379))</f>
        <v>GEETA DEVI</v>
      </c>
      <c r="H382" s="26" t="str">
        <f>IF('Paste SD Data'!I379="","",IF('Paste SD Data'!I379="M","BOY","GIRL"))</f>
        <v>BOY</v>
      </c>
      <c r="I382" s="28">
        <f>IF('Paste SD Data'!J379="","",'Paste SD Data'!J379)</f>
        <v>38581</v>
      </c>
      <c r="J382" s="34">
        <f t="shared" si="5"/>
        <v>808</v>
      </c>
      <c r="K382" s="29" t="str">
        <f>IF('Paste SD Data'!O379="","",'Paste SD Data'!O379)</f>
        <v>SC</v>
      </c>
    </row>
    <row r="383" spans="1:11" ht="30" customHeight="1" x14ac:dyDescent="0.25">
      <c r="A383" s="25">
        <f>IF(Table1[[#This Row],[Name of Student]]="","",ROWS($A$1:A379))</f>
        <v>379</v>
      </c>
      <c r="B383" s="26">
        <f>IF('Paste SD Data'!A380="","",'Paste SD Data'!A380)</f>
        <v>10</v>
      </c>
      <c r="C383" s="26" t="str">
        <f>IF('Paste SD Data'!B380="","",'Paste SD Data'!B380)</f>
        <v>B</v>
      </c>
      <c r="D383" s="26">
        <f>IF('Paste SD Data'!C380="","",'Paste SD Data'!C380)</f>
        <v>13678</v>
      </c>
      <c r="E383" s="27" t="str">
        <f>IF('Paste SD Data'!E380="","",UPPER('Paste SD Data'!E380))</f>
        <v>NUVESH VAN</v>
      </c>
      <c r="F383" s="27" t="str">
        <f>IF('Paste SD Data'!G380="","",UPPER('Paste SD Data'!G380))</f>
        <v>LAXMAN VAN</v>
      </c>
      <c r="G383" s="27" t="str">
        <f>IF('Paste SD Data'!H380="","",UPPER('Paste SD Data'!H380))</f>
        <v>BHURI DEVI</v>
      </c>
      <c r="H383" s="26" t="str">
        <f>IF('Paste SD Data'!I380="","",IF('Paste SD Data'!I380="M","BOY","GIRL"))</f>
        <v>BOY</v>
      </c>
      <c r="I383" s="28">
        <f>IF('Paste SD Data'!J380="","",'Paste SD Data'!J380)</f>
        <v>39212</v>
      </c>
      <c r="J383" s="34">
        <f t="shared" si="5"/>
        <v>809</v>
      </c>
      <c r="K383" s="29" t="str">
        <f>IF('Paste SD Data'!O380="","",'Paste SD Data'!O380)</f>
        <v>OBC</v>
      </c>
    </row>
    <row r="384" spans="1:11" ht="30" customHeight="1" x14ac:dyDescent="0.25">
      <c r="A384" s="25">
        <f>IF(Table1[[#This Row],[Name of Student]]="","",ROWS($A$1:A380))</f>
        <v>380</v>
      </c>
      <c r="B384" s="26">
        <f>IF('Paste SD Data'!A381="","",'Paste SD Data'!A381)</f>
        <v>10</v>
      </c>
      <c r="C384" s="26" t="str">
        <f>IF('Paste SD Data'!B381="","",'Paste SD Data'!B381)</f>
        <v>B</v>
      </c>
      <c r="D384" s="26">
        <f>IF('Paste SD Data'!C381="","",'Paste SD Data'!C381)</f>
        <v>13124</v>
      </c>
      <c r="E384" s="27" t="str">
        <f>IF('Paste SD Data'!E381="","",UPPER('Paste SD Data'!E381))</f>
        <v>PANKAJ REGAR</v>
      </c>
      <c r="F384" s="27" t="str">
        <f>IF('Paste SD Data'!G381="","",UPPER('Paste SD Data'!G381))</f>
        <v>BHAGWAN LAL</v>
      </c>
      <c r="G384" s="27" t="str">
        <f>IF('Paste SD Data'!H381="","",UPPER('Paste SD Data'!H381))</f>
        <v>BHANWARI DEVI</v>
      </c>
      <c r="H384" s="26" t="str">
        <f>IF('Paste SD Data'!I381="","",IF('Paste SD Data'!I381="M","BOY","GIRL"))</f>
        <v>BOY</v>
      </c>
      <c r="I384" s="28">
        <f>IF('Paste SD Data'!J381="","",'Paste SD Data'!J381)</f>
        <v>38870</v>
      </c>
      <c r="J384" s="34">
        <f t="shared" si="5"/>
        <v>810</v>
      </c>
      <c r="K384" s="29" t="str">
        <f>IF('Paste SD Data'!O381="","",'Paste SD Data'!O381)</f>
        <v>SC</v>
      </c>
    </row>
    <row r="385" spans="1:11" ht="30" customHeight="1" x14ac:dyDescent="0.25">
      <c r="A385" s="25">
        <f>IF(Table1[[#This Row],[Name of Student]]="","",ROWS($A$1:A381))</f>
        <v>381</v>
      </c>
      <c r="B385" s="26">
        <f>IF('Paste SD Data'!A382="","",'Paste SD Data'!A382)</f>
        <v>10</v>
      </c>
      <c r="C385" s="26" t="str">
        <f>IF('Paste SD Data'!B382="","",'Paste SD Data'!B382)</f>
        <v>B</v>
      </c>
      <c r="D385" s="26">
        <f>IF('Paste SD Data'!C382="","",'Paste SD Data'!C382)</f>
        <v>13535</v>
      </c>
      <c r="E385" s="27" t="str">
        <f>IF('Paste SD Data'!E382="","",UPPER('Paste SD Data'!E382))</f>
        <v>PAWAN KUMAR REGAR</v>
      </c>
      <c r="F385" s="27" t="str">
        <f>IF('Paste SD Data'!G382="","",UPPER('Paste SD Data'!G382))</f>
        <v>SURESH CHANDRA REGAR</v>
      </c>
      <c r="G385" s="27" t="str">
        <f>IF('Paste SD Data'!H382="","",UPPER('Paste SD Data'!H382))</f>
        <v>KAILASHI DEVI</v>
      </c>
      <c r="H385" s="26" t="str">
        <f>IF('Paste SD Data'!I382="","",IF('Paste SD Data'!I382="M","BOY","GIRL"))</f>
        <v>BOY</v>
      </c>
      <c r="I385" s="28">
        <f>IF('Paste SD Data'!J382="","",'Paste SD Data'!J382)</f>
        <v>38874</v>
      </c>
      <c r="J385" s="34">
        <f t="shared" si="5"/>
        <v>811</v>
      </c>
      <c r="K385" s="29" t="str">
        <f>IF('Paste SD Data'!O382="","",'Paste SD Data'!O382)</f>
        <v>SC</v>
      </c>
    </row>
    <row r="386" spans="1:11" ht="30" customHeight="1" x14ac:dyDescent="0.25">
      <c r="A386" s="25">
        <f>IF(Table1[[#This Row],[Name of Student]]="","",ROWS($A$1:A382))</f>
        <v>382</v>
      </c>
      <c r="B386" s="26">
        <f>IF('Paste SD Data'!A383="","",'Paste SD Data'!A383)</f>
        <v>10</v>
      </c>
      <c r="C386" s="26" t="str">
        <f>IF('Paste SD Data'!B383="","",'Paste SD Data'!B383)</f>
        <v>B</v>
      </c>
      <c r="D386" s="26">
        <f>IF('Paste SD Data'!C383="","",'Paste SD Data'!C383)</f>
        <v>13668</v>
      </c>
      <c r="E386" s="27" t="str">
        <f>IF('Paste SD Data'!E383="","",UPPER('Paste SD Data'!E383))</f>
        <v>PRAHLAD REGAR</v>
      </c>
      <c r="F386" s="27" t="str">
        <f>IF('Paste SD Data'!G383="","",UPPER('Paste SD Data'!G383))</f>
        <v>VIJAY RAM REGAR</v>
      </c>
      <c r="G386" s="27" t="str">
        <f>IF('Paste SD Data'!H383="","",UPPER('Paste SD Data'!H383))</f>
        <v>PREM DEVI</v>
      </c>
      <c r="H386" s="26" t="str">
        <f>IF('Paste SD Data'!I383="","",IF('Paste SD Data'!I383="M","BOY","GIRL"))</f>
        <v>BOY</v>
      </c>
      <c r="I386" s="28">
        <f>IF('Paste SD Data'!J383="","",'Paste SD Data'!J383)</f>
        <v>38600</v>
      </c>
      <c r="J386" s="34">
        <f t="shared" si="5"/>
        <v>812</v>
      </c>
      <c r="K386" s="29" t="str">
        <f>IF('Paste SD Data'!O383="","",'Paste SD Data'!O383)</f>
        <v>SC</v>
      </c>
    </row>
    <row r="387" spans="1:11" ht="30" customHeight="1" x14ac:dyDescent="0.25">
      <c r="A387" s="25">
        <f>IF(Table1[[#This Row],[Name of Student]]="","",ROWS($A$1:A383))</f>
        <v>383</v>
      </c>
      <c r="B387" s="26">
        <f>IF('Paste SD Data'!A384="","",'Paste SD Data'!A384)</f>
        <v>10</v>
      </c>
      <c r="C387" s="26" t="str">
        <f>IF('Paste SD Data'!B384="","",'Paste SD Data'!B384)</f>
        <v>B</v>
      </c>
      <c r="D387" s="26">
        <f>IF('Paste SD Data'!C384="","",'Paste SD Data'!C384)</f>
        <v>13451</v>
      </c>
      <c r="E387" s="27" t="str">
        <f>IF('Paste SD Data'!E384="","",UPPER('Paste SD Data'!E384))</f>
        <v>PRAKASH KALAL</v>
      </c>
      <c r="F387" s="27" t="str">
        <f>IF('Paste SD Data'!G384="","",UPPER('Paste SD Data'!G384))</f>
        <v>BHERU LAL KALAL</v>
      </c>
      <c r="G387" s="27" t="str">
        <f>IF('Paste SD Data'!H384="","",UPPER('Paste SD Data'!H384))</f>
        <v>MEENA DEVI</v>
      </c>
      <c r="H387" s="26" t="str">
        <f>IF('Paste SD Data'!I384="","",IF('Paste SD Data'!I384="M","BOY","GIRL"))</f>
        <v>BOY</v>
      </c>
      <c r="I387" s="28">
        <f>IF('Paste SD Data'!J384="","",'Paste SD Data'!J384)</f>
        <v>38161</v>
      </c>
      <c r="J387" s="34">
        <f t="shared" si="5"/>
        <v>813</v>
      </c>
      <c r="K387" s="29" t="str">
        <f>IF('Paste SD Data'!O384="","",'Paste SD Data'!O384)</f>
        <v>OBC</v>
      </c>
    </row>
    <row r="388" spans="1:11" ht="30" customHeight="1" x14ac:dyDescent="0.25">
      <c r="A388" s="25">
        <f>IF(Table1[[#This Row],[Name of Student]]="","",ROWS($A$1:A384))</f>
        <v>384</v>
      </c>
      <c r="B388" s="26">
        <f>IF('Paste SD Data'!A385="","",'Paste SD Data'!A385)</f>
        <v>10</v>
      </c>
      <c r="C388" s="26" t="str">
        <f>IF('Paste SD Data'!B385="","",'Paste SD Data'!B385)</f>
        <v>B</v>
      </c>
      <c r="D388" s="26">
        <f>IF('Paste SD Data'!C385="","",'Paste SD Data'!C385)</f>
        <v>13485</v>
      </c>
      <c r="E388" s="27" t="str">
        <f>IF('Paste SD Data'!E385="","",UPPER('Paste SD Data'!E385))</f>
        <v>PRAKASH SINGH</v>
      </c>
      <c r="F388" s="27" t="str">
        <f>IF('Paste SD Data'!G385="","",UPPER('Paste SD Data'!G385))</f>
        <v>TEJ SINGH</v>
      </c>
      <c r="G388" s="27" t="str">
        <f>IF('Paste SD Data'!H385="","",UPPER('Paste SD Data'!H385))</f>
        <v>JAMANA DEVI</v>
      </c>
      <c r="H388" s="26" t="str">
        <f>IF('Paste SD Data'!I385="","",IF('Paste SD Data'!I385="M","BOY","GIRL"))</f>
        <v>BOY</v>
      </c>
      <c r="I388" s="28">
        <f>IF('Paste SD Data'!J385="","",'Paste SD Data'!J385)</f>
        <v>38081</v>
      </c>
      <c r="J388" s="34">
        <f t="shared" si="5"/>
        <v>814</v>
      </c>
      <c r="K388" s="29" t="str">
        <f>IF('Paste SD Data'!O385="","",'Paste SD Data'!O385)</f>
        <v>OBC</v>
      </c>
    </row>
    <row r="389" spans="1:11" ht="30" customHeight="1" x14ac:dyDescent="0.25">
      <c r="A389" s="25">
        <f>IF(Table1[[#This Row],[Name of Student]]="","",ROWS($A$1:A385))</f>
        <v>385</v>
      </c>
      <c r="B389" s="26">
        <f>IF('Paste SD Data'!A386="","",'Paste SD Data'!A386)</f>
        <v>10</v>
      </c>
      <c r="C389" s="26" t="str">
        <f>IF('Paste SD Data'!B386="","",'Paste SD Data'!B386)</f>
        <v>B</v>
      </c>
      <c r="D389" s="26">
        <f>IF('Paste SD Data'!C386="","",'Paste SD Data'!C386)</f>
        <v>13546</v>
      </c>
      <c r="E389" s="27" t="str">
        <f>IF('Paste SD Data'!E386="","",UPPER('Paste SD Data'!E386))</f>
        <v>PRAVEEN KUMAR REGAR</v>
      </c>
      <c r="F389" s="27" t="str">
        <f>IF('Paste SD Data'!G386="","",UPPER('Paste SD Data'!G386))</f>
        <v>PREM LAL REGAR</v>
      </c>
      <c r="G389" s="27" t="str">
        <f>IF('Paste SD Data'!H386="","",UPPER('Paste SD Data'!H386))</f>
        <v>SHANTA DEVI</v>
      </c>
      <c r="H389" s="26" t="str">
        <f>IF('Paste SD Data'!I386="","",IF('Paste SD Data'!I386="M","BOY","GIRL"))</f>
        <v>BOY</v>
      </c>
      <c r="I389" s="28">
        <f>IF('Paste SD Data'!J386="","",'Paste SD Data'!J386)</f>
        <v>39337</v>
      </c>
      <c r="J389" s="34">
        <f t="shared" si="5"/>
        <v>815</v>
      </c>
      <c r="K389" s="29" t="str">
        <f>IF('Paste SD Data'!O386="","",'Paste SD Data'!O386)</f>
        <v>SC</v>
      </c>
    </row>
    <row r="390" spans="1:11" ht="30" customHeight="1" x14ac:dyDescent="0.25">
      <c r="A390" s="25">
        <f>IF(Table1[[#This Row],[Name of Student]]="","",ROWS($A$1:A386))</f>
        <v>386</v>
      </c>
      <c r="B390" s="26">
        <f>IF('Paste SD Data'!A387="","",'Paste SD Data'!A387)</f>
        <v>10</v>
      </c>
      <c r="C390" s="26" t="str">
        <f>IF('Paste SD Data'!B387="","",'Paste SD Data'!B387)</f>
        <v>B</v>
      </c>
      <c r="D390" s="26">
        <f>IF('Paste SD Data'!C387="","",'Paste SD Data'!C387)</f>
        <v>13661</v>
      </c>
      <c r="E390" s="27" t="str">
        <f>IF('Paste SD Data'!E387="","",UPPER('Paste SD Data'!E387))</f>
        <v>PRINCE KUMAR REGAR</v>
      </c>
      <c r="F390" s="27" t="str">
        <f>IF('Paste SD Data'!G387="","",UPPER('Paste SD Data'!G387))</f>
        <v>KISHAN LAL</v>
      </c>
      <c r="G390" s="27" t="str">
        <f>IF('Paste SD Data'!H387="","",UPPER('Paste SD Data'!H387))</f>
        <v>LEELA DEVI</v>
      </c>
      <c r="H390" s="26" t="str">
        <f>IF('Paste SD Data'!I387="","",IF('Paste SD Data'!I387="M","BOY","GIRL"))</f>
        <v>BOY</v>
      </c>
      <c r="I390" s="28">
        <f>IF('Paste SD Data'!J387="","",'Paste SD Data'!J387)</f>
        <v>38558</v>
      </c>
      <c r="J390" s="34">
        <f t="shared" si="5"/>
        <v>816</v>
      </c>
      <c r="K390" s="29" t="str">
        <f>IF('Paste SD Data'!O387="","",'Paste SD Data'!O387)</f>
        <v>SC</v>
      </c>
    </row>
    <row r="391" spans="1:11" ht="30" customHeight="1" x14ac:dyDescent="0.25">
      <c r="A391" s="25">
        <f>IF(Table1[[#This Row],[Name of Student]]="","",ROWS($A$1:A387))</f>
        <v>387</v>
      </c>
      <c r="B391" s="26">
        <f>IF('Paste SD Data'!A388="","",'Paste SD Data'!A388)</f>
        <v>10</v>
      </c>
      <c r="C391" s="26" t="str">
        <f>IF('Paste SD Data'!B388="","",'Paste SD Data'!B388)</f>
        <v>B</v>
      </c>
      <c r="D391" s="26">
        <f>IF('Paste SD Data'!C388="","",'Paste SD Data'!C388)</f>
        <v>13871</v>
      </c>
      <c r="E391" s="27" t="str">
        <f>IF('Paste SD Data'!E388="","",UPPER('Paste SD Data'!E388))</f>
        <v>PRIYANSHU VAISHNAV</v>
      </c>
      <c r="F391" s="27" t="str">
        <f>IF('Paste SD Data'!G388="","",UPPER('Paste SD Data'!G388))</f>
        <v>DILKHUSH VAISHNAV</v>
      </c>
      <c r="G391" s="27" t="str">
        <f>IF('Paste SD Data'!H388="","",UPPER('Paste SD Data'!H388))</f>
        <v>KALAWATI VAISHNAV</v>
      </c>
      <c r="H391" s="26" t="str">
        <f>IF('Paste SD Data'!I388="","",IF('Paste SD Data'!I388="M","BOY","GIRL"))</f>
        <v>BOY</v>
      </c>
      <c r="I391" s="28">
        <f>IF('Paste SD Data'!J388="","",'Paste SD Data'!J388)</f>
        <v>39018</v>
      </c>
      <c r="J391" s="34">
        <f t="shared" ref="J391:J454" si="6">J390+1</f>
        <v>817</v>
      </c>
      <c r="K391" s="29" t="str">
        <f>IF('Paste SD Data'!O388="","",'Paste SD Data'!O388)</f>
        <v>OBC</v>
      </c>
    </row>
    <row r="392" spans="1:11" ht="30" customHeight="1" x14ac:dyDescent="0.25">
      <c r="A392" s="25">
        <f>IF(Table1[[#This Row],[Name of Student]]="","",ROWS($A$1:A388))</f>
        <v>388</v>
      </c>
      <c r="B392" s="26">
        <f>IF('Paste SD Data'!A389="","",'Paste SD Data'!A389)</f>
        <v>10</v>
      </c>
      <c r="C392" s="26" t="str">
        <f>IF('Paste SD Data'!B389="","",'Paste SD Data'!B389)</f>
        <v>B</v>
      </c>
      <c r="D392" s="26">
        <f>IF('Paste SD Data'!C389="","",'Paste SD Data'!C389)</f>
        <v>12897</v>
      </c>
      <c r="E392" s="27" t="str">
        <f>IF('Paste SD Data'!E389="","",UPPER('Paste SD Data'!E389))</f>
        <v>PUROSHATTAM DAS VAISHNAV</v>
      </c>
      <c r="F392" s="27" t="str">
        <f>IF('Paste SD Data'!G389="","",UPPER('Paste SD Data'!G389))</f>
        <v>SHANKAR DAS</v>
      </c>
      <c r="G392" s="27" t="str">
        <f>IF('Paste SD Data'!H389="","",UPPER('Paste SD Data'!H389))</f>
        <v>PUSHPA DEVI</v>
      </c>
      <c r="H392" s="26" t="str">
        <f>IF('Paste SD Data'!I389="","",IF('Paste SD Data'!I389="M","BOY","GIRL"))</f>
        <v>BOY</v>
      </c>
      <c r="I392" s="28">
        <f>IF('Paste SD Data'!J389="","",'Paste SD Data'!J389)</f>
        <v>38382</v>
      </c>
      <c r="J392" s="34">
        <f t="shared" si="6"/>
        <v>818</v>
      </c>
      <c r="K392" s="29" t="str">
        <f>IF('Paste SD Data'!O389="","",'Paste SD Data'!O389)</f>
        <v>OBC</v>
      </c>
    </row>
    <row r="393" spans="1:11" ht="30" customHeight="1" x14ac:dyDescent="0.25">
      <c r="A393" s="25">
        <f>IF(Table1[[#This Row],[Name of Student]]="","",ROWS($A$1:A389))</f>
        <v>389</v>
      </c>
      <c r="B393" s="26">
        <f>IF('Paste SD Data'!A390="","",'Paste SD Data'!A390)</f>
        <v>10</v>
      </c>
      <c r="C393" s="26" t="str">
        <f>IF('Paste SD Data'!B390="","",'Paste SD Data'!B390)</f>
        <v>B</v>
      </c>
      <c r="D393" s="26">
        <f>IF('Paste SD Data'!C390="","",'Paste SD Data'!C390)</f>
        <v>12311</v>
      </c>
      <c r="E393" s="27" t="str">
        <f>IF('Paste SD Data'!E390="","",UPPER('Paste SD Data'!E390))</f>
        <v>RAHUL MALI</v>
      </c>
      <c r="F393" s="27" t="str">
        <f>IF('Paste SD Data'!G390="","",UPPER('Paste SD Data'!G390))</f>
        <v>BHERU LAL</v>
      </c>
      <c r="G393" s="27" t="str">
        <f>IF('Paste SD Data'!H390="","",UPPER('Paste SD Data'!H390))</f>
        <v>RADHA DEVI</v>
      </c>
      <c r="H393" s="26" t="str">
        <f>IF('Paste SD Data'!I390="","",IF('Paste SD Data'!I390="M","BOY","GIRL"))</f>
        <v>BOY</v>
      </c>
      <c r="I393" s="28">
        <f>IF('Paste SD Data'!J390="","",'Paste SD Data'!J390)</f>
        <v>38418</v>
      </c>
      <c r="J393" s="34">
        <f t="shared" si="6"/>
        <v>819</v>
      </c>
      <c r="K393" s="29" t="str">
        <f>IF('Paste SD Data'!O390="","",'Paste SD Data'!O390)</f>
        <v>OBC</v>
      </c>
    </row>
    <row r="394" spans="1:11" ht="30" customHeight="1" x14ac:dyDescent="0.25">
      <c r="A394" s="25">
        <f>IF(Table1[[#This Row],[Name of Student]]="","",ROWS($A$1:A390))</f>
        <v>390</v>
      </c>
      <c r="B394" s="26">
        <f>IF('Paste SD Data'!A391="","",'Paste SD Data'!A391)</f>
        <v>10</v>
      </c>
      <c r="C394" s="26" t="str">
        <f>IF('Paste SD Data'!B391="","",'Paste SD Data'!B391)</f>
        <v>B</v>
      </c>
      <c r="D394" s="26">
        <f>IF('Paste SD Data'!C391="","",'Paste SD Data'!C391)</f>
        <v>12284</v>
      </c>
      <c r="E394" s="27" t="str">
        <f>IF('Paste SD Data'!E391="","",UPPER('Paste SD Data'!E391))</f>
        <v>RAHUL PRAJAPAT</v>
      </c>
      <c r="F394" s="27" t="str">
        <f>IF('Paste SD Data'!G391="","",UPPER('Paste SD Data'!G391))</f>
        <v>GANGA RAM</v>
      </c>
      <c r="G394" s="27" t="str">
        <f>IF('Paste SD Data'!H391="","",UPPER('Paste SD Data'!H391))</f>
        <v>MANGI BAI</v>
      </c>
      <c r="H394" s="26" t="str">
        <f>IF('Paste SD Data'!I391="","",IF('Paste SD Data'!I391="M","BOY","GIRL"))</f>
        <v>BOY</v>
      </c>
      <c r="I394" s="28">
        <f>IF('Paste SD Data'!J391="","",'Paste SD Data'!J391)</f>
        <v>38522</v>
      </c>
      <c r="J394" s="34">
        <f t="shared" si="6"/>
        <v>820</v>
      </c>
      <c r="K394" s="29" t="str">
        <f>IF('Paste SD Data'!O391="","",'Paste SD Data'!O391)</f>
        <v>OBC</v>
      </c>
    </row>
    <row r="395" spans="1:11" ht="30" customHeight="1" x14ac:dyDescent="0.25">
      <c r="A395" s="25">
        <f>IF(Table1[[#This Row],[Name of Student]]="","",ROWS($A$1:A391))</f>
        <v>391</v>
      </c>
      <c r="B395" s="26">
        <f>IF('Paste SD Data'!A392="","",'Paste SD Data'!A392)</f>
        <v>10</v>
      </c>
      <c r="C395" s="26" t="str">
        <f>IF('Paste SD Data'!B392="","",'Paste SD Data'!B392)</f>
        <v>B</v>
      </c>
      <c r="D395" s="26">
        <f>IF('Paste SD Data'!C392="","",'Paste SD Data'!C392)</f>
        <v>13452</v>
      </c>
      <c r="E395" s="27" t="str">
        <f>IF('Paste SD Data'!E392="","",UPPER('Paste SD Data'!E392))</f>
        <v>RAJENDRA KUMAR REGAR</v>
      </c>
      <c r="F395" s="27" t="str">
        <f>IF('Paste SD Data'!G392="","",UPPER('Paste SD Data'!G392))</f>
        <v>JAGDISH CHANDRA</v>
      </c>
      <c r="G395" s="27" t="str">
        <f>IF('Paste SD Data'!H392="","",UPPER('Paste SD Data'!H392))</f>
        <v>DHAPU DEVI</v>
      </c>
      <c r="H395" s="26" t="str">
        <f>IF('Paste SD Data'!I392="","",IF('Paste SD Data'!I392="M","BOY","GIRL"))</f>
        <v>BOY</v>
      </c>
      <c r="I395" s="28">
        <f>IF('Paste SD Data'!J392="","",'Paste SD Data'!J392)</f>
        <v>38488</v>
      </c>
      <c r="J395" s="34">
        <f t="shared" si="6"/>
        <v>821</v>
      </c>
      <c r="K395" s="29" t="str">
        <f>IF('Paste SD Data'!O392="","",'Paste SD Data'!O392)</f>
        <v>SC</v>
      </c>
    </row>
    <row r="396" spans="1:11" ht="30" customHeight="1" x14ac:dyDescent="0.25">
      <c r="A396" s="25">
        <f>IF(Table1[[#This Row],[Name of Student]]="","",ROWS($A$1:A392))</f>
        <v>392</v>
      </c>
      <c r="B396" s="26">
        <f>IF('Paste SD Data'!A393="","",'Paste SD Data'!A393)</f>
        <v>10</v>
      </c>
      <c r="C396" s="26" t="str">
        <f>IF('Paste SD Data'!B393="","",'Paste SD Data'!B393)</f>
        <v>B</v>
      </c>
      <c r="D396" s="26">
        <f>IF('Paste SD Data'!C393="","",'Paste SD Data'!C393)</f>
        <v>13801</v>
      </c>
      <c r="E396" s="27" t="str">
        <f>IF('Paste SD Data'!E393="","",UPPER('Paste SD Data'!E393))</f>
        <v>RAJENDRA SINGH</v>
      </c>
      <c r="F396" s="27" t="str">
        <f>IF('Paste SD Data'!G393="","",UPPER('Paste SD Data'!G393))</f>
        <v>KHUMAN SINGH</v>
      </c>
      <c r="G396" s="27" t="str">
        <f>IF('Paste SD Data'!H393="","",UPPER('Paste SD Data'!H393))</f>
        <v>RATAN KANWAR</v>
      </c>
      <c r="H396" s="26" t="str">
        <f>IF('Paste SD Data'!I393="","",IF('Paste SD Data'!I393="M","BOY","GIRL"))</f>
        <v>BOY</v>
      </c>
      <c r="I396" s="28">
        <f>IF('Paste SD Data'!J393="","",'Paste SD Data'!J393)</f>
        <v>39340</v>
      </c>
      <c r="J396" s="34">
        <f t="shared" si="6"/>
        <v>822</v>
      </c>
      <c r="K396" s="29" t="str">
        <f>IF('Paste SD Data'!O393="","",'Paste SD Data'!O393)</f>
        <v>OBC</v>
      </c>
    </row>
    <row r="397" spans="1:11" ht="30" customHeight="1" x14ac:dyDescent="0.25">
      <c r="A397" s="25">
        <f>IF(Table1[[#This Row],[Name of Student]]="","",ROWS($A$1:A393))</f>
        <v>393</v>
      </c>
      <c r="B397" s="26">
        <f>IF('Paste SD Data'!A394="","",'Paste SD Data'!A394)</f>
        <v>10</v>
      </c>
      <c r="C397" s="26" t="str">
        <f>IF('Paste SD Data'!B394="","",'Paste SD Data'!B394)</f>
        <v>B</v>
      </c>
      <c r="D397" s="26">
        <f>IF('Paste SD Data'!C394="","",'Paste SD Data'!C394)</f>
        <v>13405</v>
      </c>
      <c r="E397" s="27" t="str">
        <f>IF('Paste SD Data'!E394="","",UPPER('Paste SD Data'!E394))</f>
        <v>RAKESH DASANA</v>
      </c>
      <c r="F397" s="27" t="str">
        <f>IF('Paste SD Data'!G394="","",UPPER('Paste SD Data'!G394))</f>
        <v>BHANWAR LAL BHIL</v>
      </c>
      <c r="G397" s="27" t="str">
        <f>IF('Paste SD Data'!H394="","",UPPER('Paste SD Data'!H394))</f>
        <v>KANWARI BAI</v>
      </c>
      <c r="H397" s="26" t="str">
        <f>IF('Paste SD Data'!I394="","",IF('Paste SD Data'!I394="M","BOY","GIRL"))</f>
        <v>BOY</v>
      </c>
      <c r="I397" s="28">
        <f>IF('Paste SD Data'!J394="","",'Paste SD Data'!J394)</f>
        <v>38977</v>
      </c>
      <c r="J397" s="34">
        <f t="shared" si="6"/>
        <v>823</v>
      </c>
      <c r="K397" s="29" t="str">
        <f>IF('Paste SD Data'!O394="","",'Paste SD Data'!O394)</f>
        <v>ST</v>
      </c>
    </row>
    <row r="398" spans="1:11" ht="30" customHeight="1" x14ac:dyDescent="0.25">
      <c r="A398" s="25">
        <f>IF(Table1[[#This Row],[Name of Student]]="","",ROWS($A$1:A394))</f>
        <v>394</v>
      </c>
      <c r="B398" s="26">
        <f>IF('Paste SD Data'!A395="","",'Paste SD Data'!A395)</f>
        <v>10</v>
      </c>
      <c r="C398" s="26" t="str">
        <f>IF('Paste SD Data'!B395="","",'Paste SD Data'!B395)</f>
        <v>B</v>
      </c>
      <c r="D398" s="26">
        <f>IF('Paste SD Data'!C395="","",'Paste SD Data'!C395)</f>
        <v>13484</v>
      </c>
      <c r="E398" s="27" t="str">
        <f>IF('Paste SD Data'!E395="","",UPPER('Paste SD Data'!E395))</f>
        <v>RAMESH SINGH</v>
      </c>
      <c r="F398" s="27" t="str">
        <f>IF('Paste SD Data'!G395="","",UPPER('Paste SD Data'!G395))</f>
        <v>LUMB SINGH</v>
      </c>
      <c r="G398" s="27" t="str">
        <f>IF('Paste SD Data'!H395="","",UPPER('Paste SD Data'!H395))</f>
        <v>SEETA DEVI</v>
      </c>
      <c r="H398" s="26" t="str">
        <f>IF('Paste SD Data'!I395="","",IF('Paste SD Data'!I395="M","BOY","GIRL"))</f>
        <v>BOY</v>
      </c>
      <c r="I398" s="28">
        <f>IF('Paste SD Data'!J395="","",'Paste SD Data'!J395)</f>
        <v>38790</v>
      </c>
      <c r="J398" s="34">
        <f t="shared" si="6"/>
        <v>824</v>
      </c>
      <c r="K398" s="29" t="str">
        <f>IF('Paste SD Data'!O395="","",'Paste SD Data'!O395)</f>
        <v>OBC</v>
      </c>
    </row>
    <row r="399" spans="1:11" ht="30" customHeight="1" x14ac:dyDescent="0.25">
      <c r="A399" s="25">
        <f>IF(Table1[[#This Row],[Name of Student]]="","",ROWS($A$1:A395))</f>
        <v>395</v>
      </c>
      <c r="B399" s="26">
        <f>IF('Paste SD Data'!A396="","",'Paste SD Data'!A396)</f>
        <v>10</v>
      </c>
      <c r="C399" s="26" t="str">
        <f>IF('Paste SD Data'!B396="","",'Paste SD Data'!B396)</f>
        <v>B</v>
      </c>
      <c r="D399" s="26">
        <f>IF('Paste SD Data'!C396="","",'Paste SD Data'!C396)</f>
        <v>13088</v>
      </c>
      <c r="E399" s="27" t="str">
        <f>IF('Paste SD Data'!E396="","",UPPER('Paste SD Data'!E396))</f>
        <v>SAAGAR KUMAR REGAR</v>
      </c>
      <c r="F399" s="27" t="str">
        <f>IF('Paste SD Data'!G396="","",UPPER('Paste SD Data'!G396))</f>
        <v>MOHAN LAL REGAR</v>
      </c>
      <c r="G399" s="27" t="str">
        <f>IF('Paste SD Data'!H396="","",UPPER('Paste SD Data'!H396))</f>
        <v>TULSI DEVI</v>
      </c>
      <c r="H399" s="26" t="str">
        <f>IF('Paste SD Data'!I396="","",IF('Paste SD Data'!I396="M","BOY","GIRL"))</f>
        <v>BOY</v>
      </c>
      <c r="I399" s="28">
        <f>IF('Paste SD Data'!J396="","",'Paste SD Data'!J396)</f>
        <v>38434</v>
      </c>
      <c r="J399" s="34">
        <f t="shared" si="6"/>
        <v>825</v>
      </c>
      <c r="K399" s="29" t="str">
        <f>IF('Paste SD Data'!O396="","",'Paste SD Data'!O396)</f>
        <v>SC</v>
      </c>
    </row>
    <row r="400" spans="1:11" ht="30" customHeight="1" x14ac:dyDescent="0.25">
      <c r="A400" s="25">
        <f>IF(Table1[[#This Row],[Name of Student]]="","",ROWS($A$1:A396))</f>
        <v>396</v>
      </c>
      <c r="B400" s="26">
        <f>IF('Paste SD Data'!A397="","",'Paste SD Data'!A397)</f>
        <v>10</v>
      </c>
      <c r="C400" s="26" t="str">
        <f>IF('Paste SD Data'!B397="","",'Paste SD Data'!B397)</f>
        <v>B</v>
      </c>
      <c r="D400" s="26">
        <f>IF('Paste SD Data'!C397="","",'Paste SD Data'!C397)</f>
        <v>13448</v>
      </c>
      <c r="E400" s="27" t="str">
        <f>IF('Paste SD Data'!E397="","",UPPER('Paste SD Data'!E397))</f>
        <v>SANTOSH SINGH RAWAT</v>
      </c>
      <c r="F400" s="27" t="str">
        <f>IF('Paste SD Data'!G397="","",UPPER('Paste SD Data'!G397))</f>
        <v>MADAN SINGH RAWAT</v>
      </c>
      <c r="G400" s="27" t="str">
        <f>IF('Paste SD Data'!H397="","",UPPER('Paste SD Data'!H397))</f>
        <v>KAMLA BAI</v>
      </c>
      <c r="H400" s="26" t="str">
        <f>IF('Paste SD Data'!I397="","",IF('Paste SD Data'!I397="M","BOY","GIRL"))</f>
        <v>BOY</v>
      </c>
      <c r="I400" s="28">
        <f>IF('Paste SD Data'!J397="","",'Paste SD Data'!J397)</f>
        <v>38491</v>
      </c>
      <c r="J400" s="34">
        <f t="shared" si="6"/>
        <v>826</v>
      </c>
      <c r="K400" s="29" t="str">
        <f>IF('Paste SD Data'!O397="","",'Paste SD Data'!O397)</f>
        <v>OBC</v>
      </c>
    </row>
    <row r="401" spans="1:11" ht="30" customHeight="1" x14ac:dyDescent="0.25">
      <c r="A401" s="25">
        <f>IF(Table1[[#This Row],[Name of Student]]="","",ROWS($A$1:A397))</f>
        <v>397</v>
      </c>
      <c r="B401" s="26">
        <f>IF('Paste SD Data'!A398="","",'Paste SD Data'!A398)</f>
        <v>10</v>
      </c>
      <c r="C401" s="26" t="str">
        <f>IF('Paste SD Data'!B398="","",'Paste SD Data'!B398)</f>
        <v>B</v>
      </c>
      <c r="D401" s="26">
        <f>IF('Paste SD Data'!C398="","",'Paste SD Data'!C398)</f>
        <v>13453</v>
      </c>
      <c r="E401" s="27" t="str">
        <f>IF('Paste SD Data'!E398="","",UPPER('Paste SD Data'!E398))</f>
        <v>SHRAWAN SINGH</v>
      </c>
      <c r="F401" s="27" t="str">
        <f>IF('Paste SD Data'!G398="","",UPPER('Paste SD Data'!G398))</f>
        <v>BABU SINGH</v>
      </c>
      <c r="G401" s="27" t="str">
        <f>IF('Paste SD Data'!H398="","",UPPER('Paste SD Data'!H398))</f>
        <v>TEEPU DEVI</v>
      </c>
      <c r="H401" s="26" t="str">
        <f>IF('Paste SD Data'!I398="","",IF('Paste SD Data'!I398="M","BOY","GIRL"))</f>
        <v>BOY</v>
      </c>
      <c r="I401" s="28">
        <f>IF('Paste SD Data'!J398="","",'Paste SD Data'!J398)</f>
        <v>39288</v>
      </c>
      <c r="J401" s="34">
        <f t="shared" si="6"/>
        <v>827</v>
      </c>
      <c r="K401" s="29" t="str">
        <f>IF('Paste SD Data'!O398="","",'Paste SD Data'!O398)</f>
        <v>OBC</v>
      </c>
    </row>
    <row r="402" spans="1:11" ht="30" customHeight="1" x14ac:dyDescent="0.25">
      <c r="A402" s="25">
        <f>IF(Table1[[#This Row],[Name of Student]]="","",ROWS($A$1:A398))</f>
        <v>398</v>
      </c>
      <c r="B402" s="26">
        <f>IF('Paste SD Data'!A399="","",'Paste SD Data'!A399)</f>
        <v>10</v>
      </c>
      <c r="C402" s="26" t="str">
        <f>IF('Paste SD Data'!B399="","",'Paste SD Data'!B399)</f>
        <v>B</v>
      </c>
      <c r="D402" s="26">
        <f>IF('Paste SD Data'!C399="","",'Paste SD Data'!C399)</f>
        <v>13526</v>
      </c>
      <c r="E402" s="27" t="str">
        <f>IF('Paste SD Data'!E399="","",UPPER('Paste SD Data'!E399))</f>
        <v>SHUBHAM KUMAR YATI</v>
      </c>
      <c r="F402" s="27" t="str">
        <f>IF('Paste SD Data'!G399="","",UPPER('Paste SD Data'!G399))</f>
        <v>JAGDISH CHANDRA YATI</v>
      </c>
      <c r="G402" s="27" t="str">
        <f>IF('Paste SD Data'!H399="","",UPPER('Paste SD Data'!H399))</f>
        <v>UMA DEVI YATI</v>
      </c>
      <c r="H402" s="26" t="str">
        <f>IF('Paste SD Data'!I399="","",IF('Paste SD Data'!I399="M","BOY","GIRL"))</f>
        <v>BOY</v>
      </c>
      <c r="I402" s="28">
        <f>IF('Paste SD Data'!J399="","",'Paste SD Data'!J399)</f>
        <v>38732</v>
      </c>
      <c r="J402" s="34">
        <f t="shared" si="6"/>
        <v>828</v>
      </c>
      <c r="K402" s="29" t="str">
        <f>IF('Paste SD Data'!O399="","",'Paste SD Data'!O399)</f>
        <v>GEN</v>
      </c>
    </row>
    <row r="403" spans="1:11" ht="30" customHeight="1" x14ac:dyDescent="0.25">
      <c r="A403" s="25">
        <f>IF(Table1[[#This Row],[Name of Student]]="","",ROWS($A$1:A399))</f>
        <v>399</v>
      </c>
      <c r="B403" s="26">
        <f>IF('Paste SD Data'!A400="","",'Paste SD Data'!A400)</f>
        <v>10</v>
      </c>
      <c r="C403" s="26" t="str">
        <f>IF('Paste SD Data'!B400="","",'Paste SD Data'!B400)</f>
        <v>B</v>
      </c>
      <c r="D403" s="26">
        <f>IF('Paste SD Data'!C400="","",'Paste SD Data'!C400)</f>
        <v>13449</v>
      </c>
      <c r="E403" s="27" t="str">
        <f>IF('Paste SD Data'!E400="","",UPPER('Paste SD Data'!E400))</f>
        <v>SHYAM SINGH</v>
      </c>
      <c r="F403" s="27" t="str">
        <f>IF('Paste SD Data'!G400="","",UPPER('Paste SD Data'!G400))</f>
        <v>DINESH SINGH</v>
      </c>
      <c r="G403" s="27" t="str">
        <f>IF('Paste SD Data'!H400="","",UPPER('Paste SD Data'!H400))</f>
        <v>HULAS DEVI</v>
      </c>
      <c r="H403" s="26" t="str">
        <f>IF('Paste SD Data'!I400="","",IF('Paste SD Data'!I400="M","BOY","GIRL"))</f>
        <v>BOY</v>
      </c>
      <c r="I403" s="28">
        <f>IF('Paste SD Data'!J400="","",'Paste SD Data'!J400)</f>
        <v>38897</v>
      </c>
      <c r="J403" s="34">
        <f t="shared" si="6"/>
        <v>829</v>
      </c>
      <c r="K403" s="29" t="str">
        <f>IF('Paste SD Data'!O400="","",'Paste SD Data'!O400)</f>
        <v>OBC</v>
      </c>
    </row>
    <row r="404" spans="1:11" ht="30" customHeight="1" x14ac:dyDescent="0.25">
      <c r="A404" s="25">
        <f>IF(Table1[[#This Row],[Name of Student]]="","",ROWS($A$1:A400))</f>
        <v>400</v>
      </c>
      <c r="B404" s="26">
        <f>IF('Paste SD Data'!A401="","",'Paste SD Data'!A401)</f>
        <v>10</v>
      </c>
      <c r="C404" s="26" t="str">
        <f>IF('Paste SD Data'!B401="","",'Paste SD Data'!B401)</f>
        <v>B</v>
      </c>
      <c r="D404" s="26">
        <f>IF('Paste SD Data'!C401="","",'Paste SD Data'!C401)</f>
        <v>13583</v>
      </c>
      <c r="E404" s="27" t="str">
        <f>IF('Paste SD Data'!E401="","",UPPER('Paste SD Data'!E401))</f>
        <v>SOHAN SINGH</v>
      </c>
      <c r="F404" s="27" t="str">
        <f>IF('Paste SD Data'!G401="","",UPPER('Paste SD Data'!G401))</f>
        <v>KISHAN SINGH</v>
      </c>
      <c r="G404" s="27" t="str">
        <f>IF('Paste SD Data'!H401="","",UPPER('Paste SD Data'!H401))</f>
        <v>JHAMKU DEVI</v>
      </c>
      <c r="H404" s="26" t="str">
        <f>IF('Paste SD Data'!I401="","",IF('Paste SD Data'!I401="M","BOY","GIRL"))</f>
        <v>BOY</v>
      </c>
      <c r="I404" s="28">
        <f>IF('Paste SD Data'!J401="","",'Paste SD Data'!J401)</f>
        <v>38867</v>
      </c>
      <c r="J404" s="34">
        <f t="shared" si="6"/>
        <v>830</v>
      </c>
      <c r="K404" s="29" t="str">
        <f>IF('Paste SD Data'!O401="","",'Paste SD Data'!O401)</f>
        <v>OBC</v>
      </c>
    </row>
    <row r="405" spans="1:11" ht="30" customHeight="1" x14ac:dyDescent="0.25">
      <c r="A405" s="25">
        <f>IF(Table1[[#This Row],[Name of Student]]="","",ROWS($A$1:A401))</f>
        <v>401</v>
      </c>
      <c r="B405" s="26">
        <f>IF('Paste SD Data'!A402="","",'Paste SD Data'!A402)</f>
        <v>10</v>
      </c>
      <c r="C405" s="26" t="str">
        <f>IF('Paste SD Data'!B402="","",'Paste SD Data'!B402)</f>
        <v>B</v>
      </c>
      <c r="D405" s="26">
        <f>IF('Paste SD Data'!C402="","",'Paste SD Data'!C402)</f>
        <v>13515</v>
      </c>
      <c r="E405" s="27" t="str">
        <f>IF('Paste SD Data'!E402="","",UPPER('Paste SD Data'!E402))</f>
        <v>SUBHAM SUTHAR</v>
      </c>
      <c r="F405" s="27" t="str">
        <f>IF('Paste SD Data'!G402="","",UPPER('Paste SD Data'!G402))</f>
        <v>BHAGWATI LAL SUTHAR</v>
      </c>
      <c r="G405" s="27" t="str">
        <f>IF('Paste SD Data'!H402="","",UPPER('Paste SD Data'!H402))</f>
        <v>GANESHI</v>
      </c>
      <c r="H405" s="26" t="str">
        <f>IF('Paste SD Data'!I402="","",IF('Paste SD Data'!I402="M","BOY","GIRL"))</f>
        <v>BOY</v>
      </c>
      <c r="I405" s="28">
        <f>IF('Paste SD Data'!J402="","",'Paste SD Data'!J402)</f>
        <v>39049</v>
      </c>
      <c r="J405" s="34">
        <f t="shared" si="6"/>
        <v>831</v>
      </c>
      <c r="K405" s="29" t="str">
        <f>IF('Paste SD Data'!O402="","",'Paste SD Data'!O402)</f>
        <v>OBC</v>
      </c>
    </row>
    <row r="406" spans="1:11" ht="30" customHeight="1" x14ac:dyDescent="0.25">
      <c r="A406" s="25">
        <f>IF(Table1[[#This Row],[Name of Student]]="","",ROWS($A$1:A402))</f>
        <v>402</v>
      </c>
      <c r="B406" s="26">
        <f>IF('Paste SD Data'!A403="","",'Paste SD Data'!A403)</f>
        <v>10</v>
      </c>
      <c r="C406" s="26" t="str">
        <f>IF('Paste SD Data'!B403="","",'Paste SD Data'!B403)</f>
        <v>B</v>
      </c>
      <c r="D406" s="26">
        <f>IF('Paste SD Data'!C403="","",'Paste SD Data'!C403)</f>
        <v>13614</v>
      </c>
      <c r="E406" s="27" t="str">
        <f>IF('Paste SD Data'!E403="","",UPPER('Paste SD Data'!E403))</f>
        <v>SUNNY SINGH TANK</v>
      </c>
      <c r="F406" s="27" t="str">
        <f>IF('Paste SD Data'!G403="","",UPPER('Paste SD Data'!G403))</f>
        <v>AJAY SINGH TANK</v>
      </c>
      <c r="G406" s="27" t="str">
        <f>IF('Paste SD Data'!H403="","",UPPER('Paste SD Data'!H403))</f>
        <v>LONA DEVI</v>
      </c>
      <c r="H406" s="26" t="str">
        <f>IF('Paste SD Data'!I403="","",IF('Paste SD Data'!I403="M","BOY","GIRL"))</f>
        <v>BOY</v>
      </c>
      <c r="I406" s="28">
        <f>IF('Paste SD Data'!J403="","",'Paste SD Data'!J403)</f>
        <v>39213</v>
      </c>
      <c r="J406" s="34">
        <f t="shared" si="6"/>
        <v>832</v>
      </c>
      <c r="K406" s="29" t="str">
        <f>IF('Paste SD Data'!O403="","",'Paste SD Data'!O403)</f>
        <v>OBC</v>
      </c>
    </row>
    <row r="407" spans="1:11" ht="30" customHeight="1" x14ac:dyDescent="0.25">
      <c r="A407" s="25">
        <f>IF(Table1[[#This Row],[Name of Student]]="","",ROWS($A$1:A403))</f>
        <v>403</v>
      </c>
      <c r="B407" s="26">
        <f>IF('Paste SD Data'!A404="","",'Paste SD Data'!A404)</f>
        <v>10</v>
      </c>
      <c r="C407" s="26" t="str">
        <f>IF('Paste SD Data'!B404="","",'Paste SD Data'!B404)</f>
        <v>B</v>
      </c>
      <c r="D407" s="26">
        <f>IF('Paste SD Data'!C404="","",'Paste SD Data'!C404)</f>
        <v>13522</v>
      </c>
      <c r="E407" s="27" t="str">
        <f>IF('Paste SD Data'!E404="","",UPPER('Paste SD Data'!E404))</f>
        <v>TARU SINGH</v>
      </c>
      <c r="F407" s="27" t="str">
        <f>IF('Paste SD Data'!G404="","",UPPER('Paste SD Data'!G404))</f>
        <v>SHANKAR SINGH</v>
      </c>
      <c r="G407" s="27" t="str">
        <f>IF('Paste SD Data'!H404="","",UPPER('Paste SD Data'!H404))</f>
        <v>LEELA DEVI</v>
      </c>
      <c r="H407" s="26" t="str">
        <f>IF('Paste SD Data'!I404="","",IF('Paste SD Data'!I404="M","BOY","GIRL"))</f>
        <v>BOY</v>
      </c>
      <c r="I407" s="28">
        <f>IF('Paste SD Data'!J404="","",'Paste SD Data'!J404)</f>
        <v>39100</v>
      </c>
      <c r="J407" s="34">
        <f t="shared" si="6"/>
        <v>833</v>
      </c>
      <c r="K407" s="29" t="str">
        <f>IF('Paste SD Data'!O404="","",'Paste SD Data'!O404)</f>
        <v>OBC</v>
      </c>
    </row>
    <row r="408" spans="1:11" ht="30" customHeight="1" x14ac:dyDescent="0.25">
      <c r="A408" s="25">
        <f>IF(Table1[[#This Row],[Name of Student]]="","",ROWS($A$1:A404))</f>
        <v>404</v>
      </c>
      <c r="B408" s="26">
        <f>IF('Paste SD Data'!A405="","",'Paste SD Data'!A405)</f>
        <v>10</v>
      </c>
      <c r="C408" s="26" t="str">
        <f>IF('Paste SD Data'!B405="","",'Paste SD Data'!B405)</f>
        <v>B</v>
      </c>
      <c r="D408" s="26">
        <f>IF('Paste SD Data'!C405="","",'Paste SD Data'!C405)</f>
        <v>13686</v>
      </c>
      <c r="E408" s="27" t="str">
        <f>IF('Paste SD Data'!E405="","",UPPER('Paste SD Data'!E405))</f>
        <v>TARU SINGH</v>
      </c>
      <c r="F408" s="27" t="str">
        <f>IF('Paste SD Data'!G405="","",UPPER('Paste SD Data'!G405))</f>
        <v>RAJU SINGH</v>
      </c>
      <c r="G408" s="27" t="str">
        <f>IF('Paste SD Data'!H405="","",UPPER('Paste SD Data'!H405))</f>
        <v>SANTOSHI DEVI</v>
      </c>
      <c r="H408" s="26" t="str">
        <f>IF('Paste SD Data'!I405="","",IF('Paste SD Data'!I405="M","BOY","GIRL"))</f>
        <v>BOY</v>
      </c>
      <c r="I408" s="28">
        <f>IF('Paste SD Data'!J405="","",'Paste SD Data'!J405)</f>
        <v>39205</v>
      </c>
      <c r="J408" s="34">
        <f t="shared" si="6"/>
        <v>834</v>
      </c>
      <c r="K408" s="29" t="str">
        <f>IF('Paste SD Data'!O405="","",'Paste SD Data'!O405)</f>
        <v>OBC</v>
      </c>
    </row>
    <row r="409" spans="1:11" ht="30" customHeight="1" x14ac:dyDescent="0.25">
      <c r="A409" s="25">
        <f>IF(Table1[[#This Row],[Name of Student]]="","",ROWS($A$1:A405))</f>
        <v>405</v>
      </c>
      <c r="B409" s="26">
        <f>IF('Paste SD Data'!A406="","",'Paste SD Data'!A406)</f>
        <v>10</v>
      </c>
      <c r="C409" s="26" t="str">
        <f>IF('Paste SD Data'!B406="","",'Paste SD Data'!B406)</f>
        <v>B</v>
      </c>
      <c r="D409" s="26">
        <f>IF('Paste SD Data'!C406="","",'Paste SD Data'!C406)</f>
        <v>13555</v>
      </c>
      <c r="E409" s="27" t="str">
        <f>IF('Paste SD Data'!E406="","",UPPER('Paste SD Data'!E406))</f>
        <v>TARUN SINGH</v>
      </c>
      <c r="F409" s="27" t="str">
        <f>IF('Paste SD Data'!G406="","",UPPER('Paste SD Data'!G406))</f>
        <v>BHANWAR SINGH</v>
      </c>
      <c r="G409" s="27" t="str">
        <f>IF('Paste SD Data'!H406="","",UPPER('Paste SD Data'!H406))</f>
        <v>PINKI KANWAR</v>
      </c>
      <c r="H409" s="26" t="str">
        <f>IF('Paste SD Data'!I406="","",IF('Paste SD Data'!I406="M","BOY","GIRL"))</f>
        <v>BOY</v>
      </c>
      <c r="I409" s="28">
        <f>IF('Paste SD Data'!J406="","",'Paste SD Data'!J406)</f>
        <v>38457</v>
      </c>
      <c r="J409" s="34">
        <f t="shared" si="6"/>
        <v>835</v>
      </c>
      <c r="K409" s="29" t="str">
        <f>IF('Paste SD Data'!O406="","",'Paste SD Data'!O406)</f>
        <v>OBC</v>
      </c>
    </row>
    <row r="410" spans="1:11" ht="30" customHeight="1" x14ac:dyDescent="0.25">
      <c r="A410" s="25">
        <f>IF(Table1[[#This Row],[Name of Student]]="","",ROWS($A$1:A406))</f>
        <v>406</v>
      </c>
      <c r="B410" s="26">
        <f>IF('Paste SD Data'!A407="","",'Paste SD Data'!A407)</f>
        <v>10</v>
      </c>
      <c r="C410" s="26" t="str">
        <f>IF('Paste SD Data'!B407="","",'Paste SD Data'!B407)</f>
        <v>B</v>
      </c>
      <c r="D410" s="26">
        <f>IF('Paste SD Data'!C407="","",'Paste SD Data'!C407)</f>
        <v>13592</v>
      </c>
      <c r="E410" s="27" t="str">
        <f>IF('Paste SD Data'!E407="","",UPPER('Paste SD Data'!E407))</f>
        <v>TEJPAL SINGH</v>
      </c>
      <c r="F410" s="27" t="str">
        <f>IF('Paste SD Data'!G407="","",UPPER('Paste SD Data'!G407))</f>
        <v>GOPAL SINGH</v>
      </c>
      <c r="G410" s="27" t="str">
        <f>IF('Paste SD Data'!H407="","",UPPER('Paste SD Data'!H407))</f>
        <v>TARA DEVI</v>
      </c>
      <c r="H410" s="26" t="str">
        <f>IF('Paste SD Data'!I407="","",IF('Paste SD Data'!I407="M","BOY","GIRL"))</f>
        <v>BOY</v>
      </c>
      <c r="I410" s="28">
        <f>IF('Paste SD Data'!J407="","",'Paste SD Data'!J407)</f>
        <v>38908</v>
      </c>
      <c r="J410" s="34">
        <f t="shared" si="6"/>
        <v>836</v>
      </c>
      <c r="K410" s="29" t="str">
        <f>IF('Paste SD Data'!O407="","",'Paste SD Data'!O407)</f>
        <v>GEN</v>
      </c>
    </row>
    <row r="411" spans="1:11" ht="30" customHeight="1" x14ac:dyDescent="0.25">
      <c r="A411" s="25">
        <f>IF(Table1[[#This Row],[Name of Student]]="","",ROWS($A$1:A407))</f>
        <v>407</v>
      </c>
      <c r="B411" s="26">
        <f>IF('Paste SD Data'!A408="","",'Paste SD Data'!A408)</f>
        <v>10</v>
      </c>
      <c r="C411" s="26" t="str">
        <f>IF('Paste SD Data'!B408="","",'Paste SD Data'!B408)</f>
        <v>B</v>
      </c>
      <c r="D411" s="26">
        <f>IF('Paste SD Data'!C408="","",'Paste SD Data'!C408)</f>
        <v>13872</v>
      </c>
      <c r="E411" s="27" t="str">
        <f>IF('Paste SD Data'!E408="","",UPPER('Paste SD Data'!E408))</f>
        <v>TOSHIF KHAN</v>
      </c>
      <c r="F411" s="27" t="str">
        <f>IF('Paste SD Data'!G408="","",UPPER('Paste SD Data'!G408))</f>
        <v>SHABIR KHAN</v>
      </c>
      <c r="G411" s="27" t="str">
        <f>IF('Paste SD Data'!H408="","",UPPER('Paste SD Data'!H408))</f>
        <v>PRAVEEN BANU</v>
      </c>
      <c r="H411" s="26" t="str">
        <f>IF('Paste SD Data'!I408="","",IF('Paste SD Data'!I408="M","BOY","GIRL"))</f>
        <v>BOY</v>
      </c>
      <c r="I411" s="28">
        <f>IF('Paste SD Data'!J408="","",'Paste SD Data'!J408)</f>
        <v>39118</v>
      </c>
      <c r="J411" s="34">
        <f t="shared" si="6"/>
        <v>837</v>
      </c>
      <c r="K411" s="29" t="str">
        <f>IF('Paste SD Data'!O408="","",'Paste SD Data'!O408)</f>
        <v>GEN</v>
      </c>
    </row>
    <row r="412" spans="1:11" ht="30" customHeight="1" x14ac:dyDescent="0.25">
      <c r="A412" s="25">
        <f>IF(Table1[[#This Row],[Name of Student]]="","",ROWS($A$1:A408))</f>
        <v>408</v>
      </c>
      <c r="B412" s="26">
        <f>IF('Paste SD Data'!A409="","",'Paste SD Data'!A409)</f>
        <v>10</v>
      </c>
      <c r="C412" s="26" t="str">
        <f>IF('Paste SD Data'!B409="","",'Paste SD Data'!B409)</f>
        <v>B</v>
      </c>
      <c r="D412" s="26">
        <f>IF('Paste SD Data'!C409="","",'Paste SD Data'!C409)</f>
        <v>13772</v>
      </c>
      <c r="E412" s="27" t="str">
        <f>IF('Paste SD Data'!E409="","",UPPER('Paste SD Data'!E409))</f>
        <v>USMAN HARUN</v>
      </c>
      <c r="F412" s="27" t="str">
        <f>IF('Paste SD Data'!G409="","",UPPER('Paste SD Data'!G409))</f>
        <v>ASLAM MOHAMMAD</v>
      </c>
      <c r="G412" s="27" t="str">
        <f>IF('Paste SD Data'!H409="","",UPPER('Paste SD Data'!H409))</f>
        <v>RIZWANA BANU</v>
      </c>
      <c r="H412" s="26" t="str">
        <f>IF('Paste SD Data'!I409="","",IF('Paste SD Data'!I409="M","BOY","GIRL"))</f>
        <v>BOY</v>
      </c>
      <c r="I412" s="28">
        <f>IF('Paste SD Data'!J409="","",'Paste SD Data'!J409)</f>
        <v>38873</v>
      </c>
      <c r="J412" s="34">
        <f t="shared" si="6"/>
        <v>838</v>
      </c>
      <c r="K412" s="29" t="str">
        <f>IF('Paste SD Data'!O409="","",'Paste SD Data'!O409)</f>
        <v>OBC</v>
      </c>
    </row>
    <row r="413" spans="1:11" ht="30" customHeight="1" x14ac:dyDescent="0.25">
      <c r="A413" s="25">
        <f>IF(Table1[[#This Row],[Name of Student]]="","",ROWS($A$1:A409))</f>
        <v>409</v>
      </c>
      <c r="B413" s="26">
        <f>IF('Paste SD Data'!A410="","",'Paste SD Data'!A410)</f>
        <v>10</v>
      </c>
      <c r="C413" s="26" t="str">
        <f>IF('Paste SD Data'!B410="","",'Paste SD Data'!B410)</f>
        <v>B</v>
      </c>
      <c r="D413" s="26">
        <f>IF('Paste SD Data'!C410="","",'Paste SD Data'!C410)</f>
        <v>13450</v>
      </c>
      <c r="E413" s="27" t="str">
        <f>IF('Paste SD Data'!E410="","",UPPER('Paste SD Data'!E410))</f>
        <v>VIJENDRA SINGH RAWAT</v>
      </c>
      <c r="F413" s="27" t="str">
        <f>IF('Paste SD Data'!G410="","",UPPER('Paste SD Data'!G410))</f>
        <v>DOULAT SINGH RAWAT</v>
      </c>
      <c r="G413" s="27" t="str">
        <f>IF('Paste SD Data'!H410="","",UPPER('Paste SD Data'!H410))</f>
        <v>MINA DEVI</v>
      </c>
      <c r="H413" s="26" t="str">
        <f>IF('Paste SD Data'!I410="","",IF('Paste SD Data'!I410="M","BOY","GIRL"))</f>
        <v>BOY</v>
      </c>
      <c r="I413" s="28">
        <f>IF('Paste SD Data'!J410="","",'Paste SD Data'!J410)</f>
        <v>38509</v>
      </c>
      <c r="J413" s="34">
        <f t="shared" si="6"/>
        <v>839</v>
      </c>
      <c r="K413" s="29" t="str">
        <f>IF('Paste SD Data'!O410="","",'Paste SD Data'!O410)</f>
        <v>OBC</v>
      </c>
    </row>
    <row r="414" spans="1:11" ht="30" customHeight="1" x14ac:dyDescent="0.25">
      <c r="A414" s="25">
        <f>IF(Table1[[#This Row],[Name of Student]]="","",ROWS($A$1:A410))</f>
        <v>410</v>
      </c>
      <c r="B414" s="26">
        <f>IF('Paste SD Data'!A411="","",'Paste SD Data'!A411)</f>
        <v>10</v>
      </c>
      <c r="C414" s="26" t="str">
        <f>IF('Paste SD Data'!B411="","",'Paste SD Data'!B411)</f>
        <v>B</v>
      </c>
      <c r="D414" s="26">
        <f>IF('Paste SD Data'!C411="","",'Paste SD Data'!C411)</f>
        <v>13454</v>
      </c>
      <c r="E414" s="27" t="str">
        <f>IF('Paste SD Data'!E411="","",UPPER('Paste SD Data'!E411))</f>
        <v>VINOD SALVI</v>
      </c>
      <c r="F414" s="27" t="str">
        <f>IF('Paste SD Data'!G411="","",UPPER('Paste SD Data'!G411))</f>
        <v>BHANWAR LAL SALVI</v>
      </c>
      <c r="G414" s="27" t="str">
        <f>IF('Paste SD Data'!H411="","",UPPER('Paste SD Data'!H411))</f>
        <v>VIMLA SALVI</v>
      </c>
      <c r="H414" s="26" t="str">
        <f>IF('Paste SD Data'!I411="","",IF('Paste SD Data'!I411="M","BOY","GIRL"))</f>
        <v>BOY</v>
      </c>
      <c r="I414" s="28">
        <f>IF('Paste SD Data'!J411="","",'Paste SD Data'!J411)</f>
        <v>38593</v>
      </c>
      <c r="J414" s="34">
        <f t="shared" si="6"/>
        <v>840</v>
      </c>
      <c r="K414" s="29" t="str">
        <f>IF('Paste SD Data'!O411="","",'Paste SD Data'!O411)</f>
        <v>SC</v>
      </c>
    </row>
    <row r="415" spans="1:11" ht="30" customHeight="1" x14ac:dyDescent="0.25">
      <c r="A415" s="25">
        <f>IF(Table1[[#This Row],[Name of Student]]="","",ROWS($A$1:A411))</f>
        <v>411</v>
      </c>
      <c r="B415" s="26">
        <f>IF('Paste SD Data'!A412="","",'Paste SD Data'!A412)</f>
        <v>10</v>
      </c>
      <c r="C415" s="26" t="str">
        <f>IF('Paste SD Data'!B412="","",'Paste SD Data'!B412)</f>
        <v>B</v>
      </c>
      <c r="D415" s="26">
        <f>IF('Paste SD Data'!C412="","",'Paste SD Data'!C412)</f>
        <v>13525</v>
      </c>
      <c r="E415" s="27" t="str">
        <f>IF('Paste SD Data'!E412="","",UPPER('Paste SD Data'!E412))</f>
        <v>VIRENDRA GAWARIYA</v>
      </c>
      <c r="F415" s="27" t="str">
        <f>IF('Paste SD Data'!G412="","",UPPER('Paste SD Data'!G412))</f>
        <v>HEMRAJ GAWARIYA</v>
      </c>
      <c r="G415" s="27" t="str">
        <f>IF('Paste SD Data'!H412="","",UPPER('Paste SD Data'!H412))</f>
        <v>SITA DEVI</v>
      </c>
      <c r="H415" s="26" t="str">
        <f>IF('Paste SD Data'!I412="","",IF('Paste SD Data'!I412="M","BOY","GIRL"))</f>
        <v>BOY</v>
      </c>
      <c r="I415" s="28">
        <f>IF('Paste SD Data'!J412="","",'Paste SD Data'!J412)</f>
        <v>38689</v>
      </c>
      <c r="J415" s="34">
        <f t="shared" si="6"/>
        <v>841</v>
      </c>
      <c r="K415" s="29" t="str">
        <f>IF('Paste SD Data'!O412="","",'Paste SD Data'!O412)</f>
        <v>SC</v>
      </c>
    </row>
    <row r="416" spans="1:11" ht="30" customHeight="1" x14ac:dyDescent="0.25">
      <c r="A416" s="25">
        <f>IF(Table1[[#This Row],[Name of Student]]="","",ROWS($A$1:A412))</f>
        <v>412</v>
      </c>
      <c r="B416" s="26">
        <f>IF('Paste SD Data'!A413="","",'Paste SD Data'!A413)</f>
        <v>10</v>
      </c>
      <c r="C416" s="26" t="str">
        <f>IF('Paste SD Data'!B413="","",'Paste SD Data'!B413)</f>
        <v>B</v>
      </c>
      <c r="D416" s="26">
        <f>IF('Paste SD Data'!C413="","",'Paste SD Data'!C413)</f>
        <v>13572</v>
      </c>
      <c r="E416" s="27" t="str">
        <f>IF('Paste SD Data'!E413="","",UPPER('Paste SD Data'!E413))</f>
        <v>VIRENDRA SINGH</v>
      </c>
      <c r="F416" s="27" t="str">
        <f>IF('Paste SD Data'!G413="","",UPPER('Paste SD Data'!G413))</f>
        <v>PARBHU SINGH</v>
      </c>
      <c r="G416" s="27" t="str">
        <f>IF('Paste SD Data'!H413="","",UPPER('Paste SD Data'!H413))</f>
        <v>DEVI BAI</v>
      </c>
      <c r="H416" s="26" t="str">
        <f>IF('Paste SD Data'!I413="","",IF('Paste SD Data'!I413="M","BOY","GIRL"))</f>
        <v>BOY</v>
      </c>
      <c r="I416" s="28">
        <f>IF('Paste SD Data'!J413="","",'Paste SD Data'!J413)</f>
        <v>39270</v>
      </c>
      <c r="J416" s="34">
        <f t="shared" si="6"/>
        <v>842</v>
      </c>
      <c r="K416" s="29" t="str">
        <f>IF('Paste SD Data'!O413="","",'Paste SD Data'!O413)</f>
        <v>OBC</v>
      </c>
    </row>
    <row r="417" spans="1:11" ht="30" customHeight="1" x14ac:dyDescent="0.25">
      <c r="A417" s="25">
        <f>IF(Table1[[#This Row],[Name of Student]]="","",ROWS($A$1:A413))</f>
        <v>413</v>
      </c>
      <c r="B417" s="26">
        <f>IF('Paste SD Data'!A414="","",'Paste SD Data'!A414)</f>
        <v>10</v>
      </c>
      <c r="C417" s="26" t="str">
        <f>IF('Paste SD Data'!B414="","",'Paste SD Data'!B414)</f>
        <v>B</v>
      </c>
      <c r="D417" s="26">
        <f>IF('Paste SD Data'!C414="","",'Paste SD Data'!C414)</f>
        <v>13741</v>
      </c>
      <c r="E417" s="27" t="str">
        <f>IF('Paste SD Data'!E414="","",UPPER('Paste SD Data'!E414))</f>
        <v>VISHAL SONI</v>
      </c>
      <c r="F417" s="27" t="str">
        <f>IF('Paste SD Data'!G414="","",UPPER('Paste SD Data'!G414))</f>
        <v>DAL CHAND SONI</v>
      </c>
      <c r="G417" s="27" t="str">
        <f>IF('Paste SD Data'!H414="","",UPPER('Paste SD Data'!H414))</f>
        <v>LAXMI DEVI</v>
      </c>
      <c r="H417" s="26" t="str">
        <f>IF('Paste SD Data'!I414="","",IF('Paste SD Data'!I414="M","BOY","GIRL"))</f>
        <v>BOY</v>
      </c>
      <c r="I417" s="28">
        <f>IF('Paste SD Data'!J414="","",'Paste SD Data'!J414)</f>
        <v>38592</v>
      </c>
      <c r="J417" s="34">
        <f t="shared" si="6"/>
        <v>843</v>
      </c>
      <c r="K417" s="29" t="str">
        <f>IF('Paste SD Data'!O414="","",'Paste SD Data'!O414)</f>
        <v>OBC</v>
      </c>
    </row>
    <row r="418" spans="1:11" ht="30" customHeight="1" x14ac:dyDescent="0.25">
      <c r="A418" s="25">
        <f>IF(Table1[[#This Row],[Name of Student]]="","",ROWS($A$1:A414))</f>
        <v>414</v>
      </c>
      <c r="B418" s="26">
        <f>IF('Paste SD Data'!A415="","",'Paste SD Data'!A415)</f>
        <v>10</v>
      </c>
      <c r="C418" s="26" t="str">
        <f>IF('Paste SD Data'!B415="","",'Paste SD Data'!B415)</f>
        <v>B</v>
      </c>
      <c r="D418" s="26">
        <f>IF('Paste SD Data'!C415="","",'Paste SD Data'!C415)</f>
        <v>13545</v>
      </c>
      <c r="E418" s="27" t="str">
        <f>IF('Paste SD Data'!E415="","",UPPER('Paste SD Data'!E415))</f>
        <v>YASHPAL SALVI</v>
      </c>
      <c r="F418" s="27" t="str">
        <f>IF('Paste SD Data'!G415="","",UPPER('Paste SD Data'!G415))</f>
        <v>JEEVA RAM SALVI</v>
      </c>
      <c r="G418" s="27" t="str">
        <f>IF('Paste SD Data'!H415="","",UPPER('Paste SD Data'!H415))</f>
        <v>DEU BAI</v>
      </c>
      <c r="H418" s="26" t="str">
        <f>IF('Paste SD Data'!I415="","",IF('Paste SD Data'!I415="M","BOY","GIRL"))</f>
        <v>BOY</v>
      </c>
      <c r="I418" s="28">
        <f>IF('Paste SD Data'!J415="","",'Paste SD Data'!J415)</f>
        <v>38219</v>
      </c>
      <c r="J418" s="34">
        <f t="shared" si="6"/>
        <v>844</v>
      </c>
      <c r="K418" s="29" t="str">
        <f>IF('Paste SD Data'!O415="","",'Paste SD Data'!O415)</f>
        <v>SC</v>
      </c>
    </row>
    <row r="419" spans="1:11" ht="30" customHeight="1" x14ac:dyDescent="0.25">
      <c r="A419" s="25">
        <f>IF(Table1[[#This Row],[Name of Student]]="","",ROWS($A$1:A415))</f>
        <v>415</v>
      </c>
      <c r="B419" s="26">
        <f>IF('Paste SD Data'!A416="","",'Paste SD Data'!A416)</f>
        <v>10</v>
      </c>
      <c r="C419" s="26" t="str">
        <f>IF('Paste SD Data'!B416="","",'Paste SD Data'!B416)</f>
        <v>B</v>
      </c>
      <c r="D419" s="26">
        <f>IF('Paste SD Data'!C416="","",'Paste SD Data'!C416)</f>
        <v>13513</v>
      </c>
      <c r="E419" s="27" t="str">
        <f>IF('Paste SD Data'!E416="","",UPPER('Paste SD Data'!E416))</f>
        <v>YUVRAJ SINGH RATHORE</v>
      </c>
      <c r="F419" s="27" t="str">
        <f>IF('Paste SD Data'!G416="","",UPPER('Paste SD Data'!G416))</f>
        <v>RAJENDRA SINGH RATHORE</v>
      </c>
      <c r="G419" s="27" t="str">
        <f>IF('Paste SD Data'!H416="","",UPPER('Paste SD Data'!H416))</f>
        <v>REKHA DEVI</v>
      </c>
      <c r="H419" s="26" t="str">
        <f>IF('Paste SD Data'!I416="","",IF('Paste SD Data'!I416="M","BOY","GIRL"))</f>
        <v>BOY</v>
      </c>
      <c r="I419" s="28">
        <f>IF('Paste SD Data'!J416="","",'Paste SD Data'!J416)</f>
        <v>39054</v>
      </c>
      <c r="J419" s="34">
        <f t="shared" si="6"/>
        <v>845</v>
      </c>
      <c r="K419" s="29" t="str">
        <f>IF('Paste SD Data'!O416="","",'Paste SD Data'!O416)</f>
        <v>OBC</v>
      </c>
    </row>
    <row r="420" spans="1:11" ht="30" customHeight="1" x14ac:dyDescent="0.25">
      <c r="A420" s="25">
        <f>IF(Table1[[#This Row],[Name of Student]]="","",ROWS($A$1:A416))</f>
        <v>416</v>
      </c>
      <c r="B420" s="26">
        <f>IF('Paste SD Data'!A417="","",'Paste SD Data'!A417)</f>
        <v>11</v>
      </c>
      <c r="C420" s="26" t="str">
        <f>IF('Paste SD Data'!B417="","",'Paste SD Data'!B417)</f>
        <v>A</v>
      </c>
      <c r="D420" s="26">
        <f>IF('Paste SD Data'!C417="","",'Paste SD Data'!C417)</f>
        <v>13863</v>
      </c>
      <c r="E420" s="27" t="str">
        <f>IF('Paste SD Data'!E417="","",UPPER('Paste SD Data'!E417))</f>
        <v>PUSHPA KALAL</v>
      </c>
      <c r="F420" s="27" t="str">
        <f>IF('Paste SD Data'!G417="","",UPPER('Paste SD Data'!G417))</f>
        <v>PURAN MAL</v>
      </c>
      <c r="G420" s="27" t="str">
        <f>IF('Paste SD Data'!H417="","",UPPER('Paste SD Data'!H417))</f>
        <v>ROSHANI DEVI</v>
      </c>
      <c r="H420" s="26" t="str">
        <f>IF('Paste SD Data'!I417="","",IF('Paste SD Data'!I417="M","BOY","GIRL"))</f>
        <v>GIRL</v>
      </c>
      <c r="I420" s="28">
        <f>IF('Paste SD Data'!J417="","",'Paste SD Data'!J417)</f>
        <v>37420</v>
      </c>
      <c r="J420" s="34">
        <f t="shared" si="6"/>
        <v>846</v>
      </c>
      <c r="K420" s="29" t="str">
        <f>IF('Paste SD Data'!O417="","",'Paste SD Data'!O417)</f>
        <v>OBC</v>
      </c>
    </row>
    <row r="421" spans="1:11" ht="30" customHeight="1" x14ac:dyDescent="0.25">
      <c r="A421" s="25">
        <f>IF(Table1[[#This Row],[Name of Student]]="","",ROWS($A$1:A417))</f>
        <v>417</v>
      </c>
      <c r="B421" s="26">
        <f>IF('Paste SD Data'!A418="","",'Paste SD Data'!A418)</f>
        <v>11</v>
      </c>
      <c r="C421" s="26" t="str">
        <f>IF('Paste SD Data'!B418="","",'Paste SD Data'!B418)</f>
        <v>A</v>
      </c>
      <c r="D421" s="26">
        <f>IF('Paste SD Data'!C418="","",'Paste SD Data'!C418)</f>
        <v>13936</v>
      </c>
      <c r="E421" s="27" t="str">
        <f>IF('Paste SD Data'!E418="","",UPPER('Paste SD Data'!E418))</f>
        <v>AAYAN MOHAMMAD</v>
      </c>
      <c r="F421" s="27" t="str">
        <f>IF('Paste SD Data'!G418="","",UPPER('Paste SD Data'!G418))</f>
        <v>RAMJAN MOHAMMAD</v>
      </c>
      <c r="G421" s="27" t="str">
        <f>IF('Paste SD Data'!H418="","",UPPER('Paste SD Data'!H418))</f>
        <v>REHANA BANU</v>
      </c>
      <c r="H421" s="26" t="str">
        <f>IF('Paste SD Data'!I418="","",IF('Paste SD Data'!I418="M","BOY","GIRL"))</f>
        <v>BOY</v>
      </c>
      <c r="I421" s="28">
        <f>IF('Paste SD Data'!J418="","",'Paste SD Data'!J418)</f>
        <v>38661</v>
      </c>
      <c r="J421" s="34">
        <f t="shared" si="6"/>
        <v>847</v>
      </c>
      <c r="K421" s="29" t="str">
        <f>IF('Paste SD Data'!O418="","",'Paste SD Data'!O418)</f>
        <v>OBC</v>
      </c>
    </row>
    <row r="422" spans="1:11" ht="30" customHeight="1" x14ac:dyDescent="0.25">
      <c r="A422" s="25">
        <f>IF(Table1[[#This Row],[Name of Student]]="","",ROWS($A$1:A418))</f>
        <v>418</v>
      </c>
      <c r="B422" s="26">
        <f>IF('Paste SD Data'!A419="","",'Paste SD Data'!A419)</f>
        <v>11</v>
      </c>
      <c r="C422" s="26" t="str">
        <f>IF('Paste SD Data'!B419="","",'Paste SD Data'!B419)</f>
        <v>A</v>
      </c>
      <c r="D422" s="26">
        <f>IF('Paste SD Data'!C419="","",'Paste SD Data'!C419)</f>
        <v>13969</v>
      </c>
      <c r="E422" s="27" t="str">
        <f>IF('Paste SD Data'!E419="","",UPPER('Paste SD Data'!E419))</f>
        <v>AJAYPAL SINGH</v>
      </c>
      <c r="F422" s="27" t="str">
        <f>IF('Paste SD Data'!G419="","",UPPER('Paste SD Data'!G419))</f>
        <v>SHANKAR SINGH</v>
      </c>
      <c r="G422" s="27" t="str">
        <f>IF('Paste SD Data'!H419="","",UPPER('Paste SD Data'!H419))</f>
        <v>RUKMANI DEVI</v>
      </c>
      <c r="H422" s="26" t="str">
        <f>IF('Paste SD Data'!I419="","",IF('Paste SD Data'!I419="M","BOY","GIRL"))</f>
        <v>BOY</v>
      </c>
      <c r="I422" s="28">
        <f>IF('Paste SD Data'!J419="","",'Paste SD Data'!J419)</f>
        <v>39052</v>
      </c>
      <c r="J422" s="34">
        <f t="shared" si="6"/>
        <v>848</v>
      </c>
      <c r="K422" s="29" t="str">
        <f>IF('Paste SD Data'!O419="","",'Paste SD Data'!O419)</f>
        <v>OBC</v>
      </c>
    </row>
    <row r="423" spans="1:11" ht="30" customHeight="1" x14ac:dyDescent="0.25">
      <c r="A423" s="25">
        <f>IF(Table1[[#This Row],[Name of Student]]="","",ROWS($A$1:A419))</f>
        <v>419</v>
      </c>
      <c r="B423" s="26">
        <f>IF('Paste SD Data'!A420="","",'Paste SD Data'!A420)</f>
        <v>11</v>
      </c>
      <c r="C423" s="26" t="str">
        <f>IF('Paste SD Data'!B420="","",'Paste SD Data'!B420)</f>
        <v>A</v>
      </c>
      <c r="D423" s="26">
        <f>IF('Paste SD Data'!C420="","",'Paste SD Data'!C420)</f>
        <v>13931</v>
      </c>
      <c r="E423" s="27" t="str">
        <f>IF('Paste SD Data'!E420="","",UPPER('Paste SD Data'!E420))</f>
        <v>ANAND SINGH</v>
      </c>
      <c r="F423" s="27" t="str">
        <f>IF('Paste SD Data'!G420="","",UPPER('Paste SD Data'!G420))</f>
        <v>BHANWAR SINGH</v>
      </c>
      <c r="G423" s="27" t="str">
        <f>IF('Paste SD Data'!H420="","",UPPER('Paste SD Data'!H420))</f>
        <v>CHANDRA DEVI</v>
      </c>
      <c r="H423" s="26" t="str">
        <f>IF('Paste SD Data'!I420="","",IF('Paste SD Data'!I420="M","BOY","GIRL"))</f>
        <v>BOY</v>
      </c>
      <c r="I423" s="28">
        <f>IF('Paste SD Data'!J420="","",'Paste SD Data'!J420)</f>
        <v>38913</v>
      </c>
      <c r="J423" s="34">
        <f t="shared" si="6"/>
        <v>849</v>
      </c>
      <c r="K423" s="29" t="str">
        <f>IF('Paste SD Data'!O420="","",'Paste SD Data'!O420)</f>
        <v>OBC</v>
      </c>
    </row>
    <row r="424" spans="1:11" ht="30" customHeight="1" x14ac:dyDescent="0.25">
      <c r="A424" s="25">
        <f>IF(Table1[[#This Row],[Name of Student]]="","",ROWS($A$1:A420))</f>
        <v>420</v>
      </c>
      <c r="B424" s="26">
        <f>IF('Paste SD Data'!A421="","",'Paste SD Data'!A421)</f>
        <v>11</v>
      </c>
      <c r="C424" s="26" t="str">
        <f>IF('Paste SD Data'!B421="","",'Paste SD Data'!B421)</f>
        <v>A</v>
      </c>
      <c r="D424" s="26">
        <f>IF('Paste SD Data'!C421="","",'Paste SD Data'!C421)</f>
        <v>13881</v>
      </c>
      <c r="E424" s="27" t="str">
        <f>IF('Paste SD Data'!E421="","",UPPER('Paste SD Data'!E421))</f>
        <v>ANKITA GAHLOT</v>
      </c>
      <c r="F424" s="27" t="str">
        <f>IF('Paste SD Data'!G421="","",UPPER('Paste SD Data'!G421))</f>
        <v>PUNAM SINGH</v>
      </c>
      <c r="G424" s="27" t="str">
        <f>IF('Paste SD Data'!H421="","",UPPER('Paste SD Data'!H421))</f>
        <v>LAXMI DEVI</v>
      </c>
      <c r="H424" s="26" t="str">
        <f>IF('Paste SD Data'!I421="","",IF('Paste SD Data'!I421="M","BOY","GIRL"))</f>
        <v>GIRL</v>
      </c>
      <c r="I424" s="28">
        <f>IF('Paste SD Data'!J421="","",'Paste SD Data'!J421)</f>
        <v>39159</v>
      </c>
      <c r="J424" s="34">
        <f t="shared" si="6"/>
        <v>850</v>
      </c>
      <c r="K424" s="29" t="str">
        <f>IF('Paste SD Data'!O421="","",'Paste SD Data'!O421)</f>
        <v>OBC</v>
      </c>
    </row>
    <row r="425" spans="1:11" ht="30" customHeight="1" x14ac:dyDescent="0.25">
      <c r="A425" s="25">
        <f>IF(Table1[[#This Row],[Name of Student]]="","",ROWS($A$1:A421))</f>
        <v>421</v>
      </c>
      <c r="B425" s="26">
        <f>IF('Paste SD Data'!A422="","",'Paste SD Data'!A422)</f>
        <v>11</v>
      </c>
      <c r="C425" s="26" t="str">
        <f>IF('Paste SD Data'!B422="","",'Paste SD Data'!B422)</f>
        <v>A</v>
      </c>
      <c r="D425" s="26">
        <f>IF('Paste SD Data'!C422="","",'Paste SD Data'!C422)</f>
        <v>13808</v>
      </c>
      <c r="E425" s="27" t="str">
        <f>IF('Paste SD Data'!E422="","",UPPER('Paste SD Data'!E422))</f>
        <v>ARPITA BHARTI</v>
      </c>
      <c r="F425" s="27" t="str">
        <f>IF('Paste SD Data'!G422="","",UPPER('Paste SD Data'!G422))</f>
        <v>NARESH KUMAR</v>
      </c>
      <c r="G425" s="27" t="str">
        <f>IF('Paste SD Data'!H422="","",UPPER('Paste SD Data'!H422))</f>
        <v>DURGA DEVI</v>
      </c>
      <c r="H425" s="26" t="str">
        <f>IF('Paste SD Data'!I422="","",IF('Paste SD Data'!I422="M","BOY","GIRL"))</f>
        <v>GIRL</v>
      </c>
      <c r="I425" s="28">
        <f>IF('Paste SD Data'!J422="","",'Paste SD Data'!J422)</f>
        <v>39047</v>
      </c>
      <c r="J425" s="34">
        <f t="shared" si="6"/>
        <v>851</v>
      </c>
      <c r="K425" s="29" t="str">
        <f>IF('Paste SD Data'!O422="","",'Paste SD Data'!O422)</f>
        <v>SC</v>
      </c>
    </row>
    <row r="426" spans="1:11" ht="30" customHeight="1" x14ac:dyDescent="0.25">
      <c r="A426" s="25">
        <f>IF(Table1[[#This Row],[Name of Student]]="","",ROWS($A$1:A422))</f>
        <v>422</v>
      </c>
      <c r="B426" s="26">
        <f>IF('Paste SD Data'!A423="","",'Paste SD Data'!A423)</f>
        <v>11</v>
      </c>
      <c r="C426" s="26" t="str">
        <f>IF('Paste SD Data'!B423="","",'Paste SD Data'!B423)</f>
        <v>A</v>
      </c>
      <c r="D426" s="26">
        <f>IF('Paste SD Data'!C423="","",'Paste SD Data'!C423)</f>
        <v>12626</v>
      </c>
      <c r="E426" s="27" t="str">
        <f>IF('Paste SD Data'!E423="","",UPPER('Paste SD Data'!E423))</f>
        <v>ARSIL HUSAIN</v>
      </c>
      <c r="F426" s="27" t="str">
        <f>IF('Paste SD Data'!G423="","",UPPER('Paste SD Data'!G423))</f>
        <v>MUZAMMIL HUSAIN</v>
      </c>
      <c r="G426" s="27" t="str">
        <f>IF('Paste SD Data'!H423="","",UPPER('Paste SD Data'!H423))</f>
        <v>RAFIYA PARVEEN</v>
      </c>
      <c r="H426" s="26" t="str">
        <f>IF('Paste SD Data'!I423="","",IF('Paste SD Data'!I423="M","BOY","GIRL"))</f>
        <v>BOY</v>
      </c>
      <c r="I426" s="28">
        <f>IF('Paste SD Data'!J423="","",'Paste SD Data'!J423)</f>
        <v>39083</v>
      </c>
      <c r="J426" s="34">
        <f t="shared" si="6"/>
        <v>852</v>
      </c>
      <c r="K426" s="29" t="str">
        <f>IF('Paste SD Data'!O423="","",'Paste SD Data'!O423)</f>
        <v>GEN</v>
      </c>
    </row>
    <row r="427" spans="1:11" ht="30" customHeight="1" x14ac:dyDescent="0.25">
      <c r="A427" s="25">
        <f>IF(Table1[[#This Row],[Name of Student]]="","",ROWS($A$1:A423))</f>
        <v>423</v>
      </c>
      <c r="B427" s="26">
        <f>IF('Paste SD Data'!A424="","",'Paste SD Data'!A424)</f>
        <v>11</v>
      </c>
      <c r="C427" s="26" t="str">
        <f>IF('Paste SD Data'!B424="","",'Paste SD Data'!B424)</f>
        <v>A</v>
      </c>
      <c r="D427" s="26">
        <f>IF('Paste SD Data'!C424="","",'Paste SD Data'!C424)</f>
        <v>13807</v>
      </c>
      <c r="E427" s="27" t="str">
        <f>IF('Paste SD Data'!E424="","",UPPER('Paste SD Data'!E424))</f>
        <v>BAJRANG VYAS</v>
      </c>
      <c r="F427" s="27" t="str">
        <f>IF('Paste SD Data'!G424="","",UPPER('Paste SD Data'!G424))</f>
        <v>PANNA LAL VYAS</v>
      </c>
      <c r="G427" s="27" t="str">
        <f>IF('Paste SD Data'!H424="","",UPPER('Paste SD Data'!H424))</f>
        <v>MEENA VYAS</v>
      </c>
      <c r="H427" s="26" t="str">
        <f>IF('Paste SD Data'!I424="","",IF('Paste SD Data'!I424="M","BOY","GIRL"))</f>
        <v>BOY</v>
      </c>
      <c r="I427" s="28">
        <f>IF('Paste SD Data'!J424="","",'Paste SD Data'!J424)</f>
        <v>38623</v>
      </c>
      <c r="J427" s="34">
        <f t="shared" si="6"/>
        <v>853</v>
      </c>
      <c r="K427" s="29" t="str">
        <f>IF('Paste SD Data'!O424="","",'Paste SD Data'!O424)</f>
        <v>GEN</v>
      </c>
    </row>
    <row r="428" spans="1:11" ht="30" customHeight="1" x14ac:dyDescent="0.25">
      <c r="A428" s="25">
        <f>IF(Table1[[#This Row],[Name of Student]]="","",ROWS($A$1:A424))</f>
        <v>424</v>
      </c>
      <c r="B428" s="26">
        <f>IF('Paste SD Data'!A425="","",'Paste SD Data'!A425)</f>
        <v>11</v>
      </c>
      <c r="C428" s="26" t="str">
        <f>IF('Paste SD Data'!B425="","",'Paste SD Data'!B425)</f>
        <v>A</v>
      </c>
      <c r="D428" s="26">
        <f>IF('Paste SD Data'!C425="","",'Paste SD Data'!C425)</f>
        <v>13239</v>
      </c>
      <c r="E428" s="27" t="str">
        <f>IF('Paste SD Data'!E425="","",UPPER('Paste SD Data'!E425))</f>
        <v>BHAVESH KUMAR GURJAR</v>
      </c>
      <c r="F428" s="27" t="str">
        <f>IF('Paste SD Data'!G425="","",UPPER('Paste SD Data'!G425))</f>
        <v>PRAKASH CHANDRA GURJAR</v>
      </c>
      <c r="G428" s="27" t="str">
        <f>IF('Paste SD Data'!H425="","",UPPER('Paste SD Data'!H425))</f>
        <v>PREMI DEVI</v>
      </c>
      <c r="H428" s="26" t="str">
        <f>IF('Paste SD Data'!I425="","",IF('Paste SD Data'!I425="M","BOY","GIRL"))</f>
        <v>BOY</v>
      </c>
      <c r="I428" s="28">
        <f>IF('Paste SD Data'!J425="","",'Paste SD Data'!J425)</f>
        <v>39017</v>
      </c>
      <c r="J428" s="34">
        <f t="shared" si="6"/>
        <v>854</v>
      </c>
      <c r="K428" s="29" t="str">
        <f>IF('Paste SD Data'!O425="","",'Paste SD Data'!O425)</f>
        <v>SBC</v>
      </c>
    </row>
    <row r="429" spans="1:11" ht="30" customHeight="1" x14ac:dyDescent="0.25">
      <c r="A429" s="25">
        <f>IF(Table1[[#This Row],[Name of Student]]="","",ROWS($A$1:A425))</f>
        <v>425</v>
      </c>
      <c r="B429" s="26">
        <f>IF('Paste SD Data'!A426="","",'Paste SD Data'!A426)</f>
        <v>11</v>
      </c>
      <c r="C429" s="26" t="str">
        <f>IF('Paste SD Data'!B426="","",'Paste SD Data'!B426)</f>
        <v>A</v>
      </c>
      <c r="D429" s="26">
        <f>IF('Paste SD Data'!C426="","",'Paste SD Data'!C426)</f>
        <v>13980</v>
      </c>
      <c r="E429" s="27" t="str">
        <f>IF('Paste SD Data'!E426="","",UPPER('Paste SD Data'!E426))</f>
        <v>CHANDRAMUKHI</v>
      </c>
      <c r="F429" s="27" t="str">
        <f>IF('Paste SD Data'!G426="","",UPPER('Paste SD Data'!G426))</f>
        <v>BALAKRAM MORODIYA</v>
      </c>
      <c r="G429" s="27" t="str">
        <f>IF('Paste SD Data'!H426="","",UPPER('Paste SD Data'!H426))</f>
        <v>PINKI AARYA</v>
      </c>
      <c r="H429" s="26" t="str">
        <f>IF('Paste SD Data'!I426="","",IF('Paste SD Data'!I426="M","BOY","GIRL"))</f>
        <v>GIRL</v>
      </c>
      <c r="I429" s="28">
        <f>IF('Paste SD Data'!J426="","",'Paste SD Data'!J426)</f>
        <v>38969</v>
      </c>
      <c r="J429" s="34">
        <f t="shared" si="6"/>
        <v>855</v>
      </c>
      <c r="K429" s="29" t="str">
        <f>IF('Paste SD Data'!O426="","",'Paste SD Data'!O426)</f>
        <v>SC</v>
      </c>
    </row>
    <row r="430" spans="1:11" ht="30" customHeight="1" x14ac:dyDescent="0.25">
      <c r="A430" s="25">
        <f>IF(Table1[[#This Row],[Name of Student]]="","",ROWS($A$1:A426))</f>
        <v>426</v>
      </c>
      <c r="B430" s="26">
        <f>IF('Paste SD Data'!A427="","",'Paste SD Data'!A427)</f>
        <v>11</v>
      </c>
      <c r="C430" s="26" t="str">
        <f>IF('Paste SD Data'!B427="","",'Paste SD Data'!B427)</f>
        <v>A</v>
      </c>
      <c r="D430" s="26">
        <f>IF('Paste SD Data'!C427="","",'Paste SD Data'!C427)</f>
        <v>13929</v>
      </c>
      <c r="E430" s="27" t="str">
        <f>IF('Paste SD Data'!E427="","",UPPER('Paste SD Data'!E427))</f>
        <v>CHIRAG SALVI</v>
      </c>
      <c r="F430" s="27" t="str">
        <f>IF('Paste SD Data'!G427="","",UPPER('Paste SD Data'!G427))</f>
        <v>DEVI LAL SALVI</v>
      </c>
      <c r="G430" s="27" t="str">
        <f>IF('Paste SD Data'!H427="","",UPPER('Paste SD Data'!H427))</f>
        <v>SHANTA DEVI</v>
      </c>
      <c r="H430" s="26" t="str">
        <f>IF('Paste SD Data'!I427="","",IF('Paste SD Data'!I427="M","BOY","GIRL"))</f>
        <v>BOY</v>
      </c>
      <c r="I430" s="28">
        <f>IF('Paste SD Data'!J427="","",'Paste SD Data'!J427)</f>
        <v>38378</v>
      </c>
      <c r="J430" s="34">
        <f t="shared" si="6"/>
        <v>856</v>
      </c>
      <c r="K430" s="29" t="str">
        <f>IF('Paste SD Data'!O427="","",'Paste SD Data'!O427)</f>
        <v>SC</v>
      </c>
    </row>
    <row r="431" spans="1:11" ht="30" customHeight="1" x14ac:dyDescent="0.25">
      <c r="A431" s="25">
        <f>IF(Table1[[#This Row],[Name of Student]]="","",ROWS($A$1:A427))</f>
        <v>427</v>
      </c>
      <c r="B431" s="26">
        <f>IF('Paste SD Data'!A428="","",'Paste SD Data'!A428)</f>
        <v>11</v>
      </c>
      <c r="C431" s="26" t="str">
        <f>IF('Paste SD Data'!B428="","",'Paste SD Data'!B428)</f>
        <v>A</v>
      </c>
      <c r="D431" s="26">
        <f>IF('Paste SD Data'!C428="","",'Paste SD Data'!C428)</f>
        <v>13816</v>
      </c>
      <c r="E431" s="27" t="str">
        <f>IF('Paste SD Data'!E428="","",UPPER('Paste SD Data'!E428))</f>
        <v>DASHRATH REGAR</v>
      </c>
      <c r="F431" s="27" t="str">
        <f>IF('Paste SD Data'!G428="","",UPPER('Paste SD Data'!G428))</f>
        <v>SHESH MAL REGAR</v>
      </c>
      <c r="G431" s="27" t="str">
        <f>IF('Paste SD Data'!H428="","",UPPER('Paste SD Data'!H428))</f>
        <v>KASTURI DEVI</v>
      </c>
      <c r="H431" s="26" t="str">
        <f>IF('Paste SD Data'!I428="","",IF('Paste SD Data'!I428="M","BOY","GIRL"))</f>
        <v>BOY</v>
      </c>
      <c r="I431" s="28">
        <f>IF('Paste SD Data'!J428="","",'Paste SD Data'!J428)</f>
        <v>38746</v>
      </c>
      <c r="J431" s="34">
        <f t="shared" si="6"/>
        <v>857</v>
      </c>
      <c r="K431" s="29" t="str">
        <f>IF('Paste SD Data'!O428="","",'Paste SD Data'!O428)</f>
        <v>SC</v>
      </c>
    </row>
    <row r="432" spans="1:11" ht="30" customHeight="1" x14ac:dyDescent="0.25">
      <c r="A432" s="25">
        <f>IF(Table1[[#This Row],[Name of Student]]="","",ROWS($A$1:A428))</f>
        <v>428</v>
      </c>
      <c r="B432" s="26">
        <f>IF('Paste SD Data'!A429="","",'Paste SD Data'!A429)</f>
        <v>11</v>
      </c>
      <c r="C432" s="26" t="str">
        <f>IF('Paste SD Data'!B429="","",'Paste SD Data'!B429)</f>
        <v>A</v>
      </c>
      <c r="D432" s="26">
        <f>IF('Paste SD Data'!C429="","",'Paste SD Data'!C429)</f>
        <v>13959</v>
      </c>
      <c r="E432" s="27" t="str">
        <f>IF('Paste SD Data'!E429="","",UPPER('Paste SD Data'!E429))</f>
        <v>DEVA GURJAR</v>
      </c>
      <c r="F432" s="27" t="str">
        <f>IF('Paste SD Data'!G429="","",UPPER('Paste SD Data'!G429))</f>
        <v>VALU GURJAR</v>
      </c>
      <c r="G432" s="27" t="str">
        <f>IF('Paste SD Data'!H429="","",UPPER('Paste SD Data'!H429))</f>
        <v>BHANWARI DEVI</v>
      </c>
      <c r="H432" s="26" t="str">
        <f>IF('Paste SD Data'!I429="","",IF('Paste SD Data'!I429="M","BOY","GIRL"))</f>
        <v>BOY</v>
      </c>
      <c r="I432" s="28">
        <f>IF('Paste SD Data'!J429="","",'Paste SD Data'!J429)</f>
        <v>38455</v>
      </c>
      <c r="J432" s="34">
        <f t="shared" si="6"/>
        <v>858</v>
      </c>
      <c r="K432" s="29" t="str">
        <f>IF('Paste SD Data'!O429="","",'Paste SD Data'!O429)</f>
        <v>SBC</v>
      </c>
    </row>
    <row r="433" spans="1:11" ht="30" customHeight="1" x14ac:dyDescent="0.25">
      <c r="A433" s="25">
        <f>IF(Table1[[#This Row],[Name of Student]]="","",ROWS($A$1:A429))</f>
        <v>429</v>
      </c>
      <c r="B433" s="26">
        <f>IF('Paste SD Data'!A430="","",'Paste SD Data'!A430)</f>
        <v>11</v>
      </c>
      <c r="C433" s="26" t="str">
        <f>IF('Paste SD Data'!B430="","",'Paste SD Data'!B430)</f>
        <v>A</v>
      </c>
      <c r="D433" s="26">
        <f>IF('Paste SD Data'!C430="","",'Paste SD Data'!C430)</f>
        <v>13828</v>
      </c>
      <c r="E433" s="27" t="str">
        <f>IF('Paste SD Data'!E430="","",UPPER('Paste SD Data'!E430))</f>
        <v>DEVENDRA KUMAR KHATIK</v>
      </c>
      <c r="F433" s="27" t="str">
        <f>IF('Paste SD Data'!G430="","",UPPER('Paste SD Data'!G430))</f>
        <v>PURAN MAL</v>
      </c>
      <c r="G433" s="27" t="str">
        <f>IF('Paste SD Data'!H430="","",UPPER('Paste SD Data'!H430))</f>
        <v>TULSI DEVI</v>
      </c>
      <c r="H433" s="26" t="str">
        <f>IF('Paste SD Data'!I430="","",IF('Paste SD Data'!I430="M","BOY","GIRL"))</f>
        <v>BOY</v>
      </c>
      <c r="I433" s="28">
        <f>IF('Paste SD Data'!J430="","",'Paste SD Data'!J430)</f>
        <v>38778</v>
      </c>
      <c r="J433" s="34">
        <f t="shared" si="6"/>
        <v>859</v>
      </c>
      <c r="K433" s="29" t="str">
        <f>IF('Paste SD Data'!O430="","",'Paste SD Data'!O430)</f>
        <v>SC</v>
      </c>
    </row>
    <row r="434" spans="1:11" ht="30" customHeight="1" x14ac:dyDescent="0.25">
      <c r="A434" s="25">
        <f>IF(Table1[[#This Row],[Name of Student]]="","",ROWS($A$1:A430))</f>
        <v>430</v>
      </c>
      <c r="B434" s="26">
        <f>IF('Paste SD Data'!A431="","",'Paste SD Data'!A431)</f>
        <v>11</v>
      </c>
      <c r="C434" s="26" t="str">
        <f>IF('Paste SD Data'!B431="","",'Paste SD Data'!B431)</f>
        <v>A</v>
      </c>
      <c r="D434" s="26">
        <f>IF('Paste SD Data'!C431="","",'Paste SD Data'!C431)</f>
        <v>13725</v>
      </c>
      <c r="E434" s="27" t="str">
        <f>IF('Paste SD Data'!E431="","",UPPER('Paste SD Data'!E431))</f>
        <v>DHARMENDRA SINGH</v>
      </c>
      <c r="F434" s="27" t="str">
        <f>IF('Paste SD Data'!G431="","",UPPER('Paste SD Data'!G431))</f>
        <v>SOHAN SINGH</v>
      </c>
      <c r="G434" s="27" t="str">
        <f>IF('Paste SD Data'!H431="","",UPPER('Paste SD Data'!H431))</f>
        <v>RAMU DEVI</v>
      </c>
      <c r="H434" s="26" t="str">
        <f>IF('Paste SD Data'!I431="","",IF('Paste SD Data'!I431="M","BOY","GIRL"))</f>
        <v>BOY</v>
      </c>
      <c r="I434" s="28">
        <f>IF('Paste SD Data'!J431="","",'Paste SD Data'!J431)</f>
        <v>38120</v>
      </c>
      <c r="J434" s="34">
        <f t="shared" si="6"/>
        <v>860</v>
      </c>
      <c r="K434" s="29" t="str">
        <f>IF('Paste SD Data'!O431="","",'Paste SD Data'!O431)</f>
        <v>OBC</v>
      </c>
    </row>
    <row r="435" spans="1:11" ht="30" customHeight="1" x14ac:dyDescent="0.25">
      <c r="A435" s="25">
        <f>IF(Table1[[#This Row],[Name of Student]]="","",ROWS($A$1:A431))</f>
        <v>431</v>
      </c>
      <c r="B435" s="26">
        <f>IF('Paste SD Data'!A432="","",'Paste SD Data'!A432)</f>
        <v>11</v>
      </c>
      <c r="C435" s="26" t="str">
        <f>IF('Paste SD Data'!B432="","",'Paste SD Data'!B432)</f>
        <v>A</v>
      </c>
      <c r="D435" s="26">
        <f>IF('Paste SD Data'!C432="","",'Paste SD Data'!C432)</f>
        <v>13104</v>
      </c>
      <c r="E435" s="27" t="str">
        <f>IF('Paste SD Data'!E432="","",UPPER('Paste SD Data'!E432))</f>
        <v>DINESH REGER</v>
      </c>
      <c r="F435" s="27" t="str">
        <f>IF('Paste SD Data'!G432="","",UPPER('Paste SD Data'!G432))</f>
        <v>CHUNNI LAL REGAR</v>
      </c>
      <c r="G435" s="27" t="str">
        <f>IF('Paste SD Data'!H432="","",UPPER('Paste SD Data'!H432))</f>
        <v>DEU BAI</v>
      </c>
      <c r="H435" s="26" t="str">
        <f>IF('Paste SD Data'!I432="","",IF('Paste SD Data'!I432="M","BOY","GIRL"))</f>
        <v>BOY</v>
      </c>
      <c r="I435" s="28">
        <f>IF('Paste SD Data'!J432="","",'Paste SD Data'!J432)</f>
        <v>38084</v>
      </c>
      <c r="J435" s="34">
        <f t="shared" si="6"/>
        <v>861</v>
      </c>
      <c r="K435" s="29" t="str">
        <f>IF('Paste SD Data'!O432="","",'Paste SD Data'!O432)</f>
        <v>SC</v>
      </c>
    </row>
    <row r="436" spans="1:11" ht="30" customHeight="1" x14ac:dyDescent="0.25">
      <c r="A436" s="25">
        <f>IF(Table1[[#This Row],[Name of Student]]="","",ROWS($A$1:A432))</f>
        <v>432</v>
      </c>
      <c r="B436" s="26">
        <f>IF('Paste SD Data'!A433="","",'Paste SD Data'!A433)</f>
        <v>11</v>
      </c>
      <c r="C436" s="26" t="str">
        <f>IF('Paste SD Data'!B433="","",'Paste SD Data'!B433)</f>
        <v>A</v>
      </c>
      <c r="D436" s="26">
        <f>IF('Paste SD Data'!C433="","",'Paste SD Data'!C433)</f>
        <v>13962</v>
      </c>
      <c r="E436" s="27" t="str">
        <f>IF('Paste SD Data'!E433="","",UPPER('Paste SD Data'!E433))</f>
        <v>DOLI RATHORE</v>
      </c>
      <c r="F436" s="27" t="str">
        <f>IF('Paste SD Data'!G433="","",UPPER('Paste SD Data'!G433))</f>
        <v>PRAHLAD SINGH RATHORE</v>
      </c>
      <c r="G436" s="27" t="str">
        <f>IF('Paste SD Data'!H433="","",UPPER('Paste SD Data'!H433))</f>
        <v>DEVKANYA RATHORE</v>
      </c>
      <c r="H436" s="26" t="str">
        <f>IF('Paste SD Data'!I433="","",IF('Paste SD Data'!I433="M","BOY","GIRL"))</f>
        <v>GIRL</v>
      </c>
      <c r="I436" s="28">
        <f>IF('Paste SD Data'!J433="","",'Paste SD Data'!J433)</f>
        <v>38433</v>
      </c>
      <c r="J436" s="34">
        <f t="shared" si="6"/>
        <v>862</v>
      </c>
      <c r="K436" s="29" t="str">
        <f>IF('Paste SD Data'!O433="","",'Paste SD Data'!O433)</f>
        <v>OBC</v>
      </c>
    </row>
    <row r="437" spans="1:11" ht="30" customHeight="1" x14ac:dyDescent="0.25">
      <c r="A437" s="25">
        <f>IF(Table1[[#This Row],[Name of Student]]="","",ROWS($A$1:A433))</f>
        <v>433</v>
      </c>
      <c r="B437" s="26">
        <f>IF('Paste SD Data'!A434="","",'Paste SD Data'!A434)</f>
        <v>11</v>
      </c>
      <c r="C437" s="26" t="str">
        <f>IF('Paste SD Data'!B434="","",'Paste SD Data'!B434)</f>
        <v>A</v>
      </c>
      <c r="D437" s="26">
        <f>IF('Paste SD Data'!C434="","",'Paste SD Data'!C434)</f>
        <v>13864</v>
      </c>
      <c r="E437" s="27" t="str">
        <f>IF('Paste SD Data'!E434="","",UPPER('Paste SD Data'!E434))</f>
        <v>DURG SINGH</v>
      </c>
      <c r="F437" s="27" t="str">
        <f>IF('Paste SD Data'!G434="","",UPPER('Paste SD Data'!G434))</f>
        <v>BHOJ SINGH</v>
      </c>
      <c r="G437" s="27" t="str">
        <f>IF('Paste SD Data'!H434="","",UPPER('Paste SD Data'!H434))</f>
        <v>LAXMI DEVI</v>
      </c>
      <c r="H437" s="26" t="str">
        <f>IF('Paste SD Data'!I434="","",IF('Paste SD Data'!I434="M","BOY","GIRL"))</f>
        <v>BOY</v>
      </c>
      <c r="I437" s="28">
        <f>IF('Paste SD Data'!J434="","",'Paste SD Data'!J434)</f>
        <v>37817</v>
      </c>
      <c r="J437" s="34">
        <f t="shared" si="6"/>
        <v>863</v>
      </c>
      <c r="K437" s="29" t="str">
        <f>IF('Paste SD Data'!O434="","",'Paste SD Data'!O434)</f>
        <v>OBC</v>
      </c>
    </row>
    <row r="438" spans="1:11" ht="30" customHeight="1" x14ac:dyDescent="0.25">
      <c r="A438" s="25">
        <f>IF(Table1[[#This Row],[Name of Student]]="","",ROWS($A$1:A434))</f>
        <v>434</v>
      </c>
      <c r="B438" s="26">
        <f>IF('Paste SD Data'!A435="","",'Paste SD Data'!A435)</f>
        <v>11</v>
      </c>
      <c r="C438" s="26" t="str">
        <f>IF('Paste SD Data'!B435="","",'Paste SD Data'!B435)</f>
        <v>A</v>
      </c>
      <c r="D438" s="26">
        <f>IF('Paste SD Data'!C435="","",'Paste SD Data'!C435)</f>
        <v>13833</v>
      </c>
      <c r="E438" s="27" t="str">
        <f>IF('Paste SD Data'!E435="","",UPPER('Paste SD Data'!E435))</f>
        <v>GARIMA SUTHAR</v>
      </c>
      <c r="F438" s="27" t="str">
        <f>IF('Paste SD Data'!G435="","",UPPER('Paste SD Data'!G435))</f>
        <v>SHANTI LAL SUTHAR</v>
      </c>
      <c r="G438" s="27" t="str">
        <f>IF('Paste SD Data'!H435="","",UPPER('Paste SD Data'!H435))</f>
        <v>REKHA DEVI</v>
      </c>
      <c r="H438" s="26" t="str">
        <f>IF('Paste SD Data'!I435="","",IF('Paste SD Data'!I435="M","BOY","GIRL"))</f>
        <v>GIRL</v>
      </c>
      <c r="I438" s="28">
        <f>IF('Paste SD Data'!J435="","",'Paste SD Data'!J435)</f>
        <v>38856</v>
      </c>
      <c r="J438" s="34">
        <f t="shared" si="6"/>
        <v>864</v>
      </c>
      <c r="K438" s="29" t="str">
        <f>IF('Paste SD Data'!O435="","",'Paste SD Data'!O435)</f>
        <v>OBC</v>
      </c>
    </row>
    <row r="439" spans="1:11" ht="30" customHeight="1" x14ac:dyDescent="0.25">
      <c r="A439" s="25">
        <f>IF(Table1[[#This Row],[Name of Student]]="","",ROWS($A$1:A435))</f>
        <v>435</v>
      </c>
      <c r="B439" s="26">
        <f>IF('Paste SD Data'!A436="","",'Paste SD Data'!A436)</f>
        <v>11</v>
      </c>
      <c r="C439" s="26" t="str">
        <f>IF('Paste SD Data'!B436="","",'Paste SD Data'!B436)</f>
        <v>A</v>
      </c>
      <c r="D439" s="26">
        <f>IF('Paste SD Data'!C436="","",'Paste SD Data'!C436)</f>
        <v>13988</v>
      </c>
      <c r="E439" s="27" t="str">
        <f>IF('Paste SD Data'!E436="","",UPPER('Paste SD Data'!E436))</f>
        <v>GOVIND SHARMA</v>
      </c>
      <c r="F439" s="27" t="str">
        <f>IF('Paste SD Data'!G436="","",UPPER('Paste SD Data'!G436))</f>
        <v>SHRAVAN KUMAR SHARMA</v>
      </c>
      <c r="G439" s="27" t="str">
        <f>IF('Paste SD Data'!H436="","",UPPER('Paste SD Data'!H436))</f>
        <v>DROPADI SHARMA</v>
      </c>
      <c r="H439" s="26" t="str">
        <f>IF('Paste SD Data'!I436="","",IF('Paste SD Data'!I436="M","BOY","GIRL"))</f>
        <v>BOY</v>
      </c>
      <c r="I439" s="28">
        <f>IF('Paste SD Data'!J436="","",'Paste SD Data'!J436)</f>
        <v>38577</v>
      </c>
      <c r="J439" s="34">
        <f t="shared" si="6"/>
        <v>865</v>
      </c>
      <c r="K439" s="29" t="str">
        <f>IF('Paste SD Data'!O436="","",'Paste SD Data'!O436)</f>
        <v>GEN</v>
      </c>
    </row>
    <row r="440" spans="1:11" ht="30" customHeight="1" x14ac:dyDescent="0.25">
      <c r="A440" s="25">
        <f>IF(Table1[[#This Row],[Name of Student]]="","",ROWS($A$1:A436))</f>
        <v>436</v>
      </c>
      <c r="B440" s="26">
        <f>IF('Paste SD Data'!A437="","",'Paste SD Data'!A437)</f>
        <v>11</v>
      </c>
      <c r="C440" s="26" t="str">
        <f>IF('Paste SD Data'!B437="","",'Paste SD Data'!B437)</f>
        <v>A</v>
      </c>
      <c r="D440" s="26">
        <f>IF('Paste SD Data'!C437="","",'Paste SD Data'!C437)</f>
        <v>13919</v>
      </c>
      <c r="E440" s="27" t="str">
        <f>IF('Paste SD Data'!E437="","",UPPER('Paste SD Data'!E437))</f>
        <v>HEEMANG VAISHNAV</v>
      </c>
      <c r="F440" s="27" t="str">
        <f>IF('Paste SD Data'!G437="","",UPPER('Paste SD Data'!G437))</f>
        <v>PAWAN VAISHNAV</v>
      </c>
      <c r="G440" s="27" t="str">
        <f>IF('Paste SD Data'!H437="","",UPPER('Paste SD Data'!H437))</f>
        <v>HEMLATA VAISHNAV</v>
      </c>
      <c r="H440" s="26" t="str">
        <f>IF('Paste SD Data'!I437="","",IF('Paste SD Data'!I437="M","BOY","GIRL"))</f>
        <v>BOY</v>
      </c>
      <c r="I440" s="28">
        <f>IF('Paste SD Data'!J437="","",'Paste SD Data'!J437)</f>
        <v>38595</v>
      </c>
      <c r="J440" s="34">
        <f t="shared" si="6"/>
        <v>866</v>
      </c>
      <c r="K440" s="29" t="str">
        <f>IF('Paste SD Data'!O437="","",'Paste SD Data'!O437)</f>
        <v>OBC</v>
      </c>
    </row>
    <row r="441" spans="1:11" ht="30" customHeight="1" x14ac:dyDescent="0.25">
      <c r="A441" s="25">
        <f>IF(Table1[[#This Row],[Name of Student]]="","",ROWS($A$1:A437))</f>
        <v>437</v>
      </c>
      <c r="B441" s="26">
        <f>IF('Paste SD Data'!A438="","",'Paste SD Data'!A438)</f>
        <v>11</v>
      </c>
      <c r="C441" s="26" t="str">
        <f>IF('Paste SD Data'!B438="","",'Paste SD Data'!B438)</f>
        <v>A</v>
      </c>
      <c r="D441" s="26">
        <f>IF('Paste SD Data'!C438="","",'Paste SD Data'!C438)</f>
        <v>13356</v>
      </c>
      <c r="E441" s="27" t="str">
        <f>IF('Paste SD Data'!E438="","",UPPER('Paste SD Data'!E438))</f>
        <v>HEMANT SALVI</v>
      </c>
      <c r="F441" s="27" t="str">
        <f>IF('Paste SD Data'!G438="","",UPPER('Paste SD Data'!G438))</f>
        <v>TULSIRAM SALVI</v>
      </c>
      <c r="G441" s="27" t="str">
        <f>IF('Paste SD Data'!H438="","",UPPER('Paste SD Data'!H438))</f>
        <v>KELA DEVI</v>
      </c>
      <c r="H441" s="26" t="str">
        <f>IF('Paste SD Data'!I438="","",IF('Paste SD Data'!I438="M","BOY","GIRL"))</f>
        <v>BOY</v>
      </c>
      <c r="I441" s="28">
        <f>IF('Paste SD Data'!J438="","",'Paste SD Data'!J438)</f>
        <v>37669</v>
      </c>
      <c r="J441" s="34">
        <f t="shared" si="6"/>
        <v>867</v>
      </c>
      <c r="K441" s="29" t="str">
        <f>IF('Paste SD Data'!O438="","",'Paste SD Data'!O438)</f>
        <v>SC</v>
      </c>
    </row>
    <row r="442" spans="1:11" ht="30" customHeight="1" x14ac:dyDescent="0.25">
      <c r="A442" s="25">
        <f>IF(Table1[[#This Row],[Name of Student]]="","",ROWS($A$1:A438))</f>
        <v>438</v>
      </c>
      <c r="B442" s="26">
        <f>IF('Paste SD Data'!A439="","",'Paste SD Data'!A439)</f>
        <v>11</v>
      </c>
      <c r="C442" s="26" t="str">
        <f>IF('Paste SD Data'!B439="","",'Paste SD Data'!B439)</f>
        <v>A</v>
      </c>
      <c r="D442" s="26">
        <f>IF('Paste SD Data'!C439="","",'Paste SD Data'!C439)</f>
        <v>13879</v>
      </c>
      <c r="E442" s="27" t="str">
        <f>IF('Paste SD Data'!E439="","",UPPER('Paste SD Data'!E439))</f>
        <v>HEMARAJ SALVI</v>
      </c>
      <c r="F442" s="27" t="str">
        <f>IF('Paste SD Data'!G439="","",UPPER('Paste SD Data'!G439))</f>
        <v>GANGARAM SALVI</v>
      </c>
      <c r="G442" s="27" t="str">
        <f>IF('Paste SD Data'!H439="","",UPPER('Paste SD Data'!H439))</f>
        <v>BADAMI DEVI</v>
      </c>
      <c r="H442" s="26" t="str">
        <f>IF('Paste SD Data'!I439="","",IF('Paste SD Data'!I439="M","BOY","GIRL"))</f>
        <v>BOY</v>
      </c>
      <c r="I442" s="28">
        <f>IF('Paste SD Data'!J439="","",'Paste SD Data'!J439)</f>
        <v>38265</v>
      </c>
      <c r="J442" s="34">
        <f t="shared" si="6"/>
        <v>868</v>
      </c>
      <c r="K442" s="29" t="str">
        <f>IF('Paste SD Data'!O439="","",'Paste SD Data'!O439)</f>
        <v>SC</v>
      </c>
    </row>
    <row r="443" spans="1:11" ht="30" customHeight="1" x14ac:dyDescent="0.25">
      <c r="A443" s="25">
        <f>IF(Table1[[#This Row],[Name of Student]]="","",ROWS($A$1:A439))</f>
        <v>439</v>
      </c>
      <c r="B443" s="26">
        <f>IF('Paste SD Data'!A440="","",'Paste SD Data'!A440)</f>
        <v>11</v>
      </c>
      <c r="C443" s="26" t="str">
        <f>IF('Paste SD Data'!B440="","",'Paste SD Data'!B440)</f>
        <v>A</v>
      </c>
      <c r="D443" s="26">
        <f>IF('Paste SD Data'!C440="","",'Paste SD Data'!C440)</f>
        <v>13968</v>
      </c>
      <c r="E443" s="27" t="str">
        <f>IF('Paste SD Data'!E440="","",UPPER('Paste SD Data'!E440))</f>
        <v>JAYESH KUMAR CHANDEL</v>
      </c>
      <c r="F443" s="27" t="str">
        <f>IF('Paste SD Data'!G440="","",UPPER('Paste SD Data'!G440))</f>
        <v>SHANTI LAL</v>
      </c>
      <c r="G443" s="27" t="str">
        <f>IF('Paste SD Data'!H440="","",UPPER('Paste SD Data'!H440))</f>
        <v>NARAYANI DEVI</v>
      </c>
      <c r="H443" s="26" t="str">
        <f>IF('Paste SD Data'!I440="","",IF('Paste SD Data'!I440="M","BOY","GIRL"))</f>
        <v>BOY</v>
      </c>
      <c r="I443" s="28">
        <f>IF('Paste SD Data'!J440="","",'Paste SD Data'!J440)</f>
        <v>38336</v>
      </c>
      <c r="J443" s="34">
        <f t="shared" si="6"/>
        <v>869</v>
      </c>
      <c r="K443" s="29" t="str">
        <f>IF('Paste SD Data'!O440="","",'Paste SD Data'!O440)</f>
        <v>SC</v>
      </c>
    </row>
    <row r="444" spans="1:11" ht="30" customHeight="1" x14ac:dyDescent="0.25">
      <c r="A444" s="25">
        <f>IF(Table1[[#This Row],[Name of Student]]="","",ROWS($A$1:A440))</f>
        <v>440</v>
      </c>
      <c r="B444" s="26">
        <f>IF('Paste SD Data'!A441="","",'Paste SD Data'!A441)</f>
        <v>11</v>
      </c>
      <c r="C444" s="26" t="str">
        <f>IF('Paste SD Data'!B441="","",'Paste SD Data'!B441)</f>
        <v>A</v>
      </c>
      <c r="D444" s="26">
        <f>IF('Paste SD Data'!C441="","",'Paste SD Data'!C441)</f>
        <v>13934</v>
      </c>
      <c r="E444" s="27" t="str">
        <f>IF('Paste SD Data'!E441="","",UPPER('Paste SD Data'!E441))</f>
        <v>KAMAL SINGH</v>
      </c>
      <c r="F444" s="27" t="str">
        <f>IF('Paste SD Data'!G441="","",UPPER('Paste SD Data'!G441))</f>
        <v>RAMESH SINGH</v>
      </c>
      <c r="G444" s="27" t="str">
        <f>IF('Paste SD Data'!H441="","",UPPER('Paste SD Data'!H441))</f>
        <v>DHANWANTI DEVI</v>
      </c>
      <c r="H444" s="26" t="str">
        <f>IF('Paste SD Data'!I441="","",IF('Paste SD Data'!I441="M","BOY","GIRL"))</f>
        <v>BOY</v>
      </c>
      <c r="I444" s="28">
        <f>IF('Paste SD Data'!J441="","",'Paste SD Data'!J441)</f>
        <v>37857</v>
      </c>
      <c r="J444" s="34">
        <f t="shared" si="6"/>
        <v>870</v>
      </c>
      <c r="K444" s="29" t="str">
        <f>IF('Paste SD Data'!O441="","",'Paste SD Data'!O441)</f>
        <v>OBC</v>
      </c>
    </row>
    <row r="445" spans="1:11" ht="30" customHeight="1" x14ac:dyDescent="0.25">
      <c r="A445" s="25">
        <f>IF(Table1[[#This Row],[Name of Student]]="","",ROWS($A$1:A441))</f>
        <v>441</v>
      </c>
      <c r="B445" s="26">
        <f>IF('Paste SD Data'!A442="","",'Paste SD Data'!A442)</f>
        <v>11</v>
      </c>
      <c r="C445" s="26" t="str">
        <f>IF('Paste SD Data'!B442="","",'Paste SD Data'!B442)</f>
        <v>A</v>
      </c>
      <c r="D445" s="26">
        <f>IF('Paste SD Data'!C442="","",'Paste SD Data'!C442)</f>
        <v>13901</v>
      </c>
      <c r="E445" s="27" t="str">
        <f>IF('Paste SD Data'!E442="","",UPPER('Paste SD Data'!E442))</f>
        <v>KHUSHBOO SUTHAR</v>
      </c>
      <c r="F445" s="27" t="str">
        <f>IF('Paste SD Data'!G442="","",UPPER('Paste SD Data'!G442))</f>
        <v>OM PRAKASH</v>
      </c>
      <c r="G445" s="27" t="str">
        <f>IF('Paste SD Data'!H442="","",UPPER('Paste SD Data'!H442))</f>
        <v>TAMU BAI</v>
      </c>
      <c r="H445" s="26" t="str">
        <f>IF('Paste SD Data'!I442="","",IF('Paste SD Data'!I442="M","BOY","GIRL"))</f>
        <v>GIRL</v>
      </c>
      <c r="I445" s="28">
        <f>IF('Paste SD Data'!J442="","",'Paste SD Data'!J442)</f>
        <v>39075</v>
      </c>
      <c r="J445" s="34">
        <f t="shared" si="6"/>
        <v>871</v>
      </c>
      <c r="K445" s="29" t="str">
        <f>IF('Paste SD Data'!O442="","",'Paste SD Data'!O442)</f>
        <v>OBC</v>
      </c>
    </row>
    <row r="446" spans="1:11" ht="30" customHeight="1" x14ac:dyDescent="0.25">
      <c r="A446" s="25">
        <f>IF(Table1[[#This Row],[Name of Student]]="","",ROWS($A$1:A442))</f>
        <v>442</v>
      </c>
      <c r="B446" s="26">
        <f>IF('Paste SD Data'!A443="","",'Paste SD Data'!A443)</f>
        <v>11</v>
      </c>
      <c r="C446" s="26" t="str">
        <f>IF('Paste SD Data'!B443="","",'Paste SD Data'!B443)</f>
        <v>A</v>
      </c>
      <c r="D446" s="26">
        <f>IF('Paste SD Data'!C443="","",'Paste SD Data'!C443)</f>
        <v>13759</v>
      </c>
      <c r="E446" s="27" t="str">
        <f>IF('Paste SD Data'!E443="","",UPPER('Paste SD Data'!E443))</f>
        <v>KISHAN RAYKA</v>
      </c>
      <c r="F446" s="27" t="str">
        <f>IF('Paste SD Data'!G443="","",UPPER('Paste SD Data'!G443))</f>
        <v>BHAIRU LAL REBARI</v>
      </c>
      <c r="G446" s="27" t="str">
        <f>IF('Paste SD Data'!H443="","",UPPER('Paste SD Data'!H443))</f>
        <v>PAPPU DEVI REBARI</v>
      </c>
      <c r="H446" s="26" t="str">
        <f>IF('Paste SD Data'!I443="","",IF('Paste SD Data'!I443="M","BOY","GIRL"))</f>
        <v>BOY</v>
      </c>
      <c r="I446" s="28">
        <f>IF('Paste SD Data'!J443="","",'Paste SD Data'!J443)</f>
        <v>38356</v>
      </c>
      <c r="J446" s="34">
        <f t="shared" si="6"/>
        <v>872</v>
      </c>
      <c r="K446" s="29" t="str">
        <f>IF('Paste SD Data'!O443="","",'Paste SD Data'!O443)</f>
        <v>SBC</v>
      </c>
    </row>
    <row r="447" spans="1:11" ht="30" customHeight="1" x14ac:dyDescent="0.25">
      <c r="A447" s="25">
        <f>IF(Table1[[#This Row],[Name of Student]]="","",ROWS($A$1:A443))</f>
        <v>443</v>
      </c>
      <c r="B447" s="26">
        <f>IF('Paste SD Data'!A444="","",'Paste SD Data'!A444)</f>
        <v>11</v>
      </c>
      <c r="C447" s="26" t="str">
        <f>IF('Paste SD Data'!B444="","",'Paste SD Data'!B444)</f>
        <v>A</v>
      </c>
      <c r="D447" s="26">
        <f>IF('Paste SD Data'!C444="","",'Paste SD Data'!C444)</f>
        <v>13774</v>
      </c>
      <c r="E447" s="27" t="str">
        <f>IF('Paste SD Data'!E444="","",UPPER('Paste SD Data'!E444))</f>
        <v>KISHOR SINGH</v>
      </c>
      <c r="F447" s="27" t="str">
        <f>IF('Paste SD Data'!G444="","",UPPER('Paste SD Data'!G444))</f>
        <v>DILIP SINGH</v>
      </c>
      <c r="G447" s="27" t="str">
        <f>IF('Paste SD Data'!H444="","",UPPER('Paste SD Data'!H444))</f>
        <v>SANTOSH DEVI</v>
      </c>
      <c r="H447" s="26" t="str">
        <f>IF('Paste SD Data'!I444="","",IF('Paste SD Data'!I444="M","BOY","GIRL"))</f>
        <v>BOY</v>
      </c>
      <c r="I447" s="28">
        <f>IF('Paste SD Data'!J444="","",'Paste SD Data'!J444)</f>
        <v>38341</v>
      </c>
      <c r="J447" s="34">
        <f t="shared" si="6"/>
        <v>873</v>
      </c>
      <c r="K447" s="29" t="str">
        <f>IF('Paste SD Data'!O444="","",'Paste SD Data'!O444)</f>
        <v>OBC</v>
      </c>
    </row>
    <row r="448" spans="1:11" ht="30" customHeight="1" x14ac:dyDescent="0.25">
      <c r="A448" s="25">
        <f>IF(Table1[[#This Row],[Name of Student]]="","",ROWS($A$1:A444))</f>
        <v>444</v>
      </c>
      <c r="B448" s="26">
        <f>IF('Paste SD Data'!A445="","",'Paste SD Data'!A445)</f>
        <v>11</v>
      </c>
      <c r="C448" s="26" t="str">
        <f>IF('Paste SD Data'!B445="","",'Paste SD Data'!B445)</f>
        <v>A</v>
      </c>
      <c r="D448" s="26">
        <f>IF('Paste SD Data'!C445="","",'Paste SD Data'!C445)</f>
        <v>13957</v>
      </c>
      <c r="E448" s="27" t="str">
        <f>IF('Paste SD Data'!E445="","",UPPER('Paste SD Data'!E445))</f>
        <v>KOSHAL KISHOR SINGH</v>
      </c>
      <c r="F448" s="27" t="str">
        <f>IF('Paste SD Data'!G445="","",UPPER('Paste SD Data'!G445))</f>
        <v>MOHAN SINGH</v>
      </c>
      <c r="G448" s="27" t="str">
        <f>IF('Paste SD Data'!H445="","",UPPER('Paste SD Data'!H445))</f>
        <v>BASANTA KANWAR</v>
      </c>
      <c r="H448" s="26" t="str">
        <f>IF('Paste SD Data'!I445="","",IF('Paste SD Data'!I445="M","BOY","GIRL"))</f>
        <v>BOY</v>
      </c>
      <c r="I448" s="28">
        <f>IF('Paste SD Data'!J445="","",'Paste SD Data'!J445)</f>
        <v>38637</v>
      </c>
      <c r="J448" s="34">
        <f t="shared" si="6"/>
        <v>874</v>
      </c>
      <c r="K448" s="29" t="str">
        <f>IF('Paste SD Data'!O445="","",'Paste SD Data'!O445)</f>
        <v>OBC</v>
      </c>
    </row>
    <row r="449" spans="1:11" ht="30" customHeight="1" x14ac:dyDescent="0.25">
      <c r="A449" s="25">
        <f>IF(Table1[[#This Row],[Name of Student]]="","",ROWS($A$1:A445))</f>
        <v>445</v>
      </c>
      <c r="B449" s="26">
        <f>IF('Paste SD Data'!A446="","",'Paste SD Data'!A446)</f>
        <v>11</v>
      </c>
      <c r="C449" s="26" t="str">
        <f>IF('Paste SD Data'!B446="","",'Paste SD Data'!B446)</f>
        <v>A</v>
      </c>
      <c r="D449" s="26">
        <f>IF('Paste SD Data'!C446="","",'Paste SD Data'!C446)</f>
        <v>13906</v>
      </c>
      <c r="E449" s="27" t="str">
        <f>IF('Paste SD Data'!E446="","",UPPER('Paste SD Data'!E446))</f>
        <v>KULVEER EDIWAL</v>
      </c>
      <c r="F449" s="27" t="str">
        <f>IF('Paste SD Data'!G446="","",UPPER('Paste SD Data'!G446))</f>
        <v>JAGDISH CHANDRA</v>
      </c>
      <c r="G449" s="27" t="str">
        <f>IF('Paste SD Data'!H446="","",UPPER('Paste SD Data'!H446))</f>
        <v>DALI</v>
      </c>
      <c r="H449" s="26" t="str">
        <f>IF('Paste SD Data'!I446="","",IF('Paste SD Data'!I446="M","BOY","GIRL"))</f>
        <v>BOY</v>
      </c>
      <c r="I449" s="28">
        <f>IF('Paste SD Data'!J446="","",'Paste SD Data'!J446)</f>
        <v>38944</v>
      </c>
      <c r="J449" s="34">
        <f t="shared" si="6"/>
        <v>875</v>
      </c>
      <c r="K449" s="29" t="str">
        <f>IF('Paste SD Data'!O446="","",'Paste SD Data'!O446)</f>
        <v>SC</v>
      </c>
    </row>
    <row r="450" spans="1:11" ht="30" customHeight="1" x14ac:dyDescent="0.25">
      <c r="A450" s="25">
        <f>IF(Table1[[#This Row],[Name of Student]]="","",ROWS($A$1:A446))</f>
        <v>446</v>
      </c>
      <c r="B450" s="26">
        <f>IF('Paste SD Data'!A447="","",'Paste SD Data'!A447)</f>
        <v>11</v>
      </c>
      <c r="C450" s="26" t="str">
        <f>IF('Paste SD Data'!B447="","",'Paste SD Data'!B447)</f>
        <v>A</v>
      </c>
      <c r="D450" s="26">
        <f>IF('Paste SD Data'!C447="","",'Paste SD Data'!C447)</f>
        <v>13880</v>
      </c>
      <c r="E450" s="27" t="str">
        <f>IF('Paste SD Data'!E447="","",UPPER('Paste SD Data'!E447))</f>
        <v>KUSHAL SINGH</v>
      </c>
      <c r="F450" s="27" t="str">
        <f>IF('Paste SD Data'!G447="","",UPPER('Paste SD Data'!G447))</f>
        <v>PRATAP SINGH</v>
      </c>
      <c r="G450" s="27" t="str">
        <f>IF('Paste SD Data'!H447="","",UPPER('Paste SD Data'!H447))</f>
        <v>ANSI DEVI</v>
      </c>
      <c r="H450" s="26" t="str">
        <f>IF('Paste SD Data'!I447="","",IF('Paste SD Data'!I447="M","BOY","GIRL"))</f>
        <v>BOY</v>
      </c>
      <c r="I450" s="28">
        <f>IF('Paste SD Data'!J447="","",'Paste SD Data'!J447)</f>
        <v>38990</v>
      </c>
      <c r="J450" s="34">
        <f t="shared" si="6"/>
        <v>876</v>
      </c>
      <c r="K450" s="29" t="str">
        <f>IF('Paste SD Data'!O447="","",'Paste SD Data'!O447)</f>
        <v>OBC</v>
      </c>
    </row>
    <row r="451" spans="1:11" ht="30" customHeight="1" x14ac:dyDescent="0.25">
      <c r="A451" s="25">
        <f>IF(Table1[[#This Row],[Name of Student]]="","",ROWS($A$1:A447))</f>
        <v>447</v>
      </c>
      <c r="B451" s="26">
        <f>IF('Paste SD Data'!A448="","",'Paste SD Data'!A448)</f>
        <v>11</v>
      </c>
      <c r="C451" s="26" t="str">
        <f>IF('Paste SD Data'!B448="","",'Paste SD Data'!B448)</f>
        <v>A</v>
      </c>
      <c r="D451" s="26">
        <f>IF('Paste SD Data'!C448="","",'Paste SD Data'!C448)</f>
        <v>13985</v>
      </c>
      <c r="E451" s="27" t="str">
        <f>IF('Paste SD Data'!E448="","",UPPER('Paste SD Data'!E448))</f>
        <v>MOHIT RAWAL</v>
      </c>
      <c r="F451" s="27" t="str">
        <f>IF('Paste SD Data'!G448="","",UPPER('Paste SD Data'!G448))</f>
        <v>LAXMAN RAWAL</v>
      </c>
      <c r="G451" s="27" t="str">
        <f>IF('Paste SD Data'!H448="","",UPPER('Paste SD Data'!H448))</f>
        <v>SUGNA DEVI</v>
      </c>
      <c r="H451" s="26" t="str">
        <f>IF('Paste SD Data'!I448="","",IF('Paste SD Data'!I448="M","BOY","GIRL"))</f>
        <v>BOY</v>
      </c>
      <c r="I451" s="28">
        <f>IF('Paste SD Data'!J448="","",'Paste SD Data'!J448)</f>
        <v>38625</v>
      </c>
      <c r="J451" s="34">
        <f t="shared" si="6"/>
        <v>877</v>
      </c>
      <c r="K451" s="29" t="str">
        <f>IF('Paste SD Data'!O448="","",'Paste SD Data'!O448)</f>
        <v>OBC</v>
      </c>
    </row>
    <row r="452" spans="1:11" ht="30" customHeight="1" x14ac:dyDescent="0.25">
      <c r="A452" s="25">
        <f>IF(Table1[[#This Row],[Name of Student]]="","",ROWS($A$1:A448))</f>
        <v>448</v>
      </c>
      <c r="B452" s="26">
        <f>IF('Paste SD Data'!A449="","",'Paste SD Data'!A449)</f>
        <v>11</v>
      </c>
      <c r="C452" s="26" t="str">
        <f>IF('Paste SD Data'!B449="","",'Paste SD Data'!B449)</f>
        <v>A</v>
      </c>
      <c r="D452" s="26">
        <f>IF('Paste SD Data'!C449="","",'Paste SD Data'!C449)</f>
        <v>13898</v>
      </c>
      <c r="E452" s="27" t="str">
        <f>IF('Paste SD Data'!E449="","",UPPER('Paste SD Data'!E449))</f>
        <v>MOHMMAD AFRIDI</v>
      </c>
      <c r="F452" s="27" t="str">
        <f>IF('Paste SD Data'!G449="","",UPPER('Paste SD Data'!G449))</f>
        <v>MOHMMAD SHARIF</v>
      </c>
      <c r="G452" s="27" t="str">
        <f>IF('Paste SD Data'!H449="","",UPPER('Paste SD Data'!H449))</f>
        <v>SIDDIAKA</v>
      </c>
      <c r="H452" s="26" t="str">
        <f>IF('Paste SD Data'!I449="","",IF('Paste SD Data'!I449="M","BOY","GIRL"))</f>
        <v>BOY</v>
      </c>
      <c r="I452" s="28">
        <f>IF('Paste SD Data'!J449="","",'Paste SD Data'!J449)</f>
        <v>38807</v>
      </c>
      <c r="J452" s="34">
        <f t="shared" si="6"/>
        <v>878</v>
      </c>
      <c r="K452" s="29" t="str">
        <f>IF('Paste SD Data'!O449="","",'Paste SD Data'!O449)</f>
        <v>OBC</v>
      </c>
    </row>
    <row r="453" spans="1:11" ht="30" customHeight="1" x14ac:dyDescent="0.25">
      <c r="A453" s="25">
        <f>IF(Table1[[#This Row],[Name of Student]]="","",ROWS($A$1:A449))</f>
        <v>449</v>
      </c>
      <c r="B453" s="26">
        <f>IF('Paste SD Data'!A450="","",'Paste SD Data'!A450)</f>
        <v>11</v>
      </c>
      <c r="C453" s="26" t="str">
        <f>IF('Paste SD Data'!B450="","",'Paste SD Data'!B450)</f>
        <v>A</v>
      </c>
      <c r="D453" s="26">
        <f>IF('Paste SD Data'!C450="","",'Paste SD Data'!C450)</f>
        <v>13961</v>
      </c>
      <c r="E453" s="27" t="str">
        <f>IF('Paste SD Data'!E450="","",UPPER('Paste SD Data'!E450))</f>
        <v>MUKESH LAL GURJAR</v>
      </c>
      <c r="F453" s="27" t="str">
        <f>IF('Paste SD Data'!G450="","",UPPER('Paste SD Data'!G450))</f>
        <v>JAYRAM GURJAR</v>
      </c>
      <c r="G453" s="27" t="str">
        <f>IF('Paste SD Data'!H450="","",UPPER('Paste SD Data'!H450))</f>
        <v>BHAGU DEVI</v>
      </c>
      <c r="H453" s="26" t="str">
        <f>IF('Paste SD Data'!I450="","",IF('Paste SD Data'!I450="M","BOY","GIRL"))</f>
        <v>BOY</v>
      </c>
      <c r="I453" s="28">
        <f>IF('Paste SD Data'!J450="","",'Paste SD Data'!J450)</f>
        <v>38602</v>
      </c>
      <c r="J453" s="34">
        <f t="shared" si="6"/>
        <v>879</v>
      </c>
      <c r="K453" s="29" t="str">
        <f>IF('Paste SD Data'!O450="","",'Paste SD Data'!O450)</f>
        <v>SBC</v>
      </c>
    </row>
    <row r="454" spans="1:11" ht="30" customHeight="1" x14ac:dyDescent="0.25">
      <c r="A454" s="25">
        <f>IF(Table1[[#This Row],[Name of Student]]="","",ROWS($A$1:A450))</f>
        <v>450</v>
      </c>
      <c r="B454" s="26">
        <f>IF('Paste SD Data'!A451="","",'Paste SD Data'!A451)</f>
        <v>11</v>
      </c>
      <c r="C454" s="26" t="str">
        <f>IF('Paste SD Data'!B451="","",'Paste SD Data'!B451)</f>
        <v>A</v>
      </c>
      <c r="D454" s="26">
        <f>IF('Paste SD Data'!C451="","",'Paste SD Data'!C451)</f>
        <v>13810</v>
      </c>
      <c r="E454" s="27" t="str">
        <f>IF('Paste SD Data'!E451="","",UPPER('Paste SD Data'!E451))</f>
        <v>NAVEEN VYAS</v>
      </c>
      <c r="F454" s="27" t="str">
        <f>IF('Paste SD Data'!G451="","",UPPER('Paste SD Data'!G451))</f>
        <v>SURESH VYAS</v>
      </c>
      <c r="G454" s="27" t="str">
        <f>IF('Paste SD Data'!H451="","",UPPER('Paste SD Data'!H451))</f>
        <v>KAMLA DEVI</v>
      </c>
      <c r="H454" s="26" t="str">
        <f>IF('Paste SD Data'!I451="","",IF('Paste SD Data'!I451="M","BOY","GIRL"))</f>
        <v>BOY</v>
      </c>
      <c r="I454" s="28">
        <f>IF('Paste SD Data'!J451="","",'Paste SD Data'!J451)</f>
        <v>38399</v>
      </c>
      <c r="J454" s="34">
        <f t="shared" si="6"/>
        <v>880</v>
      </c>
      <c r="K454" s="29" t="str">
        <f>IF('Paste SD Data'!O451="","",'Paste SD Data'!O451)</f>
        <v>GEN</v>
      </c>
    </row>
    <row r="455" spans="1:11" ht="30" customHeight="1" x14ac:dyDescent="0.25">
      <c r="A455" s="25">
        <f>IF(Table1[[#This Row],[Name of Student]]="","",ROWS($A$1:A451))</f>
        <v>451</v>
      </c>
      <c r="B455" s="26">
        <f>IF('Paste SD Data'!A452="","",'Paste SD Data'!A452)</f>
        <v>11</v>
      </c>
      <c r="C455" s="26" t="str">
        <f>IF('Paste SD Data'!B452="","",'Paste SD Data'!B452)</f>
        <v>A</v>
      </c>
      <c r="D455" s="26">
        <f>IF('Paste SD Data'!C452="","",'Paste SD Data'!C452)</f>
        <v>13862</v>
      </c>
      <c r="E455" s="27" t="str">
        <f>IF('Paste SD Data'!E452="","",UPPER('Paste SD Data'!E452))</f>
        <v>NEELAM KANWAR</v>
      </c>
      <c r="F455" s="27" t="str">
        <f>IF('Paste SD Data'!G452="","",UPPER('Paste SD Data'!G452))</f>
        <v>KIRAN SINGH CHUNDAWAT</v>
      </c>
      <c r="G455" s="27" t="str">
        <f>IF('Paste SD Data'!H452="","",UPPER('Paste SD Data'!H452))</f>
        <v>PUSHPA KANWAR</v>
      </c>
      <c r="H455" s="26" t="str">
        <f>IF('Paste SD Data'!I452="","",IF('Paste SD Data'!I452="M","BOY","GIRL"))</f>
        <v>GIRL</v>
      </c>
      <c r="I455" s="28">
        <f>IF('Paste SD Data'!J452="","",'Paste SD Data'!J452)</f>
        <v>39515</v>
      </c>
      <c r="J455" s="34">
        <f t="shared" ref="J455:J518" si="7">J454+1</f>
        <v>881</v>
      </c>
      <c r="K455" s="29" t="str">
        <f>IF('Paste SD Data'!O452="","",'Paste SD Data'!O452)</f>
        <v>GEN</v>
      </c>
    </row>
    <row r="456" spans="1:11" ht="30" customHeight="1" x14ac:dyDescent="0.25">
      <c r="A456" s="25">
        <f>IF(Table1[[#This Row],[Name of Student]]="","",ROWS($A$1:A452))</f>
        <v>452</v>
      </c>
      <c r="B456" s="26">
        <f>IF('Paste SD Data'!A453="","",'Paste SD Data'!A453)</f>
        <v>11</v>
      </c>
      <c r="C456" s="26" t="str">
        <f>IF('Paste SD Data'!B453="","",'Paste SD Data'!B453)</f>
        <v>A</v>
      </c>
      <c r="D456" s="26">
        <f>IF('Paste SD Data'!C453="","",'Paste SD Data'!C453)</f>
        <v>13902</v>
      </c>
      <c r="E456" s="27" t="str">
        <f>IF('Paste SD Data'!E453="","",UPPER('Paste SD Data'!E453))</f>
        <v>NIKHIL KHOKHAR</v>
      </c>
      <c r="F456" s="27" t="str">
        <f>IF('Paste SD Data'!G453="","",UPPER('Paste SD Data'!G453))</f>
        <v>JAGDISH CHANDRA</v>
      </c>
      <c r="G456" s="27" t="str">
        <f>IF('Paste SD Data'!H453="","",UPPER('Paste SD Data'!H453))</f>
        <v>ASHA DEVI</v>
      </c>
      <c r="H456" s="26" t="str">
        <f>IF('Paste SD Data'!I453="","",IF('Paste SD Data'!I453="M","BOY","GIRL"))</f>
        <v>BOY</v>
      </c>
      <c r="I456" s="28">
        <f>IF('Paste SD Data'!J453="","",'Paste SD Data'!J453)</f>
        <v>38359</v>
      </c>
      <c r="J456" s="34">
        <f t="shared" si="7"/>
        <v>882</v>
      </c>
      <c r="K456" s="29" t="str">
        <f>IF('Paste SD Data'!O453="","",'Paste SD Data'!O453)</f>
        <v>SC</v>
      </c>
    </row>
    <row r="457" spans="1:11" ht="30" customHeight="1" x14ac:dyDescent="0.25">
      <c r="A457" s="25">
        <f>IF(Table1[[#This Row],[Name of Student]]="","",ROWS($A$1:A453))</f>
        <v>453</v>
      </c>
      <c r="B457" s="26">
        <f>IF('Paste SD Data'!A454="","",'Paste SD Data'!A454)</f>
        <v>11</v>
      </c>
      <c r="C457" s="26" t="str">
        <f>IF('Paste SD Data'!B454="","",'Paste SD Data'!B454)</f>
        <v>A</v>
      </c>
      <c r="D457" s="26">
        <f>IF('Paste SD Data'!C454="","",'Paste SD Data'!C454)</f>
        <v>13829</v>
      </c>
      <c r="E457" s="27" t="str">
        <f>IF('Paste SD Data'!E454="","",UPPER('Paste SD Data'!E454))</f>
        <v>OVESH RAZA</v>
      </c>
      <c r="F457" s="27" t="str">
        <f>IF('Paste SD Data'!G454="","",UPPER('Paste SD Data'!G454))</f>
        <v>IRFAN MOHMMAND SHEIKH</v>
      </c>
      <c r="G457" s="27" t="str">
        <f>IF('Paste SD Data'!H454="","",UPPER('Paste SD Data'!H454))</f>
        <v>TAMANNA BANU SHEIKH</v>
      </c>
      <c r="H457" s="26" t="str">
        <f>IF('Paste SD Data'!I454="","",IF('Paste SD Data'!I454="M","BOY","GIRL"))</f>
        <v>BOY</v>
      </c>
      <c r="I457" s="28">
        <f>IF('Paste SD Data'!J454="","",'Paste SD Data'!J454)</f>
        <v>38579</v>
      </c>
      <c r="J457" s="34">
        <f t="shared" si="7"/>
        <v>883</v>
      </c>
      <c r="K457" s="29" t="str">
        <f>IF('Paste SD Data'!O454="","",'Paste SD Data'!O454)</f>
        <v>GEN</v>
      </c>
    </row>
    <row r="458" spans="1:11" ht="30" customHeight="1" x14ac:dyDescent="0.25">
      <c r="A458" s="25">
        <f>IF(Table1[[#This Row],[Name of Student]]="","",ROWS($A$1:A454))</f>
        <v>454</v>
      </c>
      <c r="B458" s="26">
        <f>IF('Paste SD Data'!A455="","",'Paste SD Data'!A455)</f>
        <v>11</v>
      </c>
      <c r="C458" s="26" t="str">
        <f>IF('Paste SD Data'!B455="","",'Paste SD Data'!B455)</f>
        <v>A</v>
      </c>
      <c r="D458" s="26">
        <f>IF('Paste SD Data'!C455="","",'Paste SD Data'!C455)</f>
        <v>13790</v>
      </c>
      <c r="E458" s="27" t="str">
        <f>IF('Paste SD Data'!E455="","",UPPER('Paste SD Data'!E455))</f>
        <v>PANKAJ KUMARI</v>
      </c>
      <c r="F458" s="27" t="str">
        <f>IF('Paste SD Data'!G455="","",UPPER('Paste SD Data'!G455))</f>
        <v>KISHAN SINGH</v>
      </c>
      <c r="G458" s="27" t="str">
        <f>IF('Paste SD Data'!H455="","",UPPER('Paste SD Data'!H455))</f>
        <v>GEETA DEVI</v>
      </c>
      <c r="H458" s="26" t="str">
        <f>IF('Paste SD Data'!I455="","",IF('Paste SD Data'!I455="M","BOY","GIRL"))</f>
        <v>GIRL</v>
      </c>
      <c r="I458" s="28">
        <f>IF('Paste SD Data'!J455="","",'Paste SD Data'!J455)</f>
        <v>38709</v>
      </c>
      <c r="J458" s="34">
        <f t="shared" si="7"/>
        <v>884</v>
      </c>
      <c r="K458" s="29" t="str">
        <f>IF('Paste SD Data'!O455="","",'Paste SD Data'!O455)</f>
        <v>OBC</v>
      </c>
    </row>
    <row r="459" spans="1:11" ht="30" customHeight="1" x14ac:dyDescent="0.25">
      <c r="A459" s="25">
        <f>IF(Table1[[#This Row],[Name of Student]]="","",ROWS($A$1:A455))</f>
        <v>455</v>
      </c>
      <c r="B459" s="26">
        <f>IF('Paste SD Data'!A456="","",'Paste SD Data'!A456)</f>
        <v>11</v>
      </c>
      <c r="C459" s="26" t="str">
        <f>IF('Paste SD Data'!B456="","",'Paste SD Data'!B456)</f>
        <v>A</v>
      </c>
      <c r="D459" s="26">
        <f>IF('Paste SD Data'!C456="","",'Paste SD Data'!C456)</f>
        <v>13921</v>
      </c>
      <c r="E459" s="27" t="str">
        <f>IF('Paste SD Data'!E456="","",UPPER('Paste SD Data'!E456))</f>
        <v>PRADHUMAN SINGH RATHORE</v>
      </c>
      <c r="F459" s="27" t="str">
        <f>IF('Paste SD Data'!G456="","",UPPER('Paste SD Data'!G456))</f>
        <v>DURGA DAS RATHORE</v>
      </c>
      <c r="G459" s="27" t="str">
        <f>IF('Paste SD Data'!H456="","",UPPER('Paste SD Data'!H456))</f>
        <v>OM KANWAR</v>
      </c>
      <c r="H459" s="26" t="str">
        <f>IF('Paste SD Data'!I456="","",IF('Paste SD Data'!I456="M","BOY","GIRL"))</f>
        <v>BOY</v>
      </c>
      <c r="I459" s="28">
        <f>IF('Paste SD Data'!J456="","",'Paste SD Data'!J456)</f>
        <v>38601</v>
      </c>
      <c r="J459" s="34">
        <f t="shared" si="7"/>
        <v>885</v>
      </c>
      <c r="K459" s="29" t="str">
        <f>IF('Paste SD Data'!O456="","",'Paste SD Data'!O456)</f>
        <v>GEN</v>
      </c>
    </row>
    <row r="460" spans="1:11" ht="30" customHeight="1" x14ac:dyDescent="0.25">
      <c r="A460" s="25">
        <f>IF(Table1[[#This Row],[Name of Student]]="","",ROWS($A$1:A456))</f>
        <v>456</v>
      </c>
      <c r="B460" s="26">
        <f>IF('Paste SD Data'!A457="","",'Paste SD Data'!A457)</f>
        <v>11</v>
      </c>
      <c r="C460" s="26" t="str">
        <f>IF('Paste SD Data'!B457="","",'Paste SD Data'!B457)</f>
        <v>A</v>
      </c>
      <c r="D460" s="26">
        <f>IF('Paste SD Data'!C457="","",'Paste SD Data'!C457)</f>
        <v>13958</v>
      </c>
      <c r="E460" s="27" t="str">
        <f>IF('Paste SD Data'!E457="","",UPPER('Paste SD Data'!E457))</f>
        <v>PRAHLAD KUMAR REBARI</v>
      </c>
      <c r="F460" s="27" t="str">
        <f>IF('Paste SD Data'!G457="","",UPPER('Paste SD Data'!G457))</f>
        <v>RATAN LAL REBARI</v>
      </c>
      <c r="G460" s="27" t="str">
        <f>IF('Paste SD Data'!H457="","",UPPER('Paste SD Data'!H457))</f>
        <v>SAJJAN DEVI</v>
      </c>
      <c r="H460" s="26" t="str">
        <f>IF('Paste SD Data'!I457="","",IF('Paste SD Data'!I457="M","BOY","GIRL"))</f>
        <v>BOY</v>
      </c>
      <c r="I460" s="28">
        <f>IF('Paste SD Data'!J457="","",'Paste SD Data'!J457)</f>
        <v>38204</v>
      </c>
      <c r="J460" s="34">
        <f t="shared" si="7"/>
        <v>886</v>
      </c>
      <c r="K460" s="29" t="str">
        <f>IF('Paste SD Data'!O457="","",'Paste SD Data'!O457)</f>
        <v>SBC</v>
      </c>
    </row>
    <row r="461" spans="1:11" ht="30" customHeight="1" x14ac:dyDescent="0.25">
      <c r="A461" s="25">
        <f>IF(Table1[[#This Row],[Name of Student]]="","",ROWS($A$1:A457))</f>
        <v>457</v>
      </c>
      <c r="B461" s="26">
        <f>IF('Paste SD Data'!A458="","",'Paste SD Data'!A458)</f>
        <v>11</v>
      </c>
      <c r="C461" s="26" t="str">
        <f>IF('Paste SD Data'!B458="","",'Paste SD Data'!B458)</f>
        <v>A</v>
      </c>
      <c r="D461" s="26">
        <f>IF('Paste SD Data'!C458="","",'Paste SD Data'!C458)</f>
        <v>13832</v>
      </c>
      <c r="E461" s="27" t="str">
        <f>IF('Paste SD Data'!E458="","",UPPER('Paste SD Data'!E458))</f>
        <v>PRIAYANKA GURJAR</v>
      </c>
      <c r="F461" s="27" t="str">
        <f>IF('Paste SD Data'!G458="","",UPPER('Paste SD Data'!G458))</f>
        <v>RAM CHANDRA GURJAR</v>
      </c>
      <c r="G461" s="27" t="str">
        <f>IF('Paste SD Data'!H458="","",UPPER('Paste SD Data'!H458))</f>
        <v>RATNA GURJAR</v>
      </c>
      <c r="H461" s="26" t="str">
        <f>IF('Paste SD Data'!I458="","",IF('Paste SD Data'!I458="M","BOY","GIRL"))</f>
        <v>GIRL</v>
      </c>
      <c r="I461" s="28">
        <f>IF('Paste SD Data'!J458="","",'Paste SD Data'!J458)</f>
        <v>38912</v>
      </c>
      <c r="J461" s="34">
        <f t="shared" si="7"/>
        <v>887</v>
      </c>
      <c r="K461" s="29" t="str">
        <f>IF('Paste SD Data'!O458="","",'Paste SD Data'!O458)</f>
        <v>SBC</v>
      </c>
    </row>
    <row r="462" spans="1:11" ht="30" customHeight="1" x14ac:dyDescent="0.25">
      <c r="A462" s="25">
        <f>IF(Table1[[#This Row],[Name of Student]]="","",ROWS($A$1:A458))</f>
        <v>458</v>
      </c>
      <c r="B462" s="26">
        <f>IF('Paste SD Data'!A459="","",'Paste SD Data'!A459)</f>
        <v>11</v>
      </c>
      <c r="C462" s="26" t="str">
        <f>IF('Paste SD Data'!B459="","",'Paste SD Data'!B459)</f>
        <v>A</v>
      </c>
      <c r="D462" s="26">
        <f>IF('Paste SD Data'!C459="","",'Paste SD Data'!C459)</f>
        <v>13899</v>
      </c>
      <c r="E462" s="27" t="str">
        <f>IF('Paste SD Data'!E459="","",UPPER('Paste SD Data'!E459))</f>
        <v>PRINCE KUMAR</v>
      </c>
      <c r="F462" s="27" t="str">
        <f>IF('Paste SD Data'!G459="","",UPPER('Paste SD Data'!G459))</f>
        <v>NAND KISHOR</v>
      </c>
      <c r="G462" s="27" t="str">
        <f>IF('Paste SD Data'!H459="","",UPPER('Paste SD Data'!H459))</f>
        <v>SUKHI DEVI</v>
      </c>
      <c r="H462" s="26" t="str">
        <f>IF('Paste SD Data'!I459="","",IF('Paste SD Data'!I459="M","BOY","GIRL"))</f>
        <v>BOY</v>
      </c>
      <c r="I462" s="28">
        <f>IF('Paste SD Data'!J459="","",'Paste SD Data'!J459)</f>
        <v>39323</v>
      </c>
      <c r="J462" s="34">
        <f t="shared" si="7"/>
        <v>888</v>
      </c>
      <c r="K462" s="29" t="str">
        <f>IF('Paste SD Data'!O459="","",'Paste SD Data'!O459)</f>
        <v>OBC</v>
      </c>
    </row>
    <row r="463" spans="1:11" ht="30" customHeight="1" x14ac:dyDescent="0.25">
      <c r="A463" s="25">
        <f>IF(Table1[[#This Row],[Name of Student]]="","",ROWS($A$1:A459))</f>
        <v>459</v>
      </c>
      <c r="B463" s="26">
        <f>IF('Paste SD Data'!A460="","",'Paste SD Data'!A460)</f>
        <v>11</v>
      </c>
      <c r="C463" s="26" t="str">
        <f>IF('Paste SD Data'!B460="","",'Paste SD Data'!B460)</f>
        <v>A</v>
      </c>
      <c r="D463" s="26">
        <f>IF('Paste SD Data'!C460="","",'Paste SD Data'!C460)</f>
        <v>13541</v>
      </c>
      <c r="E463" s="27" t="str">
        <f>IF('Paste SD Data'!E460="","",UPPER('Paste SD Data'!E460))</f>
        <v>RADHESHYAM JATOLIYA</v>
      </c>
      <c r="F463" s="27" t="str">
        <f>IF('Paste SD Data'!G460="","",UPPER('Paste SD Data'!G460))</f>
        <v>GOVERDHAN JATOLIYA</v>
      </c>
      <c r="G463" s="27" t="str">
        <f>IF('Paste SD Data'!H460="","",UPPER('Paste SD Data'!H460))</f>
        <v>PANI DEVI</v>
      </c>
      <c r="H463" s="26" t="str">
        <f>IF('Paste SD Data'!I460="","",IF('Paste SD Data'!I460="M","BOY","GIRL"))</f>
        <v>BOY</v>
      </c>
      <c r="I463" s="28">
        <f>IF('Paste SD Data'!J460="","",'Paste SD Data'!J460)</f>
        <v>38138</v>
      </c>
      <c r="J463" s="34">
        <f t="shared" si="7"/>
        <v>889</v>
      </c>
      <c r="K463" s="29" t="str">
        <f>IF('Paste SD Data'!O460="","",'Paste SD Data'!O460)</f>
        <v>SC</v>
      </c>
    </row>
    <row r="464" spans="1:11" ht="30" customHeight="1" x14ac:dyDescent="0.25">
      <c r="A464" s="25">
        <f>IF(Table1[[#This Row],[Name of Student]]="","",ROWS($A$1:A460))</f>
        <v>460</v>
      </c>
      <c r="B464" s="26">
        <f>IF('Paste SD Data'!A461="","",'Paste SD Data'!A461)</f>
        <v>11</v>
      </c>
      <c r="C464" s="26" t="str">
        <f>IF('Paste SD Data'!B461="","",'Paste SD Data'!B461)</f>
        <v>A</v>
      </c>
      <c r="D464" s="26">
        <f>IF('Paste SD Data'!C461="","",'Paste SD Data'!C461)</f>
        <v>13834</v>
      </c>
      <c r="E464" s="27" t="str">
        <f>IF('Paste SD Data'!E461="","",UPPER('Paste SD Data'!E461))</f>
        <v>RAHUL KUMAR</v>
      </c>
      <c r="F464" s="27" t="str">
        <f>IF('Paste SD Data'!G461="","",UPPER('Paste SD Data'!G461))</f>
        <v>RAJ KUMAR MANDAL</v>
      </c>
      <c r="G464" s="27" t="str">
        <f>IF('Paste SD Data'!H461="","",UPPER('Paste SD Data'!H461))</f>
        <v>RITA MANDAL</v>
      </c>
      <c r="H464" s="26" t="str">
        <f>IF('Paste SD Data'!I461="","",IF('Paste SD Data'!I461="M","BOY","GIRL"))</f>
        <v>BOY</v>
      </c>
      <c r="I464" s="28">
        <f>IF('Paste SD Data'!J461="","",'Paste SD Data'!J461)</f>
        <v>37980</v>
      </c>
      <c r="J464" s="34">
        <f t="shared" si="7"/>
        <v>890</v>
      </c>
      <c r="K464" s="29" t="str">
        <f>IF('Paste SD Data'!O461="","",'Paste SD Data'!O461)</f>
        <v>GEN</v>
      </c>
    </row>
    <row r="465" spans="1:11" ht="30" customHeight="1" x14ac:dyDescent="0.25">
      <c r="A465" s="25">
        <f>IF(Table1[[#This Row],[Name of Student]]="","",ROWS($A$1:A461))</f>
        <v>461</v>
      </c>
      <c r="B465" s="26">
        <f>IF('Paste SD Data'!A462="","",'Paste SD Data'!A462)</f>
        <v>11</v>
      </c>
      <c r="C465" s="26" t="str">
        <f>IF('Paste SD Data'!B462="","",'Paste SD Data'!B462)</f>
        <v>A</v>
      </c>
      <c r="D465" s="26">
        <f>IF('Paste SD Data'!C462="","",'Paste SD Data'!C462)</f>
        <v>13935</v>
      </c>
      <c r="E465" s="27" t="str">
        <f>IF('Paste SD Data'!E462="","",UPPER('Paste SD Data'!E462))</f>
        <v>RAHUL SINGH</v>
      </c>
      <c r="F465" s="27" t="str">
        <f>IF('Paste SD Data'!G462="","",UPPER('Paste SD Data'!G462))</f>
        <v>RAMESH SINGH</v>
      </c>
      <c r="G465" s="27" t="str">
        <f>IF('Paste SD Data'!H462="","",UPPER('Paste SD Data'!H462))</f>
        <v>DHANWANTI DEVI</v>
      </c>
      <c r="H465" s="26" t="str">
        <f>IF('Paste SD Data'!I462="","",IF('Paste SD Data'!I462="M","BOY","GIRL"))</f>
        <v>BOY</v>
      </c>
      <c r="I465" s="28">
        <f>IF('Paste SD Data'!J462="","",'Paste SD Data'!J462)</f>
        <v>38514</v>
      </c>
      <c r="J465" s="34">
        <f t="shared" si="7"/>
        <v>891</v>
      </c>
      <c r="K465" s="29" t="str">
        <f>IF('Paste SD Data'!O462="","",'Paste SD Data'!O462)</f>
        <v>OBC</v>
      </c>
    </row>
    <row r="466" spans="1:11" ht="30" customHeight="1" x14ac:dyDescent="0.25">
      <c r="A466" s="25">
        <f>IF(Table1[[#This Row],[Name of Student]]="","",ROWS($A$1:A462))</f>
        <v>462</v>
      </c>
      <c r="B466" s="26">
        <f>IF('Paste SD Data'!A463="","",'Paste SD Data'!A463)</f>
        <v>11</v>
      </c>
      <c r="C466" s="26" t="str">
        <f>IF('Paste SD Data'!B463="","",'Paste SD Data'!B463)</f>
        <v>A</v>
      </c>
      <c r="D466" s="26">
        <f>IF('Paste SD Data'!C463="","",'Paste SD Data'!C463)</f>
        <v>13809</v>
      </c>
      <c r="E466" s="27" t="str">
        <f>IF('Paste SD Data'!E463="","",UPPER('Paste SD Data'!E463))</f>
        <v>RAHUL VAISHNAV</v>
      </c>
      <c r="F466" s="27" t="str">
        <f>IF('Paste SD Data'!G463="","",UPPER('Paste SD Data'!G463))</f>
        <v>RAJESH VAISHNAV</v>
      </c>
      <c r="G466" s="27" t="str">
        <f>IF('Paste SD Data'!H463="","",UPPER('Paste SD Data'!H463))</f>
        <v>DURGA DEVI</v>
      </c>
      <c r="H466" s="26" t="str">
        <f>IF('Paste SD Data'!I463="","",IF('Paste SD Data'!I463="M","BOY","GIRL"))</f>
        <v>BOY</v>
      </c>
      <c r="I466" s="28">
        <f>IF('Paste SD Data'!J463="","",'Paste SD Data'!J463)</f>
        <v>38712</v>
      </c>
      <c r="J466" s="34">
        <f t="shared" si="7"/>
        <v>892</v>
      </c>
      <c r="K466" s="29" t="str">
        <f>IF('Paste SD Data'!O463="","",'Paste SD Data'!O463)</f>
        <v>OBC</v>
      </c>
    </row>
    <row r="467" spans="1:11" ht="30" customHeight="1" x14ac:dyDescent="0.25">
      <c r="A467" s="25">
        <f>IF(Table1[[#This Row],[Name of Student]]="","",ROWS($A$1:A463))</f>
        <v>463</v>
      </c>
      <c r="B467" s="26">
        <f>IF('Paste SD Data'!A464="","",'Paste SD Data'!A464)</f>
        <v>11</v>
      </c>
      <c r="C467" s="26" t="str">
        <f>IF('Paste SD Data'!B464="","",'Paste SD Data'!B464)</f>
        <v>A</v>
      </c>
      <c r="D467" s="26">
        <f>IF('Paste SD Data'!C464="","",'Paste SD Data'!C464)</f>
        <v>13806</v>
      </c>
      <c r="E467" s="27" t="str">
        <f>IF('Paste SD Data'!E464="","",UPPER('Paste SD Data'!E464))</f>
        <v>RAKESH SUTHAR</v>
      </c>
      <c r="F467" s="27" t="str">
        <f>IF('Paste SD Data'!G464="","",UPPER('Paste SD Data'!G464))</f>
        <v>NARAYAN LAL SUTHAR</v>
      </c>
      <c r="G467" s="27" t="str">
        <f>IF('Paste SD Data'!H464="","",UPPER('Paste SD Data'!H464))</f>
        <v>MANJU DEVI</v>
      </c>
      <c r="H467" s="26" t="str">
        <f>IF('Paste SD Data'!I464="","",IF('Paste SD Data'!I464="M","BOY","GIRL"))</f>
        <v>BOY</v>
      </c>
      <c r="I467" s="28">
        <f>IF('Paste SD Data'!J464="","",'Paste SD Data'!J464)</f>
        <v>38909</v>
      </c>
      <c r="J467" s="34">
        <f t="shared" si="7"/>
        <v>893</v>
      </c>
      <c r="K467" s="29" t="str">
        <f>IF('Paste SD Data'!O464="","",'Paste SD Data'!O464)</f>
        <v>OBC</v>
      </c>
    </row>
    <row r="468" spans="1:11" ht="30" customHeight="1" x14ac:dyDescent="0.25">
      <c r="A468" s="25">
        <f>IF(Table1[[#This Row],[Name of Student]]="","",ROWS($A$1:A464))</f>
        <v>464</v>
      </c>
      <c r="B468" s="26">
        <f>IF('Paste SD Data'!A465="","",'Paste SD Data'!A465)</f>
        <v>11</v>
      </c>
      <c r="C468" s="26" t="str">
        <f>IF('Paste SD Data'!B465="","",'Paste SD Data'!B465)</f>
        <v>A</v>
      </c>
      <c r="D468" s="26">
        <f>IF('Paste SD Data'!C465="","",'Paste SD Data'!C465)</f>
        <v>13811</v>
      </c>
      <c r="E468" s="27" t="str">
        <f>IF('Paste SD Data'!E465="","",UPPER('Paste SD Data'!E465))</f>
        <v>SEJAL JEENGAR</v>
      </c>
      <c r="F468" s="27" t="str">
        <f>IF('Paste SD Data'!G465="","",UPPER('Paste SD Data'!G465))</f>
        <v>PRITHVIRAJ JEENGAR</v>
      </c>
      <c r="G468" s="27" t="str">
        <f>IF('Paste SD Data'!H465="","",UPPER('Paste SD Data'!H465))</f>
        <v>MEENA</v>
      </c>
      <c r="H468" s="26" t="str">
        <f>IF('Paste SD Data'!I465="","",IF('Paste SD Data'!I465="M","BOY","GIRL"))</f>
        <v>GIRL</v>
      </c>
      <c r="I468" s="28">
        <f>IF('Paste SD Data'!J465="","",'Paste SD Data'!J465)</f>
        <v>39032</v>
      </c>
      <c r="J468" s="34">
        <f t="shared" si="7"/>
        <v>894</v>
      </c>
      <c r="K468" s="29" t="str">
        <f>IF('Paste SD Data'!O465="","",'Paste SD Data'!O465)</f>
        <v>SC</v>
      </c>
    </row>
    <row r="469" spans="1:11" ht="30" customHeight="1" x14ac:dyDescent="0.25">
      <c r="A469" s="25">
        <f>IF(Table1[[#This Row],[Name of Student]]="","",ROWS($A$1:A465))</f>
        <v>465</v>
      </c>
      <c r="B469" s="26">
        <f>IF('Paste SD Data'!A466="","",'Paste SD Data'!A466)</f>
        <v>11</v>
      </c>
      <c r="C469" s="26" t="str">
        <f>IF('Paste SD Data'!B466="","",'Paste SD Data'!B466)</f>
        <v>A</v>
      </c>
      <c r="D469" s="26">
        <f>IF('Paste SD Data'!C466="","",'Paste SD Data'!C466)</f>
        <v>13756</v>
      </c>
      <c r="E469" s="27" t="str">
        <f>IF('Paste SD Data'!E466="","",UPPER('Paste SD Data'!E466))</f>
        <v>SHANKAR KHATIK</v>
      </c>
      <c r="F469" s="27" t="str">
        <f>IF('Paste SD Data'!G466="","",UPPER('Paste SD Data'!G466))</f>
        <v>BHERU LAL KHATIK</v>
      </c>
      <c r="G469" s="27" t="str">
        <f>IF('Paste SD Data'!H466="","",UPPER('Paste SD Data'!H466))</f>
        <v>INDRA DEVI</v>
      </c>
      <c r="H469" s="26" t="str">
        <f>IF('Paste SD Data'!I466="","",IF('Paste SD Data'!I466="M","BOY","GIRL"))</f>
        <v>BOY</v>
      </c>
      <c r="I469" s="28">
        <f>IF('Paste SD Data'!J466="","",'Paste SD Data'!J466)</f>
        <v>38910</v>
      </c>
      <c r="J469" s="34">
        <f t="shared" si="7"/>
        <v>895</v>
      </c>
      <c r="K469" s="29" t="str">
        <f>IF('Paste SD Data'!O466="","",'Paste SD Data'!O466)</f>
        <v>SC</v>
      </c>
    </row>
    <row r="470" spans="1:11" ht="30" customHeight="1" x14ac:dyDescent="0.25">
      <c r="A470" s="25">
        <f>IF(Table1[[#This Row],[Name of Student]]="","",ROWS($A$1:A466))</f>
        <v>466</v>
      </c>
      <c r="B470" s="26">
        <f>IF('Paste SD Data'!A467="","",'Paste SD Data'!A467)</f>
        <v>11</v>
      </c>
      <c r="C470" s="26" t="str">
        <f>IF('Paste SD Data'!B467="","",'Paste SD Data'!B467)</f>
        <v>A</v>
      </c>
      <c r="D470" s="26">
        <f>IF('Paste SD Data'!C467="","",'Paste SD Data'!C467)</f>
        <v>14000</v>
      </c>
      <c r="E470" s="27" t="str">
        <f>IF('Paste SD Data'!E467="","",UPPER('Paste SD Data'!E467))</f>
        <v>SHIV LAL TELI</v>
      </c>
      <c r="F470" s="27" t="str">
        <f>IF('Paste SD Data'!G467="","",UPPER('Paste SD Data'!G467))</f>
        <v>DEVA LAL TELI</v>
      </c>
      <c r="G470" s="27" t="str">
        <f>IF('Paste SD Data'!H467="","",UPPER('Paste SD Data'!H467))</f>
        <v>BHURI DEVI TELI</v>
      </c>
      <c r="H470" s="26" t="str">
        <f>IF('Paste SD Data'!I467="","",IF('Paste SD Data'!I467="M","BOY","GIRL"))</f>
        <v>BOY</v>
      </c>
      <c r="I470" s="28">
        <f>IF('Paste SD Data'!J467="","",'Paste SD Data'!J467)</f>
        <v>38878</v>
      </c>
      <c r="J470" s="34">
        <f t="shared" si="7"/>
        <v>896</v>
      </c>
      <c r="K470" s="29" t="str">
        <f>IF('Paste SD Data'!O467="","",'Paste SD Data'!O467)</f>
        <v>OBC</v>
      </c>
    </row>
    <row r="471" spans="1:11" ht="30" customHeight="1" x14ac:dyDescent="0.25">
      <c r="A471" s="25">
        <f>IF(Table1[[#This Row],[Name of Student]]="","",ROWS($A$1:A467))</f>
        <v>467</v>
      </c>
      <c r="B471" s="26">
        <f>IF('Paste SD Data'!A468="","",'Paste SD Data'!A468)</f>
        <v>11</v>
      </c>
      <c r="C471" s="26" t="str">
        <f>IF('Paste SD Data'!B468="","",'Paste SD Data'!B468)</f>
        <v>A</v>
      </c>
      <c r="D471" s="26">
        <f>IF('Paste SD Data'!C468="","",'Paste SD Data'!C468)</f>
        <v>13831</v>
      </c>
      <c r="E471" s="27" t="str">
        <f>IF('Paste SD Data'!E468="","",UPPER('Paste SD Data'!E468))</f>
        <v>SHIVAM SEVANI</v>
      </c>
      <c r="F471" s="27" t="str">
        <f>IF('Paste SD Data'!G468="","",UPPER('Paste SD Data'!G468))</f>
        <v>DAULAT RAM SEVANI</v>
      </c>
      <c r="G471" s="27" t="str">
        <f>IF('Paste SD Data'!H468="","",UPPER('Paste SD Data'!H468))</f>
        <v>HEENA SEVANI</v>
      </c>
      <c r="H471" s="26" t="str">
        <f>IF('Paste SD Data'!I468="","",IF('Paste SD Data'!I468="M","BOY","GIRL"))</f>
        <v>BOY</v>
      </c>
      <c r="I471" s="28">
        <f>IF('Paste SD Data'!J468="","",'Paste SD Data'!J468)</f>
        <v>38502</v>
      </c>
      <c r="J471" s="34">
        <f t="shared" si="7"/>
        <v>897</v>
      </c>
      <c r="K471" s="29" t="str">
        <f>IF('Paste SD Data'!O468="","",'Paste SD Data'!O468)</f>
        <v>GEN</v>
      </c>
    </row>
    <row r="472" spans="1:11" ht="30" customHeight="1" x14ac:dyDescent="0.25">
      <c r="A472" s="25">
        <f>IF(Table1[[#This Row],[Name of Student]]="","",ROWS($A$1:A468))</f>
        <v>468</v>
      </c>
      <c r="B472" s="26">
        <f>IF('Paste SD Data'!A469="","",'Paste SD Data'!A469)</f>
        <v>11</v>
      </c>
      <c r="C472" s="26" t="str">
        <f>IF('Paste SD Data'!B469="","",'Paste SD Data'!B469)</f>
        <v>A</v>
      </c>
      <c r="D472" s="26">
        <f>IF('Paste SD Data'!C469="","",'Paste SD Data'!C469)</f>
        <v>13960</v>
      </c>
      <c r="E472" s="27" t="str">
        <f>IF('Paste SD Data'!E469="","",UPPER('Paste SD Data'!E469))</f>
        <v>SHRAVAN GURJAR</v>
      </c>
      <c r="F472" s="27" t="str">
        <f>IF('Paste SD Data'!G469="","",UPPER('Paste SD Data'!G469))</f>
        <v>BHOJARAM GURJAR</v>
      </c>
      <c r="G472" s="27" t="str">
        <f>IF('Paste SD Data'!H469="","",UPPER('Paste SD Data'!H469))</f>
        <v>NOSI DEVI</v>
      </c>
      <c r="H472" s="26" t="str">
        <f>IF('Paste SD Data'!I469="","",IF('Paste SD Data'!I469="M","BOY","GIRL"))</f>
        <v>BOY</v>
      </c>
      <c r="I472" s="28">
        <f>IF('Paste SD Data'!J469="","",'Paste SD Data'!J469)</f>
        <v>38493</v>
      </c>
      <c r="J472" s="34">
        <f t="shared" si="7"/>
        <v>898</v>
      </c>
      <c r="K472" s="29" t="str">
        <f>IF('Paste SD Data'!O469="","",'Paste SD Data'!O469)</f>
        <v>SBC</v>
      </c>
    </row>
    <row r="473" spans="1:11" ht="30" customHeight="1" x14ac:dyDescent="0.25">
      <c r="A473" s="25">
        <f>IF(Table1[[#This Row],[Name of Student]]="","",ROWS($A$1:A469))</f>
        <v>469</v>
      </c>
      <c r="B473" s="26">
        <f>IF('Paste SD Data'!A470="","",'Paste SD Data'!A470)</f>
        <v>11</v>
      </c>
      <c r="C473" s="26" t="str">
        <f>IF('Paste SD Data'!B470="","",'Paste SD Data'!B470)</f>
        <v>A</v>
      </c>
      <c r="D473" s="26">
        <f>IF('Paste SD Data'!C470="","",'Paste SD Data'!C470)</f>
        <v>13917</v>
      </c>
      <c r="E473" s="27" t="str">
        <f>IF('Paste SD Data'!E470="","",UPPER('Paste SD Data'!E470))</f>
        <v>SIKANDAR SINGH</v>
      </c>
      <c r="F473" s="27" t="str">
        <f>IF('Paste SD Data'!G470="","",UPPER('Paste SD Data'!G470))</f>
        <v>MOTI SINGH</v>
      </c>
      <c r="G473" s="27" t="str">
        <f>IF('Paste SD Data'!H470="","",UPPER('Paste SD Data'!H470))</f>
        <v>KANYA DEVI</v>
      </c>
      <c r="H473" s="26" t="str">
        <f>IF('Paste SD Data'!I470="","",IF('Paste SD Data'!I470="M","BOY","GIRL"))</f>
        <v>BOY</v>
      </c>
      <c r="I473" s="28">
        <f>IF('Paste SD Data'!J470="","",'Paste SD Data'!J470)</f>
        <v>38797</v>
      </c>
      <c r="J473" s="34">
        <f t="shared" si="7"/>
        <v>899</v>
      </c>
      <c r="K473" s="29" t="str">
        <f>IF('Paste SD Data'!O470="","",'Paste SD Data'!O470)</f>
        <v>OBC</v>
      </c>
    </row>
    <row r="474" spans="1:11" ht="30" customHeight="1" x14ac:dyDescent="0.25">
      <c r="A474" s="25">
        <f>IF(Table1[[#This Row],[Name of Student]]="","",ROWS($A$1:A470))</f>
        <v>470</v>
      </c>
      <c r="B474" s="26">
        <f>IF('Paste SD Data'!A471="","",'Paste SD Data'!A471)</f>
        <v>11</v>
      </c>
      <c r="C474" s="26" t="str">
        <f>IF('Paste SD Data'!B471="","",'Paste SD Data'!B471)</f>
        <v>A</v>
      </c>
      <c r="D474" s="26">
        <f>IF('Paste SD Data'!C471="","",'Paste SD Data'!C471)</f>
        <v>13981</v>
      </c>
      <c r="E474" s="27" t="str">
        <f>IF('Paste SD Data'!E471="","",UPPER('Paste SD Data'!E471))</f>
        <v>SONU KUMARI</v>
      </c>
      <c r="F474" s="27" t="str">
        <f>IF('Paste SD Data'!G471="","",UPPER('Paste SD Data'!G471))</f>
        <v>MANOHAR SINGH</v>
      </c>
      <c r="G474" s="27" t="str">
        <f>IF('Paste SD Data'!H471="","",UPPER('Paste SD Data'!H471))</f>
        <v>KAMLA DEVI</v>
      </c>
      <c r="H474" s="26" t="str">
        <f>IF('Paste SD Data'!I471="","",IF('Paste SD Data'!I471="M","BOY","GIRL"))</f>
        <v>GIRL</v>
      </c>
      <c r="I474" s="28">
        <f>IF('Paste SD Data'!J471="","",'Paste SD Data'!J471)</f>
        <v>37895</v>
      </c>
      <c r="J474" s="34">
        <f t="shared" si="7"/>
        <v>900</v>
      </c>
      <c r="K474" s="29" t="str">
        <f>IF('Paste SD Data'!O471="","",'Paste SD Data'!O471)</f>
        <v>OBC</v>
      </c>
    </row>
    <row r="475" spans="1:11" ht="30" customHeight="1" x14ac:dyDescent="0.25">
      <c r="A475" s="25">
        <f>IF(Table1[[#This Row],[Name of Student]]="","",ROWS($A$1:A471))</f>
        <v>471</v>
      </c>
      <c r="B475" s="26">
        <f>IF('Paste SD Data'!A472="","",'Paste SD Data'!A472)</f>
        <v>11</v>
      </c>
      <c r="C475" s="26" t="str">
        <f>IF('Paste SD Data'!B472="","",'Paste SD Data'!B472)</f>
        <v>A</v>
      </c>
      <c r="D475" s="26">
        <f>IF('Paste SD Data'!C472="","",'Paste SD Data'!C472)</f>
        <v>13760</v>
      </c>
      <c r="E475" s="27" t="str">
        <f>IF('Paste SD Data'!E472="","",UPPER('Paste SD Data'!E472))</f>
        <v>SURAJ SINGH</v>
      </c>
      <c r="F475" s="27" t="str">
        <f>IF('Paste SD Data'!G472="","",UPPER('Paste SD Data'!G472))</f>
        <v>GANPAT SINGH</v>
      </c>
      <c r="G475" s="27" t="str">
        <f>IF('Paste SD Data'!H472="","",UPPER('Paste SD Data'!H472))</f>
        <v>PARAS DEVI</v>
      </c>
      <c r="H475" s="26" t="str">
        <f>IF('Paste SD Data'!I472="","",IF('Paste SD Data'!I472="M","BOY","GIRL"))</f>
        <v>BOY</v>
      </c>
      <c r="I475" s="28">
        <f>IF('Paste SD Data'!J472="","",'Paste SD Data'!J472)</f>
        <v>37333</v>
      </c>
      <c r="J475" s="34">
        <f t="shared" si="7"/>
        <v>901</v>
      </c>
      <c r="K475" s="29" t="str">
        <f>IF('Paste SD Data'!O472="","",'Paste SD Data'!O472)</f>
        <v>OBC</v>
      </c>
    </row>
    <row r="476" spans="1:11" ht="30" customHeight="1" x14ac:dyDescent="0.25">
      <c r="A476" s="25">
        <f>IF(Table1[[#This Row],[Name of Student]]="","",ROWS($A$1:A472))</f>
        <v>472</v>
      </c>
      <c r="B476" s="26">
        <f>IF('Paste SD Data'!A473="","",'Paste SD Data'!A473)</f>
        <v>11</v>
      </c>
      <c r="C476" s="26" t="str">
        <f>IF('Paste SD Data'!B473="","",'Paste SD Data'!B473)</f>
        <v>A</v>
      </c>
      <c r="D476" s="26">
        <f>IF('Paste SD Data'!C473="","",'Paste SD Data'!C473)</f>
        <v>13538</v>
      </c>
      <c r="E476" s="27" t="str">
        <f>IF('Paste SD Data'!E473="","",UPPER('Paste SD Data'!E473))</f>
        <v>SURYA PRATAP SINGH CHUNDAWAT</v>
      </c>
      <c r="F476" s="27" t="str">
        <f>IF('Paste SD Data'!G473="","",UPPER('Paste SD Data'!G473))</f>
        <v>KIRAN SINGH CHUNDAWAT</v>
      </c>
      <c r="G476" s="27" t="str">
        <f>IF('Paste SD Data'!H473="","",UPPER('Paste SD Data'!H473))</f>
        <v>PUSHPA KANWAR</v>
      </c>
      <c r="H476" s="26" t="str">
        <f>IF('Paste SD Data'!I473="","",IF('Paste SD Data'!I473="M","BOY","GIRL"))</f>
        <v>BOY</v>
      </c>
      <c r="I476" s="28">
        <f>IF('Paste SD Data'!J473="","",'Paste SD Data'!J473)</f>
        <v>39111</v>
      </c>
      <c r="J476" s="34">
        <f t="shared" si="7"/>
        <v>902</v>
      </c>
      <c r="K476" s="29" t="str">
        <f>IF('Paste SD Data'!O473="","",'Paste SD Data'!O473)</f>
        <v>GEN</v>
      </c>
    </row>
    <row r="477" spans="1:11" ht="30" customHeight="1" x14ac:dyDescent="0.25">
      <c r="A477" s="25">
        <f>IF(Table1[[#This Row],[Name of Student]]="","",ROWS($A$1:A473))</f>
        <v>473</v>
      </c>
      <c r="B477" s="26">
        <f>IF('Paste SD Data'!A474="","",'Paste SD Data'!A474)</f>
        <v>11</v>
      </c>
      <c r="C477" s="26" t="str">
        <f>IF('Paste SD Data'!B474="","",'Paste SD Data'!B474)</f>
        <v>A</v>
      </c>
      <c r="D477" s="26">
        <f>IF('Paste SD Data'!C474="","",'Paste SD Data'!C474)</f>
        <v>13865</v>
      </c>
      <c r="E477" s="27" t="str">
        <f>IF('Paste SD Data'!E474="","",UPPER('Paste SD Data'!E474))</f>
        <v>VAIBHAV PRASAD</v>
      </c>
      <c r="F477" s="27" t="str">
        <f>IF('Paste SD Data'!G474="","",UPPER('Paste SD Data'!G474))</f>
        <v>KAILASH CHANDRA SALVI</v>
      </c>
      <c r="G477" s="27" t="str">
        <f>IF('Paste SD Data'!H474="","",UPPER('Paste SD Data'!H474))</f>
        <v>MANJU DEVI</v>
      </c>
      <c r="H477" s="26" t="str">
        <f>IF('Paste SD Data'!I474="","",IF('Paste SD Data'!I474="M","BOY","GIRL"))</f>
        <v>BOY</v>
      </c>
      <c r="I477" s="28">
        <f>IF('Paste SD Data'!J474="","",'Paste SD Data'!J474)</f>
        <v>38783</v>
      </c>
      <c r="J477" s="34">
        <f t="shared" si="7"/>
        <v>903</v>
      </c>
      <c r="K477" s="29" t="str">
        <f>IF('Paste SD Data'!O474="","",'Paste SD Data'!O474)</f>
        <v>SC</v>
      </c>
    </row>
    <row r="478" spans="1:11" ht="30" customHeight="1" x14ac:dyDescent="0.25">
      <c r="A478" s="25">
        <f>IF(Table1[[#This Row],[Name of Student]]="","",ROWS($A$1:A474))</f>
        <v>474</v>
      </c>
      <c r="B478" s="26">
        <f>IF('Paste SD Data'!A475="","",'Paste SD Data'!A475)</f>
        <v>11</v>
      </c>
      <c r="C478" s="26" t="str">
        <f>IF('Paste SD Data'!B475="","",'Paste SD Data'!B475)</f>
        <v>A</v>
      </c>
      <c r="D478" s="26">
        <f>IF('Paste SD Data'!C475="","",'Paste SD Data'!C475)</f>
        <v>13896</v>
      </c>
      <c r="E478" s="27" t="str">
        <f>IF('Paste SD Data'!E475="","",UPPER('Paste SD Data'!E475))</f>
        <v>VIRENDRA SINGH</v>
      </c>
      <c r="F478" s="27" t="str">
        <f>IF('Paste SD Data'!G475="","",UPPER('Paste SD Data'!G475))</f>
        <v>MOHAN SINGH</v>
      </c>
      <c r="G478" s="27" t="str">
        <f>IF('Paste SD Data'!H475="","",UPPER('Paste SD Data'!H475))</f>
        <v>DHANNI DEVI</v>
      </c>
      <c r="H478" s="26" t="str">
        <f>IF('Paste SD Data'!I475="","",IF('Paste SD Data'!I475="M","BOY","GIRL"))</f>
        <v>BOY</v>
      </c>
      <c r="I478" s="28">
        <f>IF('Paste SD Data'!J475="","",'Paste SD Data'!J475)</f>
        <v>38602</v>
      </c>
      <c r="J478" s="34">
        <f t="shared" si="7"/>
        <v>904</v>
      </c>
      <c r="K478" s="29" t="str">
        <f>IF('Paste SD Data'!O475="","",'Paste SD Data'!O475)</f>
        <v>OBC</v>
      </c>
    </row>
    <row r="479" spans="1:11" ht="30" customHeight="1" x14ac:dyDescent="0.25">
      <c r="A479" s="25">
        <f>IF(Table1[[#This Row],[Name of Student]]="","",ROWS($A$1:A475))</f>
        <v>475</v>
      </c>
      <c r="B479" s="26">
        <f>IF('Paste SD Data'!A476="","",'Paste SD Data'!A476)</f>
        <v>11</v>
      </c>
      <c r="C479" s="26" t="str">
        <f>IF('Paste SD Data'!B476="","",'Paste SD Data'!B476)</f>
        <v>A</v>
      </c>
      <c r="D479" s="26">
        <f>IF('Paste SD Data'!C476="","",'Paste SD Data'!C476)</f>
        <v>13989</v>
      </c>
      <c r="E479" s="27" t="str">
        <f>IF('Paste SD Data'!E476="","",UPPER('Paste SD Data'!E476))</f>
        <v>YOGENDRA SINGH</v>
      </c>
      <c r="F479" s="27" t="str">
        <f>IF('Paste SD Data'!G476="","",UPPER('Paste SD Data'!G476))</f>
        <v>PRATAP SINGH</v>
      </c>
      <c r="G479" s="27" t="str">
        <f>IF('Paste SD Data'!H476="","",UPPER('Paste SD Data'!H476))</f>
        <v>SEEMA DEVI</v>
      </c>
      <c r="H479" s="26" t="str">
        <f>IF('Paste SD Data'!I476="","",IF('Paste SD Data'!I476="M","BOY","GIRL"))</f>
        <v>BOY</v>
      </c>
      <c r="I479" s="28">
        <f>IF('Paste SD Data'!J476="","",'Paste SD Data'!J476)</f>
        <v>39270</v>
      </c>
      <c r="J479" s="34">
        <f t="shared" si="7"/>
        <v>905</v>
      </c>
      <c r="K479" s="29" t="str">
        <f>IF('Paste SD Data'!O476="","",'Paste SD Data'!O476)</f>
        <v>OBC</v>
      </c>
    </row>
    <row r="480" spans="1:11" ht="30" customHeight="1" x14ac:dyDescent="0.25">
      <c r="A480" s="25">
        <f>IF(Table1[[#This Row],[Name of Student]]="","",ROWS($A$1:A476))</f>
        <v>476</v>
      </c>
      <c r="B480" s="26">
        <f>IF('Paste SD Data'!A477="","",'Paste SD Data'!A477)</f>
        <v>11</v>
      </c>
      <c r="C480" s="26" t="str">
        <f>IF('Paste SD Data'!B477="","",'Paste SD Data'!B477)</f>
        <v>B</v>
      </c>
      <c r="D480" s="26">
        <f>IF('Paste SD Data'!C477="","",'Paste SD Data'!C477)</f>
        <v>13204</v>
      </c>
      <c r="E480" s="27" t="str">
        <f>IF('Paste SD Data'!E477="","",UPPER('Paste SD Data'!E477))</f>
        <v>ASHOK SINGH</v>
      </c>
      <c r="F480" s="27" t="str">
        <f>IF('Paste SD Data'!G477="","",UPPER('Paste SD Data'!G477))</f>
        <v>PRAKASH SINGH</v>
      </c>
      <c r="G480" s="27" t="str">
        <f>IF('Paste SD Data'!H477="","",UPPER('Paste SD Data'!H477))</f>
        <v>SEETA DEVI</v>
      </c>
      <c r="H480" s="26" t="str">
        <f>IF('Paste SD Data'!I477="","",IF('Paste SD Data'!I477="M","BOY","GIRL"))</f>
        <v>BOY</v>
      </c>
      <c r="I480" s="28">
        <f>IF('Paste SD Data'!J477="","",'Paste SD Data'!J477)</f>
        <v>38696</v>
      </c>
      <c r="J480" s="34">
        <f t="shared" si="7"/>
        <v>906</v>
      </c>
      <c r="K480" s="29" t="str">
        <f>IF('Paste SD Data'!O477="","",'Paste SD Data'!O477)</f>
        <v>OBC</v>
      </c>
    </row>
    <row r="481" spans="1:11" ht="30" customHeight="1" x14ac:dyDescent="0.25">
      <c r="A481" s="25">
        <f>IF(Table1[[#This Row],[Name of Student]]="","",ROWS($A$1:A477))</f>
        <v>477</v>
      </c>
      <c r="B481" s="26">
        <f>IF('Paste SD Data'!A478="","",'Paste SD Data'!A478)</f>
        <v>11</v>
      </c>
      <c r="C481" s="26" t="str">
        <f>IF('Paste SD Data'!B478="","",'Paste SD Data'!B478)</f>
        <v>B</v>
      </c>
      <c r="D481" s="26">
        <f>IF('Paste SD Data'!C478="","",'Paste SD Data'!C478)</f>
        <v>12970</v>
      </c>
      <c r="E481" s="27" t="str">
        <f>IF('Paste SD Data'!E478="","",UPPER('Paste SD Data'!E478))</f>
        <v>ASHOK SINGH RAWAT</v>
      </c>
      <c r="F481" s="27" t="str">
        <f>IF('Paste SD Data'!G478="","",UPPER('Paste SD Data'!G478))</f>
        <v>MOHAN SINGH</v>
      </c>
      <c r="G481" s="27" t="str">
        <f>IF('Paste SD Data'!H478="","",UPPER('Paste SD Data'!H478))</f>
        <v>BHANWARI BAI</v>
      </c>
      <c r="H481" s="26" t="str">
        <f>IF('Paste SD Data'!I478="","",IF('Paste SD Data'!I478="M","BOY","GIRL"))</f>
        <v>BOY</v>
      </c>
      <c r="I481" s="28">
        <f>IF('Paste SD Data'!J478="","",'Paste SD Data'!J478)</f>
        <v>38563</v>
      </c>
      <c r="J481" s="34">
        <f t="shared" si="7"/>
        <v>907</v>
      </c>
      <c r="K481" s="29" t="str">
        <f>IF('Paste SD Data'!O478="","",'Paste SD Data'!O478)</f>
        <v>OBC</v>
      </c>
    </row>
    <row r="482" spans="1:11" ht="30" customHeight="1" x14ac:dyDescent="0.25">
      <c r="A482" s="25">
        <f>IF(Table1[[#This Row],[Name of Student]]="","",ROWS($A$1:A478))</f>
        <v>478</v>
      </c>
      <c r="B482" s="26">
        <f>IF('Paste SD Data'!A479="","",'Paste SD Data'!A479)</f>
        <v>11</v>
      </c>
      <c r="C482" s="26" t="str">
        <f>IF('Paste SD Data'!B479="","",'Paste SD Data'!B479)</f>
        <v>B</v>
      </c>
      <c r="D482" s="26">
        <f>IF('Paste SD Data'!C479="","",'Paste SD Data'!C479)</f>
        <v>13028</v>
      </c>
      <c r="E482" s="27" t="str">
        <f>IF('Paste SD Data'!E479="","",UPPER('Paste SD Data'!E479))</f>
        <v>BHERU LAL</v>
      </c>
      <c r="F482" s="27" t="str">
        <f>IF('Paste SD Data'!G479="","",UPPER('Paste SD Data'!G479))</f>
        <v>BHADA RAM</v>
      </c>
      <c r="G482" s="27" t="str">
        <f>IF('Paste SD Data'!H479="","",UPPER('Paste SD Data'!H479))</f>
        <v>CHAINI DEVI</v>
      </c>
      <c r="H482" s="26" t="str">
        <f>IF('Paste SD Data'!I479="","",IF('Paste SD Data'!I479="M","BOY","GIRL"))</f>
        <v>BOY</v>
      </c>
      <c r="I482" s="28">
        <f>IF('Paste SD Data'!J479="","",'Paste SD Data'!J479)</f>
        <v>37510</v>
      </c>
      <c r="J482" s="34">
        <f t="shared" si="7"/>
        <v>908</v>
      </c>
      <c r="K482" s="29" t="str">
        <f>IF('Paste SD Data'!O479="","",'Paste SD Data'!O479)</f>
        <v>SC</v>
      </c>
    </row>
    <row r="483" spans="1:11" ht="30" customHeight="1" x14ac:dyDescent="0.25">
      <c r="A483" s="25">
        <f>IF(Table1[[#This Row],[Name of Student]]="","",ROWS($A$1:A479))</f>
        <v>479</v>
      </c>
      <c r="B483" s="26">
        <f>IF('Paste SD Data'!A480="","",'Paste SD Data'!A480)</f>
        <v>11</v>
      </c>
      <c r="C483" s="26" t="str">
        <f>IF('Paste SD Data'!B480="","",'Paste SD Data'!B480)</f>
        <v>B</v>
      </c>
      <c r="D483" s="26">
        <f>IF('Paste SD Data'!C480="","",'Paste SD Data'!C480)</f>
        <v>13030</v>
      </c>
      <c r="E483" s="27" t="str">
        <f>IF('Paste SD Data'!E480="","",UPPER('Paste SD Data'!E480))</f>
        <v>CHANDRA SINGH</v>
      </c>
      <c r="F483" s="27" t="str">
        <f>IF('Paste SD Data'!G480="","",UPPER('Paste SD Data'!G480))</f>
        <v>HEERA SINGH</v>
      </c>
      <c r="G483" s="27" t="str">
        <f>IF('Paste SD Data'!H480="","",UPPER('Paste SD Data'!H480))</f>
        <v>SAINA DEVI</v>
      </c>
      <c r="H483" s="26" t="str">
        <f>IF('Paste SD Data'!I480="","",IF('Paste SD Data'!I480="M","BOY","GIRL"))</f>
        <v>BOY</v>
      </c>
      <c r="I483" s="28">
        <f>IF('Paste SD Data'!J480="","",'Paste SD Data'!J480)</f>
        <v>37293</v>
      </c>
      <c r="J483" s="34">
        <f t="shared" si="7"/>
        <v>909</v>
      </c>
      <c r="K483" s="29" t="str">
        <f>IF('Paste SD Data'!O480="","",'Paste SD Data'!O480)</f>
        <v>OBC</v>
      </c>
    </row>
    <row r="484" spans="1:11" ht="30" customHeight="1" x14ac:dyDescent="0.25">
      <c r="A484" s="25">
        <f>IF(Table1[[#This Row],[Name of Student]]="","",ROWS($A$1:A480))</f>
        <v>480</v>
      </c>
      <c r="B484" s="26">
        <f>IF('Paste SD Data'!A481="","",'Paste SD Data'!A481)</f>
        <v>11</v>
      </c>
      <c r="C484" s="26" t="str">
        <f>IF('Paste SD Data'!B481="","",'Paste SD Data'!B481)</f>
        <v>B</v>
      </c>
      <c r="D484" s="26">
        <f>IF('Paste SD Data'!C481="","",'Paste SD Data'!C481)</f>
        <v>13275</v>
      </c>
      <c r="E484" s="27" t="str">
        <f>IF('Paste SD Data'!E481="","",UPPER('Paste SD Data'!E481))</f>
        <v>CHETAN KUMAR GURJAR</v>
      </c>
      <c r="F484" s="27" t="str">
        <f>IF('Paste SD Data'!G481="","",UPPER('Paste SD Data'!G481))</f>
        <v>DHARM CHAND GURJAR</v>
      </c>
      <c r="G484" s="27" t="str">
        <f>IF('Paste SD Data'!H481="","",UPPER('Paste SD Data'!H481))</f>
        <v>SITA DEVI</v>
      </c>
      <c r="H484" s="26" t="str">
        <f>IF('Paste SD Data'!I481="","",IF('Paste SD Data'!I481="M","BOY","GIRL"))</f>
        <v>BOY</v>
      </c>
      <c r="I484" s="28">
        <f>IF('Paste SD Data'!J481="","",'Paste SD Data'!J481)</f>
        <v>38918</v>
      </c>
      <c r="J484" s="34">
        <f t="shared" si="7"/>
        <v>910</v>
      </c>
      <c r="K484" s="29" t="str">
        <f>IF('Paste SD Data'!O481="","",'Paste SD Data'!O481)</f>
        <v>SBC</v>
      </c>
    </row>
    <row r="485" spans="1:11" ht="30" customHeight="1" x14ac:dyDescent="0.25">
      <c r="A485" s="25">
        <f>IF(Table1[[#This Row],[Name of Student]]="","",ROWS($A$1:A481))</f>
        <v>481</v>
      </c>
      <c r="B485" s="26">
        <f>IF('Paste SD Data'!A482="","",'Paste SD Data'!A482)</f>
        <v>11</v>
      </c>
      <c r="C485" s="26" t="str">
        <f>IF('Paste SD Data'!B482="","",'Paste SD Data'!B482)</f>
        <v>B</v>
      </c>
      <c r="D485" s="26">
        <f>IF('Paste SD Data'!C482="","",'Paste SD Data'!C482)</f>
        <v>13337</v>
      </c>
      <c r="E485" s="27" t="str">
        <f>IF('Paste SD Data'!E482="","",UPPER('Paste SD Data'!E482))</f>
        <v>DHANNA SINGH</v>
      </c>
      <c r="F485" s="27" t="str">
        <f>IF('Paste SD Data'!G482="","",UPPER('Paste SD Data'!G482))</f>
        <v>MADHU SINGH</v>
      </c>
      <c r="G485" s="27" t="str">
        <f>IF('Paste SD Data'!H482="","",UPPER('Paste SD Data'!H482))</f>
        <v>SAYARI DEVI</v>
      </c>
      <c r="H485" s="26" t="str">
        <f>IF('Paste SD Data'!I482="","",IF('Paste SD Data'!I482="M","BOY","GIRL"))</f>
        <v>BOY</v>
      </c>
      <c r="I485" s="28">
        <f>IF('Paste SD Data'!J482="","",'Paste SD Data'!J482)</f>
        <v>37957</v>
      </c>
      <c r="J485" s="34">
        <f t="shared" si="7"/>
        <v>911</v>
      </c>
      <c r="K485" s="29" t="str">
        <f>IF('Paste SD Data'!O482="","",'Paste SD Data'!O482)</f>
        <v>OBC</v>
      </c>
    </row>
    <row r="486" spans="1:11" ht="30" customHeight="1" x14ac:dyDescent="0.25">
      <c r="A486" s="25">
        <f>IF(Table1[[#This Row],[Name of Student]]="","",ROWS($A$1:A482))</f>
        <v>482</v>
      </c>
      <c r="B486" s="26">
        <f>IF('Paste SD Data'!A483="","",'Paste SD Data'!A483)</f>
        <v>11</v>
      </c>
      <c r="C486" s="26" t="str">
        <f>IF('Paste SD Data'!B483="","",'Paste SD Data'!B483)</f>
        <v>B</v>
      </c>
      <c r="D486" s="26">
        <f>IF('Paste SD Data'!C483="","",'Paste SD Data'!C483)</f>
        <v>13238</v>
      </c>
      <c r="E486" s="27" t="str">
        <f>IF('Paste SD Data'!E483="","",UPPER('Paste SD Data'!E483))</f>
        <v>DHEERAJ NATH</v>
      </c>
      <c r="F486" s="27" t="str">
        <f>IF('Paste SD Data'!G483="","",UPPER('Paste SD Data'!G483))</f>
        <v>CHHITAR NATH</v>
      </c>
      <c r="G486" s="27" t="str">
        <f>IF('Paste SD Data'!H483="","",UPPER('Paste SD Data'!H483))</f>
        <v>SUNDAR DEVI</v>
      </c>
      <c r="H486" s="26" t="str">
        <f>IF('Paste SD Data'!I483="","",IF('Paste SD Data'!I483="M","BOY","GIRL"))</f>
        <v>BOY</v>
      </c>
      <c r="I486" s="28">
        <f>IF('Paste SD Data'!J483="","",'Paste SD Data'!J483)</f>
        <v>38812</v>
      </c>
      <c r="J486" s="34">
        <f t="shared" si="7"/>
        <v>912</v>
      </c>
      <c r="K486" s="29" t="str">
        <f>IF('Paste SD Data'!O483="","",'Paste SD Data'!O483)</f>
        <v>OBC</v>
      </c>
    </row>
    <row r="487" spans="1:11" ht="30" customHeight="1" x14ac:dyDescent="0.25">
      <c r="A487" s="25">
        <f>IF(Table1[[#This Row],[Name of Student]]="","",ROWS($A$1:A483))</f>
        <v>483</v>
      </c>
      <c r="B487" s="26">
        <f>IF('Paste SD Data'!A484="","",'Paste SD Data'!A484)</f>
        <v>11</v>
      </c>
      <c r="C487" s="26" t="str">
        <f>IF('Paste SD Data'!B484="","",'Paste SD Data'!B484)</f>
        <v>B</v>
      </c>
      <c r="D487" s="26">
        <f>IF('Paste SD Data'!C484="","",'Paste SD Data'!C484)</f>
        <v>12965</v>
      </c>
      <c r="E487" s="27" t="str">
        <f>IF('Paste SD Data'!E484="","",UPPER('Paste SD Data'!E484))</f>
        <v>DINESH GURJAR</v>
      </c>
      <c r="F487" s="27" t="str">
        <f>IF('Paste SD Data'!G484="","",UPPER('Paste SD Data'!G484))</f>
        <v>KANHEYA LAL GURJAR</v>
      </c>
      <c r="G487" s="27" t="str">
        <f>IF('Paste SD Data'!H484="","",UPPER('Paste SD Data'!H484))</f>
        <v>NARAYANI DEVI</v>
      </c>
      <c r="H487" s="26" t="str">
        <f>IF('Paste SD Data'!I484="","",IF('Paste SD Data'!I484="M","BOY","GIRL"))</f>
        <v>BOY</v>
      </c>
      <c r="I487" s="28">
        <f>IF('Paste SD Data'!J484="","",'Paste SD Data'!J484)</f>
        <v>38327</v>
      </c>
      <c r="J487" s="34">
        <f t="shared" si="7"/>
        <v>913</v>
      </c>
      <c r="K487" s="29" t="str">
        <f>IF('Paste SD Data'!O484="","",'Paste SD Data'!O484)</f>
        <v>SBC</v>
      </c>
    </row>
    <row r="488" spans="1:11" ht="30" customHeight="1" x14ac:dyDescent="0.25">
      <c r="A488" s="25">
        <f>IF(Table1[[#This Row],[Name of Student]]="","",ROWS($A$1:A484))</f>
        <v>484</v>
      </c>
      <c r="B488" s="26">
        <f>IF('Paste SD Data'!A485="","",'Paste SD Data'!A485)</f>
        <v>11</v>
      </c>
      <c r="C488" s="26" t="str">
        <f>IF('Paste SD Data'!B485="","",'Paste SD Data'!B485)</f>
        <v>B</v>
      </c>
      <c r="D488" s="26">
        <f>IF('Paste SD Data'!C485="","",'Paste SD Data'!C485)</f>
        <v>13523</v>
      </c>
      <c r="E488" s="27" t="str">
        <f>IF('Paste SD Data'!E485="","",UPPER('Paste SD Data'!E485))</f>
        <v>GOVIND NANGARACHI</v>
      </c>
      <c r="F488" s="27" t="str">
        <f>IF('Paste SD Data'!G485="","",UPPER('Paste SD Data'!G485))</f>
        <v>MANGI LAL NANGARACHI</v>
      </c>
      <c r="G488" s="27" t="str">
        <f>IF('Paste SD Data'!H485="","",UPPER('Paste SD Data'!H485))</f>
        <v>KAILASHI DEVI</v>
      </c>
      <c r="H488" s="26" t="str">
        <f>IF('Paste SD Data'!I485="","",IF('Paste SD Data'!I485="M","BOY","GIRL"))</f>
        <v>BOY</v>
      </c>
      <c r="I488" s="28">
        <f>IF('Paste SD Data'!J485="","",'Paste SD Data'!J485)</f>
        <v>38543</v>
      </c>
      <c r="J488" s="34">
        <f t="shared" si="7"/>
        <v>914</v>
      </c>
      <c r="K488" s="29" t="str">
        <f>IF('Paste SD Data'!O485="","",'Paste SD Data'!O485)</f>
        <v>SC</v>
      </c>
    </row>
    <row r="489" spans="1:11" ht="30" customHeight="1" x14ac:dyDescent="0.25">
      <c r="A489" s="25">
        <f>IF(Table1[[#This Row],[Name of Student]]="","",ROWS($A$1:A485))</f>
        <v>485</v>
      </c>
      <c r="B489" s="26">
        <f>IF('Paste SD Data'!A486="","",'Paste SD Data'!A486)</f>
        <v>11</v>
      </c>
      <c r="C489" s="26" t="str">
        <f>IF('Paste SD Data'!B486="","",'Paste SD Data'!B486)</f>
        <v>B</v>
      </c>
      <c r="D489" s="26">
        <f>IF('Paste SD Data'!C486="","",'Paste SD Data'!C486)</f>
        <v>13319</v>
      </c>
      <c r="E489" s="27" t="str">
        <f>IF('Paste SD Data'!E486="","",UPPER('Paste SD Data'!E486))</f>
        <v>INDRA SINGH</v>
      </c>
      <c r="F489" s="27" t="str">
        <f>IF('Paste SD Data'!G486="","",UPPER('Paste SD Data'!G486))</f>
        <v>NAIN SINGH</v>
      </c>
      <c r="G489" s="27" t="str">
        <f>IF('Paste SD Data'!H486="","",UPPER('Paste SD Data'!H486))</f>
        <v>MEETHU KANWAR</v>
      </c>
      <c r="H489" s="26" t="str">
        <f>IF('Paste SD Data'!I486="","",IF('Paste SD Data'!I486="M","BOY","GIRL"))</f>
        <v>BOY</v>
      </c>
      <c r="I489" s="28">
        <f>IF('Paste SD Data'!J486="","",'Paste SD Data'!J486)</f>
        <v>37816</v>
      </c>
      <c r="J489" s="34">
        <f t="shared" si="7"/>
        <v>915</v>
      </c>
      <c r="K489" s="29" t="str">
        <f>IF('Paste SD Data'!O486="","",'Paste SD Data'!O486)</f>
        <v>GEN</v>
      </c>
    </row>
    <row r="490" spans="1:11" ht="30" customHeight="1" x14ac:dyDescent="0.25">
      <c r="A490" s="25">
        <f>IF(Table1[[#This Row],[Name of Student]]="","",ROWS($A$1:A486))</f>
        <v>486</v>
      </c>
      <c r="B490" s="26">
        <f>IF('Paste SD Data'!A487="","",'Paste SD Data'!A487)</f>
        <v>11</v>
      </c>
      <c r="C490" s="26" t="str">
        <f>IF('Paste SD Data'!B487="","",'Paste SD Data'!B487)</f>
        <v>B</v>
      </c>
      <c r="D490" s="26">
        <f>IF('Paste SD Data'!C487="","",'Paste SD Data'!C487)</f>
        <v>13423</v>
      </c>
      <c r="E490" s="27" t="str">
        <f>IF('Paste SD Data'!E487="","",UPPER('Paste SD Data'!E487))</f>
        <v>JITENDRA SINGH</v>
      </c>
      <c r="F490" s="27" t="str">
        <f>IF('Paste SD Data'!G487="","",UPPER('Paste SD Data'!G487))</f>
        <v>BHAN SINGH</v>
      </c>
      <c r="G490" s="27" t="str">
        <f>IF('Paste SD Data'!H487="","",UPPER('Paste SD Data'!H487))</f>
        <v>DHULI DEVI</v>
      </c>
      <c r="H490" s="26" t="str">
        <f>IF('Paste SD Data'!I487="","",IF('Paste SD Data'!I487="M","BOY","GIRL"))</f>
        <v>BOY</v>
      </c>
      <c r="I490" s="28">
        <f>IF('Paste SD Data'!J487="","",'Paste SD Data'!J487)</f>
        <v>37726</v>
      </c>
      <c r="J490" s="34">
        <f t="shared" si="7"/>
        <v>916</v>
      </c>
      <c r="K490" s="29" t="str">
        <f>IF('Paste SD Data'!O487="","",'Paste SD Data'!O487)</f>
        <v>OBC</v>
      </c>
    </row>
    <row r="491" spans="1:11" ht="30" customHeight="1" x14ac:dyDescent="0.25">
      <c r="A491" s="25">
        <f>IF(Table1[[#This Row],[Name of Student]]="","",ROWS($A$1:A487))</f>
        <v>487</v>
      </c>
      <c r="B491" s="26">
        <f>IF('Paste SD Data'!A488="","",'Paste SD Data'!A488)</f>
        <v>11</v>
      </c>
      <c r="C491" s="26" t="str">
        <f>IF('Paste SD Data'!B488="","",'Paste SD Data'!B488)</f>
        <v>B</v>
      </c>
      <c r="D491" s="26">
        <f>IF('Paste SD Data'!C488="","",'Paste SD Data'!C488)</f>
        <v>12939</v>
      </c>
      <c r="E491" s="27" t="str">
        <f>IF('Paste SD Data'!E488="","",UPPER('Paste SD Data'!E488))</f>
        <v>KOSHLENDRA SINGH BALLA</v>
      </c>
      <c r="F491" s="27" t="str">
        <f>IF('Paste SD Data'!G488="","",UPPER('Paste SD Data'!G488))</f>
        <v>MANOHAR SINGH BALLA</v>
      </c>
      <c r="G491" s="27" t="str">
        <f>IF('Paste SD Data'!H488="","",UPPER('Paste SD Data'!H488))</f>
        <v>VISHNU KANWAR</v>
      </c>
      <c r="H491" s="26" t="str">
        <f>IF('Paste SD Data'!I488="","",IF('Paste SD Data'!I488="M","BOY","GIRL"))</f>
        <v>BOY</v>
      </c>
      <c r="I491" s="28">
        <f>IF('Paste SD Data'!J488="","",'Paste SD Data'!J488)</f>
        <v>38768</v>
      </c>
      <c r="J491" s="34">
        <f t="shared" si="7"/>
        <v>917</v>
      </c>
      <c r="K491" s="29" t="str">
        <f>IF('Paste SD Data'!O488="","",'Paste SD Data'!O488)</f>
        <v>GEN</v>
      </c>
    </row>
    <row r="492" spans="1:11" ht="30" customHeight="1" x14ac:dyDescent="0.25">
      <c r="A492" s="25">
        <f>IF(Table1[[#This Row],[Name of Student]]="","",ROWS($A$1:A488))</f>
        <v>488</v>
      </c>
      <c r="B492" s="26">
        <f>IF('Paste SD Data'!A489="","",'Paste SD Data'!A489)</f>
        <v>11</v>
      </c>
      <c r="C492" s="26" t="str">
        <f>IF('Paste SD Data'!B489="","",'Paste SD Data'!B489)</f>
        <v>B</v>
      </c>
      <c r="D492" s="26">
        <f>IF('Paste SD Data'!C489="","",'Paste SD Data'!C489)</f>
        <v>13263</v>
      </c>
      <c r="E492" s="27" t="str">
        <f>IF('Paste SD Data'!E489="","",UPPER('Paste SD Data'!E489))</f>
        <v>NARAYAN SINGH</v>
      </c>
      <c r="F492" s="27" t="str">
        <f>IF('Paste SD Data'!G489="","",UPPER('Paste SD Data'!G489))</f>
        <v>RAM SINGH</v>
      </c>
      <c r="G492" s="27" t="str">
        <f>IF('Paste SD Data'!H489="","",UPPER('Paste SD Data'!H489))</f>
        <v>RAMU KANWAR</v>
      </c>
      <c r="H492" s="26" t="str">
        <f>IF('Paste SD Data'!I489="","",IF('Paste SD Data'!I489="M","BOY","GIRL"))</f>
        <v>BOY</v>
      </c>
      <c r="I492" s="28">
        <f>IF('Paste SD Data'!J489="","",'Paste SD Data'!J489)</f>
        <v>37695</v>
      </c>
      <c r="J492" s="34">
        <f t="shared" si="7"/>
        <v>918</v>
      </c>
      <c r="K492" s="29" t="str">
        <f>IF('Paste SD Data'!O489="","",'Paste SD Data'!O489)</f>
        <v>GEN</v>
      </c>
    </row>
    <row r="493" spans="1:11" ht="30" customHeight="1" x14ac:dyDescent="0.25">
      <c r="A493" s="25">
        <f>IF(Table1[[#This Row],[Name of Student]]="","",ROWS($A$1:A489))</f>
        <v>489</v>
      </c>
      <c r="B493" s="26">
        <f>IF('Paste SD Data'!A490="","",'Paste SD Data'!A490)</f>
        <v>11</v>
      </c>
      <c r="C493" s="26" t="str">
        <f>IF('Paste SD Data'!B490="","",'Paste SD Data'!B490)</f>
        <v>B</v>
      </c>
      <c r="D493" s="26">
        <f>IF('Paste SD Data'!C490="","",'Paste SD Data'!C490)</f>
        <v>12336</v>
      </c>
      <c r="E493" s="27" t="str">
        <f>IF('Paste SD Data'!E490="","",UPPER('Paste SD Data'!E490))</f>
        <v>NARESH KUMAR REGAR</v>
      </c>
      <c r="F493" s="27" t="str">
        <f>IF('Paste SD Data'!G490="","",UPPER('Paste SD Data'!G490))</f>
        <v>RAM LAL REGAR</v>
      </c>
      <c r="G493" s="27" t="str">
        <f>IF('Paste SD Data'!H490="","",UPPER('Paste SD Data'!H490))</f>
        <v>RADHA DEVI REGAR</v>
      </c>
      <c r="H493" s="26" t="str">
        <f>IF('Paste SD Data'!I490="","",IF('Paste SD Data'!I490="M","BOY","GIRL"))</f>
        <v>BOY</v>
      </c>
      <c r="I493" s="28">
        <f>IF('Paste SD Data'!J490="","",'Paste SD Data'!J490)</f>
        <v>38171</v>
      </c>
      <c r="J493" s="34">
        <f t="shared" si="7"/>
        <v>919</v>
      </c>
      <c r="K493" s="29" t="str">
        <f>IF('Paste SD Data'!O490="","",'Paste SD Data'!O490)</f>
        <v>SC</v>
      </c>
    </row>
    <row r="494" spans="1:11" ht="30" customHeight="1" x14ac:dyDescent="0.25">
      <c r="A494" s="25">
        <f>IF(Table1[[#This Row],[Name of Student]]="","",ROWS($A$1:A490))</f>
        <v>490</v>
      </c>
      <c r="B494" s="26">
        <f>IF('Paste SD Data'!A491="","",'Paste SD Data'!A491)</f>
        <v>11</v>
      </c>
      <c r="C494" s="26" t="str">
        <f>IF('Paste SD Data'!B491="","",'Paste SD Data'!B491)</f>
        <v>B</v>
      </c>
      <c r="D494" s="26">
        <f>IF('Paste SD Data'!C491="","",'Paste SD Data'!C491)</f>
        <v>12323</v>
      </c>
      <c r="E494" s="27" t="str">
        <f>IF('Paste SD Data'!E491="","",UPPER('Paste SD Data'!E491))</f>
        <v>NARESH MALI</v>
      </c>
      <c r="F494" s="27" t="str">
        <f>IF('Paste SD Data'!G491="","",UPPER('Paste SD Data'!G491))</f>
        <v>BHERU LAL</v>
      </c>
      <c r="G494" s="27" t="str">
        <f>IF('Paste SD Data'!H491="","",UPPER('Paste SD Data'!H491))</f>
        <v>RADHA MALI</v>
      </c>
      <c r="H494" s="26" t="str">
        <f>IF('Paste SD Data'!I491="","",IF('Paste SD Data'!I491="M","BOY","GIRL"))</f>
        <v>BOY</v>
      </c>
      <c r="I494" s="28">
        <f>IF('Paste SD Data'!J491="","",'Paste SD Data'!J491)</f>
        <v>37818</v>
      </c>
      <c r="J494" s="34">
        <f t="shared" si="7"/>
        <v>920</v>
      </c>
      <c r="K494" s="29" t="str">
        <f>IF('Paste SD Data'!O491="","",'Paste SD Data'!O491)</f>
        <v>OBC</v>
      </c>
    </row>
    <row r="495" spans="1:11" ht="30" customHeight="1" x14ac:dyDescent="0.25">
      <c r="A495" s="25">
        <f>IF(Table1[[#This Row],[Name of Student]]="","",ROWS($A$1:A491))</f>
        <v>491</v>
      </c>
      <c r="B495" s="26">
        <f>IF('Paste SD Data'!A492="","",'Paste SD Data'!A492)</f>
        <v>11</v>
      </c>
      <c r="C495" s="26" t="str">
        <f>IF('Paste SD Data'!B492="","",'Paste SD Data'!B492)</f>
        <v>B</v>
      </c>
      <c r="D495" s="26">
        <f>IF('Paste SD Data'!C492="","",'Paste SD Data'!C492)</f>
        <v>12824</v>
      </c>
      <c r="E495" s="27" t="str">
        <f>IF('Paste SD Data'!E492="","",UPPER('Paste SD Data'!E492))</f>
        <v>PRAHLAD LOHAR</v>
      </c>
      <c r="F495" s="27" t="str">
        <f>IF('Paste SD Data'!G492="","",UPPER('Paste SD Data'!G492))</f>
        <v>SHANKAR LAL</v>
      </c>
      <c r="G495" s="27" t="str">
        <f>IF('Paste SD Data'!H492="","",UPPER('Paste SD Data'!H492))</f>
        <v>RAMU DEVI</v>
      </c>
      <c r="H495" s="26" t="str">
        <f>IF('Paste SD Data'!I492="","",IF('Paste SD Data'!I492="M","BOY","GIRL"))</f>
        <v>BOY</v>
      </c>
      <c r="I495" s="28">
        <f>IF('Paste SD Data'!J492="","",'Paste SD Data'!J492)</f>
        <v>38325</v>
      </c>
      <c r="J495" s="34">
        <f t="shared" si="7"/>
        <v>921</v>
      </c>
      <c r="K495" s="29" t="str">
        <f>IF('Paste SD Data'!O492="","",'Paste SD Data'!O492)</f>
        <v>OBC</v>
      </c>
    </row>
    <row r="496" spans="1:11" ht="30" customHeight="1" x14ac:dyDescent="0.25">
      <c r="A496" s="25">
        <f>IF(Table1[[#This Row],[Name of Student]]="","",ROWS($A$1:A492))</f>
        <v>492</v>
      </c>
      <c r="B496" s="26">
        <f>IF('Paste SD Data'!A493="","",'Paste SD Data'!A493)</f>
        <v>11</v>
      </c>
      <c r="C496" s="26" t="str">
        <f>IF('Paste SD Data'!B493="","",'Paste SD Data'!B493)</f>
        <v>B</v>
      </c>
      <c r="D496" s="26">
        <f>IF('Paste SD Data'!C493="","",'Paste SD Data'!C493)</f>
        <v>13188</v>
      </c>
      <c r="E496" s="27" t="str">
        <f>IF('Paste SD Data'!E493="","",UPPER('Paste SD Data'!E493))</f>
        <v>SHAILENDRA SINGH TANK</v>
      </c>
      <c r="F496" s="27" t="str">
        <f>IF('Paste SD Data'!G493="","",UPPER('Paste SD Data'!G493))</f>
        <v>VIKRAM SINGH</v>
      </c>
      <c r="G496" s="27" t="str">
        <f>IF('Paste SD Data'!H493="","",UPPER('Paste SD Data'!H493))</f>
        <v>GIRIJA DEVI</v>
      </c>
      <c r="H496" s="26" t="str">
        <f>IF('Paste SD Data'!I493="","",IF('Paste SD Data'!I493="M","BOY","GIRL"))</f>
        <v>BOY</v>
      </c>
      <c r="I496" s="28">
        <f>IF('Paste SD Data'!J493="","",'Paste SD Data'!J493)</f>
        <v>38918</v>
      </c>
      <c r="J496" s="34">
        <f t="shared" si="7"/>
        <v>922</v>
      </c>
      <c r="K496" s="29" t="str">
        <f>IF('Paste SD Data'!O493="","",'Paste SD Data'!O493)</f>
        <v>OBC</v>
      </c>
    </row>
    <row r="497" spans="1:11" ht="30" customHeight="1" x14ac:dyDescent="0.25">
      <c r="A497" s="25">
        <f>IF(Table1[[#This Row],[Name of Student]]="","",ROWS($A$1:A493))</f>
        <v>493</v>
      </c>
      <c r="B497" s="26">
        <f>IF('Paste SD Data'!A494="","",'Paste SD Data'!A494)</f>
        <v>11</v>
      </c>
      <c r="C497" s="26" t="str">
        <f>IF('Paste SD Data'!B494="","",'Paste SD Data'!B494)</f>
        <v>C</v>
      </c>
      <c r="D497" s="26">
        <f>IF('Paste SD Data'!C494="","",'Paste SD Data'!C494)</f>
        <v>13977</v>
      </c>
      <c r="E497" s="27" t="str">
        <f>IF('Paste SD Data'!E494="","",UPPER('Paste SD Data'!E494))</f>
        <v>ABHISHEK VED</v>
      </c>
      <c r="F497" s="27" t="str">
        <f>IF('Paste SD Data'!G494="","",UPPER('Paste SD Data'!G494))</f>
        <v>NARENDRA KUMAR VED</v>
      </c>
      <c r="G497" s="27" t="str">
        <f>IF('Paste SD Data'!H494="","",UPPER('Paste SD Data'!H494))</f>
        <v>KIRAN DEVI</v>
      </c>
      <c r="H497" s="26" t="str">
        <f>IF('Paste SD Data'!I494="","",IF('Paste SD Data'!I494="M","BOY","GIRL"))</f>
        <v>BOY</v>
      </c>
      <c r="I497" s="28">
        <f>IF('Paste SD Data'!J494="","",'Paste SD Data'!J494)</f>
        <v>38217</v>
      </c>
      <c r="J497" s="34">
        <f t="shared" si="7"/>
        <v>923</v>
      </c>
      <c r="K497" s="29" t="str">
        <f>IF('Paste SD Data'!O494="","",'Paste SD Data'!O494)</f>
        <v>OBC</v>
      </c>
    </row>
    <row r="498" spans="1:11" ht="30" customHeight="1" x14ac:dyDescent="0.25">
      <c r="A498" s="25">
        <f>IF(Table1[[#This Row],[Name of Student]]="","",ROWS($A$1:A494))</f>
        <v>494</v>
      </c>
      <c r="B498" s="26">
        <f>IF('Paste SD Data'!A495="","",'Paste SD Data'!A495)</f>
        <v>11</v>
      </c>
      <c r="C498" s="26" t="str">
        <f>IF('Paste SD Data'!B495="","",'Paste SD Data'!B495)</f>
        <v>C</v>
      </c>
      <c r="D498" s="26">
        <f>IF('Paste SD Data'!C495="","",'Paste SD Data'!C495)</f>
        <v>13933</v>
      </c>
      <c r="E498" s="27" t="str">
        <f>IF('Paste SD Data'!E495="","",UPPER('Paste SD Data'!E495))</f>
        <v>AKSHAY JOSHI</v>
      </c>
      <c r="F498" s="27" t="str">
        <f>IF('Paste SD Data'!G495="","",UPPER('Paste SD Data'!G495))</f>
        <v>GOPAL JOSHI</v>
      </c>
      <c r="G498" s="27" t="str">
        <f>IF('Paste SD Data'!H495="","",UPPER('Paste SD Data'!H495))</f>
        <v>KRISHNA JOSHI</v>
      </c>
      <c r="H498" s="26" t="str">
        <f>IF('Paste SD Data'!I495="","",IF('Paste SD Data'!I495="M","BOY","GIRL"))</f>
        <v>BOY</v>
      </c>
      <c r="I498" s="28">
        <f>IF('Paste SD Data'!J495="","",'Paste SD Data'!J495)</f>
        <v>39016</v>
      </c>
      <c r="J498" s="34">
        <f t="shared" si="7"/>
        <v>924</v>
      </c>
      <c r="K498" s="29" t="str">
        <f>IF('Paste SD Data'!O495="","",'Paste SD Data'!O495)</f>
        <v>GEN</v>
      </c>
    </row>
    <row r="499" spans="1:11" ht="30" customHeight="1" x14ac:dyDescent="0.25">
      <c r="A499" s="25">
        <f>IF(Table1[[#This Row],[Name of Student]]="","",ROWS($A$1:A495))</f>
        <v>495</v>
      </c>
      <c r="B499" s="26">
        <f>IF('Paste SD Data'!A496="","",'Paste SD Data'!A496)</f>
        <v>11</v>
      </c>
      <c r="C499" s="26" t="str">
        <f>IF('Paste SD Data'!B496="","",'Paste SD Data'!B496)</f>
        <v>C</v>
      </c>
      <c r="D499" s="26">
        <f>IF('Paste SD Data'!C496="","",'Paste SD Data'!C496)</f>
        <v>13355</v>
      </c>
      <c r="E499" s="27" t="str">
        <f>IF('Paste SD Data'!E496="","",UPPER('Paste SD Data'!E496))</f>
        <v>ASHOK KALAL</v>
      </c>
      <c r="F499" s="27" t="str">
        <f>IF('Paste SD Data'!G496="","",UPPER('Paste SD Data'!G496))</f>
        <v>MANGI LAL KALAL</v>
      </c>
      <c r="G499" s="27" t="str">
        <f>IF('Paste SD Data'!H496="","",UPPER('Paste SD Data'!H496))</f>
        <v>DHARMU DEVI</v>
      </c>
      <c r="H499" s="26" t="str">
        <f>IF('Paste SD Data'!I496="","",IF('Paste SD Data'!I496="M","BOY","GIRL"))</f>
        <v>BOY</v>
      </c>
      <c r="I499" s="28">
        <f>IF('Paste SD Data'!J496="","",'Paste SD Data'!J496)</f>
        <v>38973</v>
      </c>
      <c r="J499" s="34">
        <f t="shared" si="7"/>
        <v>925</v>
      </c>
      <c r="K499" s="29" t="str">
        <f>IF('Paste SD Data'!O496="","",'Paste SD Data'!O496)</f>
        <v>OBC</v>
      </c>
    </row>
    <row r="500" spans="1:11" ht="30" customHeight="1" x14ac:dyDescent="0.25">
      <c r="A500" s="25">
        <f>IF(Table1[[#This Row],[Name of Student]]="","",ROWS($A$1:A496))</f>
        <v>496</v>
      </c>
      <c r="B500" s="26">
        <f>IF('Paste SD Data'!A497="","",'Paste SD Data'!A497)</f>
        <v>11</v>
      </c>
      <c r="C500" s="26" t="str">
        <f>IF('Paste SD Data'!B497="","",'Paste SD Data'!B497)</f>
        <v>C</v>
      </c>
      <c r="D500" s="26">
        <f>IF('Paste SD Data'!C497="","",'Paste SD Data'!C497)</f>
        <v>13897</v>
      </c>
      <c r="E500" s="27" t="str">
        <f>IF('Paste SD Data'!E497="","",UPPER('Paste SD Data'!E497))</f>
        <v>BADAL SEN</v>
      </c>
      <c r="F500" s="27" t="str">
        <f>IF('Paste SD Data'!G497="","",UPPER('Paste SD Data'!G497))</f>
        <v>MANOJ SEN</v>
      </c>
      <c r="G500" s="27" t="str">
        <f>IF('Paste SD Data'!H497="","",UPPER('Paste SD Data'!H497))</f>
        <v>SARITA SEN</v>
      </c>
      <c r="H500" s="26" t="str">
        <f>IF('Paste SD Data'!I497="","",IF('Paste SD Data'!I497="M","BOY","GIRL"))</f>
        <v>BOY</v>
      </c>
      <c r="I500" s="28">
        <f>IF('Paste SD Data'!J497="","",'Paste SD Data'!J497)</f>
        <v>38476</v>
      </c>
      <c r="J500" s="34">
        <f t="shared" si="7"/>
        <v>926</v>
      </c>
      <c r="K500" s="29" t="str">
        <f>IF('Paste SD Data'!O497="","",'Paste SD Data'!O497)</f>
        <v>OBC</v>
      </c>
    </row>
    <row r="501" spans="1:11" ht="30" customHeight="1" x14ac:dyDescent="0.25">
      <c r="A501" s="25">
        <f>IF(Table1[[#This Row],[Name of Student]]="","",ROWS($A$1:A497))</f>
        <v>497</v>
      </c>
      <c r="B501" s="26">
        <f>IF('Paste SD Data'!A498="","",'Paste SD Data'!A498)</f>
        <v>11</v>
      </c>
      <c r="C501" s="26" t="str">
        <f>IF('Paste SD Data'!B498="","",'Paste SD Data'!B498)</f>
        <v>C</v>
      </c>
      <c r="D501" s="26">
        <f>IF('Paste SD Data'!C498="","",'Paste SD Data'!C498)</f>
        <v>13255</v>
      </c>
      <c r="E501" s="27" t="str">
        <f>IF('Paste SD Data'!E498="","",UPPER('Paste SD Data'!E498))</f>
        <v>BHAGWAN LAL BHIL</v>
      </c>
      <c r="F501" s="27" t="str">
        <f>IF('Paste SD Data'!G498="","",UPPER('Paste SD Data'!G498))</f>
        <v>BHERU LAL BHIL</v>
      </c>
      <c r="G501" s="27" t="str">
        <f>IF('Paste SD Data'!H498="","",UPPER('Paste SD Data'!H498))</f>
        <v>RASALI DEVI</v>
      </c>
      <c r="H501" s="26" t="str">
        <f>IF('Paste SD Data'!I498="","",IF('Paste SD Data'!I498="M","BOY","GIRL"))</f>
        <v>BOY</v>
      </c>
      <c r="I501" s="28">
        <f>IF('Paste SD Data'!J498="","",'Paste SD Data'!J498)</f>
        <v>38470</v>
      </c>
      <c r="J501" s="34">
        <f t="shared" si="7"/>
        <v>927</v>
      </c>
      <c r="K501" s="29" t="str">
        <f>IF('Paste SD Data'!O498="","",'Paste SD Data'!O498)</f>
        <v>ST</v>
      </c>
    </row>
    <row r="502" spans="1:11" ht="30" customHeight="1" x14ac:dyDescent="0.25">
      <c r="A502" s="25">
        <f>IF(Table1[[#This Row],[Name of Student]]="","",ROWS($A$1:A498))</f>
        <v>498</v>
      </c>
      <c r="B502" s="26">
        <f>IF('Paste SD Data'!A499="","",'Paste SD Data'!A499)</f>
        <v>11</v>
      </c>
      <c r="C502" s="26" t="str">
        <f>IF('Paste SD Data'!B499="","",'Paste SD Data'!B499)</f>
        <v>C</v>
      </c>
      <c r="D502" s="26">
        <f>IF('Paste SD Data'!C499="","",'Paste SD Data'!C499)</f>
        <v>12926</v>
      </c>
      <c r="E502" s="27" t="str">
        <f>IF('Paste SD Data'!E499="","",UPPER('Paste SD Data'!E499))</f>
        <v>BHAGWAT SINGH RATHOR</v>
      </c>
      <c r="F502" s="27" t="str">
        <f>IF('Paste SD Data'!G499="","",UPPER('Paste SD Data'!G499))</f>
        <v>KAILASH SINGH RATHOR</v>
      </c>
      <c r="G502" s="27" t="str">
        <f>IF('Paste SD Data'!H499="","",UPPER('Paste SD Data'!H499))</f>
        <v>KRISHNA DEVI RATHOR</v>
      </c>
      <c r="H502" s="26" t="str">
        <f>IF('Paste SD Data'!I499="","",IF('Paste SD Data'!I499="M","BOY","GIRL"))</f>
        <v>BOY</v>
      </c>
      <c r="I502" s="28">
        <f>IF('Paste SD Data'!J499="","",'Paste SD Data'!J499)</f>
        <v>37949</v>
      </c>
      <c r="J502" s="34">
        <f t="shared" si="7"/>
        <v>928</v>
      </c>
      <c r="K502" s="29" t="str">
        <f>IF('Paste SD Data'!O499="","",'Paste SD Data'!O499)</f>
        <v>OBC</v>
      </c>
    </row>
    <row r="503" spans="1:11" ht="30" customHeight="1" x14ac:dyDescent="0.25">
      <c r="A503" s="25">
        <f>IF(Table1[[#This Row],[Name of Student]]="","",ROWS($A$1:A499))</f>
        <v>499</v>
      </c>
      <c r="B503" s="26">
        <f>IF('Paste SD Data'!A500="","",'Paste SD Data'!A500)</f>
        <v>11</v>
      </c>
      <c r="C503" s="26" t="str">
        <f>IF('Paste SD Data'!B500="","",'Paste SD Data'!B500)</f>
        <v>C</v>
      </c>
      <c r="D503" s="26">
        <f>IF('Paste SD Data'!C500="","",'Paste SD Data'!C500)</f>
        <v>12893</v>
      </c>
      <c r="E503" s="27" t="str">
        <f>IF('Paste SD Data'!E500="","",UPPER('Paste SD Data'!E500))</f>
        <v>BHAVESH SALVI</v>
      </c>
      <c r="F503" s="27" t="str">
        <f>IF('Paste SD Data'!G500="","",UPPER('Paste SD Data'!G500))</f>
        <v>DEVI LAL</v>
      </c>
      <c r="G503" s="27" t="str">
        <f>IF('Paste SD Data'!H500="","",UPPER('Paste SD Data'!H500))</f>
        <v>RAMU DEVI</v>
      </c>
      <c r="H503" s="26" t="str">
        <f>IF('Paste SD Data'!I500="","",IF('Paste SD Data'!I500="M","BOY","GIRL"))</f>
        <v>BOY</v>
      </c>
      <c r="I503" s="28">
        <f>IF('Paste SD Data'!J500="","",'Paste SD Data'!J500)</f>
        <v>38138</v>
      </c>
      <c r="J503" s="34">
        <f t="shared" si="7"/>
        <v>929</v>
      </c>
      <c r="K503" s="29" t="str">
        <f>IF('Paste SD Data'!O500="","",'Paste SD Data'!O500)</f>
        <v>SC</v>
      </c>
    </row>
    <row r="504" spans="1:11" ht="30" customHeight="1" x14ac:dyDescent="0.25">
      <c r="A504" s="25">
        <f>IF(Table1[[#This Row],[Name of Student]]="","",ROWS($A$1:A500))</f>
        <v>500</v>
      </c>
      <c r="B504" s="26">
        <f>IF('Paste SD Data'!A501="","",'Paste SD Data'!A501)</f>
        <v>11</v>
      </c>
      <c r="C504" s="26" t="str">
        <f>IF('Paste SD Data'!B501="","",'Paste SD Data'!B501)</f>
        <v>C</v>
      </c>
      <c r="D504" s="26">
        <f>IF('Paste SD Data'!C501="","",'Paste SD Data'!C501)</f>
        <v>13866</v>
      </c>
      <c r="E504" s="27" t="str">
        <f>IF('Paste SD Data'!E501="","",UPPER('Paste SD Data'!E501))</f>
        <v>BHAWANI SINGH BALLA</v>
      </c>
      <c r="F504" s="27" t="str">
        <f>IF('Paste SD Data'!G501="","",UPPER('Paste SD Data'!G501))</f>
        <v>KAN SINGH</v>
      </c>
      <c r="G504" s="27" t="str">
        <f>IF('Paste SD Data'!H501="","",UPPER('Paste SD Data'!H501))</f>
        <v>GANGA KANWAR</v>
      </c>
      <c r="H504" s="26" t="str">
        <f>IF('Paste SD Data'!I501="","",IF('Paste SD Data'!I501="M","BOY","GIRL"))</f>
        <v>BOY</v>
      </c>
      <c r="I504" s="28">
        <f>IF('Paste SD Data'!J501="","",'Paste SD Data'!J501)</f>
        <v>38089</v>
      </c>
      <c r="J504" s="34">
        <f t="shared" si="7"/>
        <v>930</v>
      </c>
      <c r="K504" s="29" t="str">
        <f>IF('Paste SD Data'!O501="","",'Paste SD Data'!O501)</f>
        <v>OBC</v>
      </c>
    </row>
    <row r="505" spans="1:11" ht="30" customHeight="1" x14ac:dyDescent="0.25">
      <c r="A505" s="25">
        <f>IF(Table1[[#This Row],[Name of Student]]="","",ROWS($A$1:A501))</f>
        <v>501</v>
      </c>
      <c r="B505" s="26">
        <f>IF('Paste SD Data'!A502="","",'Paste SD Data'!A502)</f>
        <v>11</v>
      </c>
      <c r="C505" s="26" t="str">
        <f>IF('Paste SD Data'!B502="","",'Paste SD Data'!B502)</f>
        <v>C</v>
      </c>
      <c r="D505" s="26">
        <f>IF('Paste SD Data'!C502="","",'Paste SD Data'!C502)</f>
        <v>13729</v>
      </c>
      <c r="E505" s="27" t="str">
        <f>IF('Paste SD Data'!E502="","",UPPER('Paste SD Data'!E502))</f>
        <v>BHUPENDRA SINGH CHOUHAN</v>
      </c>
      <c r="F505" s="27" t="str">
        <f>IF('Paste SD Data'!G502="","",UPPER('Paste SD Data'!G502))</f>
        <v>GOPAL SINGH CHOUHAN</v>
      </c>
      <c r="G505" s="27" t="str">
        <f>IF('Paste SD Data'!H502="","",UPPER('Paste SD Data'!H502))</f>
        <v>REKHA KANWAR</v>
      </c>
      <c r="H505" s="26" t="str">
        <f>IF('Paste SD Data'!I502="","",IF('Paste SD Data'!I502="M","BOY","GIRL"))</f>
        <v>BOY</v>
      </c>
      <c r="I505" s="28">
        <f>IF('Paste SD Data'!J502="","",'Paste SD Data'!J502)</f>
        <v>38909</v>
      </c>
      <c r="J505" s="34">
        <f t="shared" si="7"/>
        <v>931</v>
      </c>
      <c r="K505" s="29" t="str">
        <f>IF('Paste SD Data'!O502="","",'Paste SD Data'!O502)</f>
        <v>OBC</v>
      </c>
    </row>
    <row r="506" spans="1:11" ht="30" customHeight="1" x14ac:dyDescent="0.25">
      <c r="A506" s="25">
        <f>IF(Table1[[#This Row],[Name of Student]]="","",ROWS($A$1:A502))</f>
        <v>502</v>
      </c>
      <c r="B506" s="26">
        <f>IF('Paste SD Data'!A503="","",'Paste SD Data'!A503)</f>
        <v>11</v>
      </c>
      <c r="C506" s="26" t="str">
        <f>IF('Paste SD Data'!B503="","",'Paste SD Data'!B503)</f>
        <v>C</v>
      </c>
      <c r="D506" s="26">
        <f>IF('Paste SD Data'!C503="","",'Paste SD Data'!C503)</f>
        <v>13219</v>
      </c>
      <c r="E506" s="27" t="str">
        <f>IF('Paste SD Data'!E503="","",UPPER('Paste SD Data'!E503))</f>
        <v>BHUPESH KUMAR SALVI</v>
      </c>
      <c r="F506" s="27" t="str">
        <f>IF('Paste SD Data'!G503="","",UPPER('Paste SD Data'!G503))</f>
        <v>KISHAN LAL SALVI</v>
      </c>
      <c r="G506" s="27" t="str">
        <f>IF('Paste SD Data'!H503="","",UPPER('Paste SD Data'!H503))</f>
        <v>RADHA DEVI</v>
      </c>
      <c r="H506" s="26" t="str">
        <f>IF('Paste SD Data'!I503="","",IF('Paste SD Data'!I503="M","BOY","GIRL"))</f>
        <v>BOY</v>
      </c>
      <c r="I506" s="28">
        <f>IF('Paste SD Data'!J503="","",'Paste SD Data'!J503)</f>
        <v>37545</v>
      </c>
      <c r="J506" s="34">
        <f t="shared" si="7"/>
        <v>932</v>
      </c>
      <c r="K506" s="29" t="str">
        <f>IF('Paste SD Data'!O503="","",'Paste SD Data'!O503)</f>
        <v>SC</v>
      </c>
    </row>
    <row r="507" spans="1:11" ht="30" customHeight="1" x14ac:dyDescent="0.25">
      <c r="A507" s="25">
        <f>IF(Table1[[#This Row],[Name of Student]]="","",ROWS($A$1:A503))</f>
        <v>503</v>
      </c>
      <c r="B507" s="26">
        <f>IF('Paste SD Data'!A504="","",'Paste SD Data'!A504)</f>
        <v>11</v>
      </c>
      <c r="C507" s="26" t="str">
        <f>IF('Paste SD Data'!B504="","",'Paste SD Data'!B504)</f>
        <v>C</v>
      </c>
      <c r="D507" s="26">
        <f>IF('Paste SD Data'!C504="","",'Paste SD Data'!C504)</f>
        <v>13825</v>
      </c>
      <c r="E507" s="27" t="str">
        <f>IF('Paste SD Data'!E504="","",UPPER('Paste SD Data'!E504))</f>
        <v>CHETAN PANDIYA</v>
      </c>
      <c r="F507" s="27" t="str">
        <f>IF('Paste SD Data'!G504="","",UPPER('Paste SD Data'!G504))</f>
        <v>HANSRAJ PANDIYA</v>
      </c>
      <c r="G507" s="27" t="str">
        <f>IF('Paste SD Data'!H504="","",UPPER('Paste SD Data'!H504))</f>
        <v>LEELA PANDIYA</v>
      </c>
      <c r="H507" s="26" t="str">
        <f>IF('Paste SD Data'!I504="","",IF('Paste SD Data'!I504="M","BOY","GIRL"))</f>
        <v>BOY</v>
      </c>
      <c r="I507" s="28">
        <f>IF('Paste SD Data'!J504="","",'Paste SD Data'!J504)</f>
        <v>38090</v>
      </c>
      <c r="J507" s="34">
        <f t="shared" si="7"/>
        <v>933</v>
      </c>
      <c r="K507" s="29" t="str">
        <f>IF('Paste SD Data'!O504="","",'Paste SD Data'!O504)</f>
        <v>GEN</v>
      </c>
    </row>
    <row r="508" spans="1:11" ht="30" customHeight="1" x14ac:dyDescent="0.25">
      <c r="A508" s="25">
        <f>IF(Table1[[#This Row],[Name of Student]]="","",ROWS($A$1:A504))</f>
        <v>504</v>
      </c>
      <c r="B508" s="26">
        <f>IF('Paste SD Data'!A505="","",'Paste SD Data'!A505)</f>
        <v>11</v>
      </c>
      <c r="C508" s="26" t="str">
        <f>IF('Paste SD Data'!B505="","",'Paste SD Data'!B505)</f>
        <v>C</v>
      </c>
      <c r="D508" s="26">
        <f>IF('Paste SD Data'!C505="","",'Paste SD Data'!C505)</f>
        <v>13748</v>
      </c>
      <c r="E508" s="27" t="str">
        <f>IF('Paste SD Data'!E505="","",UPPER('Paste SD Data'!E505))</f>
        <v>CHETAN PRAJAPAT</v>
      </c>
      <c r="F508" s="27" t="str">
        <f>IF('Paste SD Data'!G505="","",UPPER('Paste SD Data'!G505))</f>
        <v>KANHAIYA LAL</v>
      </c>
      <c r="G508" s="27" t="str">
        <f>IF('Paste SD Data'!H505="","",UPPER('Paste SD Data'!H505))</f>
        <v>SUGNA DEVI</v>
      </c>
      <c r="H508" s="26" t="str">
        <f>IF('Paste SD Data'!I505="","",IF('Paste SD Data'!I505="M","BOY","GIRL"))</f>
        <v>BOY</v>
      </c>
      <c r="I508" s="28">
        <f>IF('Paste SD Data'!J505="","",'Paste SD Data'!J505)</f>
        <v>38178</v>
      </c>
      <c r="J508" s="34">
        <f t="shared" si="7"/>
        <v>934</v>
      </c>
      <c r="K508" s="29" t="str">
        <f>IF('Paste SD Data'!O505="","",'Paste SD Data'!O505)</f>
        <v>OBC</v>
      </c>
    </row>
    <row r="509" spans="1:11" ht="30" customHeight="1" x14ac:dyDescent="0.25">
      <c r="A509" s="25">
        <f>IF(Table1[[#This Row],[Name of Student]]="","",ROWS($A$1:A505))</f>
        <v>505</v>
      </c>
      <c r="B509" s="26">
        <f>IF('Paste SD Data'!A506="","",'Paste SD Data'!A506)</f>
        <v>11</v>
      </c>
      <c r="C509" s="26" t="str">
        <f>IF('Paste SD Data'!B506="","",'Paste SD Data'!B506)</f>
        <v>C</v>
      </c>
      <c r="D509" s="26">
        <f>IF('Paste SD Data'!C506="","",'Paste SD Data'!C506)</f>
        <v>12620</v>
      </c>
      <c r="E509" s="27" t="str">
        <f>IF('Paste SD Data'!E506="","",UPPER('Paste SD Data'!E506))</f>
        <v>CHHAGAN SINGH</v>
      </c>
      <c r="F509" s="27" t="str">
        <f>IF('Paste SD Data'!G506="","",UPPER('Paste SD Data'!G506))</f>
        <v>VANNA SINGH</v>
      </c>
      <c r="G509" s="27" t="str">
        <f>IF('Paste SD Data'!H506="","",UPPER('Paste SD Data'!H506))</f>
        <v>LALI DEVI</v>
      </c>
      <c r="H509" s="26" t="str">
        <f>IF('Paste SD Data'!I506="","",IF('Paste SD Data'!I506="M","BOY","GIRL"))</f>
        <v>BOY</v>
      </c>
      <c r="I509" s="28">
        <f>IF('Paste SD Data'!J506="","",'Paste SD Data'!J506)</f>
        <v>38535</v>
      </c>
      <c r="J509" s="34">
        <f t="shared" si="7"/>
        <v>935</v>
      </c>
      <c r="K509" s="29" t="str">
        <f>IF('Paste SD Data'!O506="","",'Paste SD Data'!O506)</f>
        <v>OBC</v>
      </c>
    </row>
    <row r="510" spans="1:11" ht="30" customHeight="1" x14ac:dyDescent="0.25">
      <c r="A510" s="25">
        <f>IF(Table1[[#This Row],[Name of Student]]="","",ROWS($A$1:A506))</f>
        <v>506</v>
      </c>
      <c r="B510" s="26">
        <f>IF('Paste SD Data'!A507="","",'Paste SD Data'!A507)</f>
        <v>11</v>
      </c>
      <c r="C510" s="26" t="str">
        <f>IF('Paste SD Data'!B507="","",'Paste SD Data'!B507)</f>
        <v>C</v>
      </c>
      <c r="D510" s="26">
        <f>IF('Paste SD Data'!C507="","",'Paste SD Data'!C507)</f>
        <v>13878</v>
      </c>
      <c r="E510" s="27" t="str">
        <f>IF('Paste SD Data'!E507="","",UPPER('Paste SD Data'!E507))</f>
        <v>DASHRATH RAWAL</v>
      </c>
      <c r="F510" s="27" t="str">
        <f>IF('Paste SD Data'!G507="","",UPPER('Paste SD Data'!G507))</f>
        <v>MUNNA RAWAL</v>
      </c>
      <c r="G510" s="27" t="str">
        <f>IF('Paste SD Data'!H507="","",UPPER('Paste SD Data'!H507))</f>
        <v>SAYARI DEVI</v>
      </c>
      <c r="H510" s="26" t="str">
        <f>IF('Paste SD Data'!I507="","",IF('Paste SD Data'!I507="M","BOY","GIRL"))</f>
        <v>BOY</v>
      </c>
      <c r="I510" s="28">
        <f>IF('Paste SD Data'!J507="","",'Paste SD Data'!J507)</f>
        <v>37929</v>
      </c>
      <c r="J510" s="34">
        <f t="shared" si="7"/>
        <v>936</v>
      </c>
      <c r="K510" s="29" t="str">
        <f>IF('Paste SD Data'!O507="","",'Paste SD Data'!O507)</f>
        <v>OBC</v>
      </c>
    </row>
    <row r="511" spans="1:11" ht="30" customHeight="1" x14ac:dyDescent="0.25">
      <c r="A511" s="25">
        <f>IF(Table1[[#This Row],[Name of Student]]="","",ROWS($A$1:A507))</f>
        <v>507</v>
      </c>
      <c r="B511" s="26">
        <f>IF('Paste SD Data'!A508="","",'Paste SD Data'!A508)</f>
        <v>11</v>
      </c>
      <c r="C511" s="26" t="str">
        <f>IF('Paste SD Data'!B508="","",'Paste SD Data'!B508)</f>
        <v>C</v>
      </c>
      <c r="D511" s="26">
        <f>IF('Paste SD Data'!C508="","",'Paste SD Data'!C508)</f>
        <v>13273</v>
      </c>
      <c r="E511" s="27" t="str">
        <f>IF('Paste SD Data'!E508="","",UPPER('Paste SD Data'!E508))</f>
        <v>DEVENDRA GURJAR</v>
      </c>
      <c r="F511" s="27" t="str">
        <f>IF('Paste SD Data'!G508="","",UPPER('Paste SD Data'!G508))</f>
        <v>BHERU LAL GURJAR</v>
      </c>
      <c r="G511" s="27" t="str">
        <f>IF('Paste SD Data'!H508="","",UPPER('Paste SD Data'!H508))</f>
        <v>GOTI BAI</v>
      </c>
      <c r="H511" s="26" t="str">
        <f>IF('Paste SD Data'!I508="","",IF('Paste SD Data'!I508="M","BOY","GIRL"))</f>
        <v>BOY</v>
      </c>
      <c r="I511" s="28">
        <f>IF('Paste SD Data'!J508="","",'Paste SD Data'!J508)</f>
        <v>38549</v>
      </c>
      <c r="J511" s="34">
        <f t="shared" si="7"/>
        <v>937</v>
      </c>
      <c r="K511" s="29" t="str">
        <f>IF('Paste SD Data'!O508="","",'Paste SD Data'!O508)</f>
        <v>SBC</v>
      </c>
    </row>
    <row r="512" spans="1:11" ht="30" customHeight="1" x14ac:dyDescent="0.25">
      <c r="A512" s="25">
        <f>IF(Table1[[#This Row],[Name of Student]]="","",ROWS($A$1:A508))</f>
        <v>508</v>
      </c>
      <c r="B512" s="26">
        <f>IF('Paste SD Data'!A509="","",'Paste SD Data'!A509)</f>
        <v>11</v>
      </c>
      <c r="C512" s="26" t="str">
        <f>IF('Paste SD Data'!B509="","",'Paste SD Data'!B509)</f>
        <v>C</v>
      </c>
      <c r="D512" s="26">
        <f>IF('Paste SD Data'!C509="","",'Paste SD Data'!C509)</f>
        <v>12956</v>
      </c>
      <c r="E512" s="27" t="str">
        <f>IF('Paste SD Data'!E509="","",UPPER('Paste SD Data'!E509))</f>
        <v>DHARMESH KUMAR REGAR</v>
      </c>
      <c r="F512" s="27" t="str">
        <f>IF('Paste SD Data'!G509="","",UPPER('Paste SD Data'!G509))</f>
        <v>MAHENDRA KUMAR REGAR</v>
      </c>
      <c r="G512" s="27" t="str">
        <f>IF('Paste SD Data'!H509="","",UPPER('Paste SD Data'!H509))</f>
        <v>MANJU BAI</v>
      </c>
      <c r="H512" s="26" t="str">
        <f>IF('Paste SD Data'!I509="","",IF('Paste SD Data'!I509="M","BOY","GIRL"))</f>
        <v>BOY</v>
      </c>
      <c r="I512" s="28">
        <f>IF('Paste SD Data'!J509="","",'Paste SD Data'!J509)</f>
        <v>38389</v>
      </c>
      <c r="J512" s="34">
        <f t="shared" si="7"/>
        <v>938</v>
      </c>
      <c r="K512" s="29" t="str">
        <f>IF('Paste SD Data'!O509="","",'Paste SD Data'!O509)</f>
        <v>SC</v>
      </c>
    </row>
    <row r="513" spans="1:11" ht="30" customHeight="1" x14ac:dyDescent="0.25">
      <c r="A513" s="25">
        <f>IF(Table1[[#This Row],[Name of Student]]="","",ROWS($A$1:A509))</f>
        <v>509</v>
      </c>
      <c r="B513" s="26">
        <f>IF('Paste SD Data'!A510="","",'Paste SD Data'!A510)</f>
        <v>11</v>
      </c>
      <c r="C513" s="26" t="str">
        <f>IF('Paste SD Data'!B510="","",'Paste SD Data'!B510)</f>
        <v>C</v>
      </c>
      <c r="D513" s="26">
        <f>IF('Paste SD Data'!C510="","",'Paste SD Data'!C510)</f>
        <v>13559</v>
      </c>
      <c r="E513" s="27" t="str">
        <f>IF('Paste SD Data'!E510="","",UPPER('Paste SD Data'!E510))</f>
        <v>DHEERAJ SINGH CHOUHAN</v>
      </c>
      <c r="F513" s="27" t="str">
        <f>IF('Paste SD Data'!G510="","",UPPER('Paste SD Data'!G510))</f>
        <v>KAMAL SINGH CHOUHAN</v>
      </c>
      <c r="G513" s="27" t="str">
        <f>IF('Paste SD Data'!H510="","",UPPER('Paste SD Data'!H510))</f>
        <v>MEENA CHOUHAN</v>
      </c>
      <c r="H513" s="26" t="str">
        <f>IF('Paste SD Data'!I510="","",IF('Paste SD Data'!I510="M","BOY","GIRL"))</f>
        <v>BOY</v>
      </c>
      <c r="I513" s="28">
        <f>IF('Paste SD Data'!J510="","",'Paste SD Data'!J510)</f>
        <v>38793</v>
      </c>
      <c r="J513" s="34">
        <f t="shared" si="7"/>
        <v>939</v>
      </c>
      <c r="K513" s="29" t="str">
        <f>IF('Paste SD Data'!O510="","",'Paste SD Data'!O510)</f>
        <v>OBC</v>
      </c>
    </row>
    <row r="514" spans="1:11" ht="30" customHeight="1" x14ac:dyDescent="0.25">
      <c r="A514" s="25">
        <f>IF(Table1[[#This Row],[Name of Student]]="","",ROWS($A$1:A510))</f>
        <v>510</v>
      </c>
      <c r="B514" s="26">
        <f>IF('Paste SD Data'!A511="","",'Paste SD Data'!A511)</f>
        <v>11</v>
      </c>
      <c r="C514" s="26" t="str">
        <f>IF('Paste SD Data'!B511="","",'Paste SD Data'!B511)</f>
        <v>C</v>
      </c>
      <c r="D514" s="26">
        <f>IF('Paste SD Data'!C511="","",'Paste SD Data'!C511)</f>
        <v>13336</v>
      </c>
      <c r="E514" s="27" t="str">
        <f>IF('Paste SD Data'!E511="","",UPPER('Paste SD Data'!E511))</f>
        <v>GOPAL SALVI</v>
      </c>
      <c r="F514" s="27" t="str">
        <f>IF('Paste SD Data'!G511="","",UPPER('Paste SD Data'!G511))</f>
        <v>MADAN LAL SALVI</v>
      </c>
      <c r="G514" s="27" t="str">
        <f>IF('Paste SD Data'!H511="","",UPPER('Paste SD Data'!H511))</f>
        <v>PARAS DEVI</v>
      </c>
      <c r="H514" s="26" t="str">
        <f>IF('Paste SD Data'!I511="","",IF('Paste SD Data'!I511="M","BOY","GIRL"))</f>
        <v>BOY</v>
      </c>
      <c r="I514" s="28">
        <f>IF('Paste SD Data'!J511="","",'Paste SD Data'!J511)</f>
        <v>38478</v>
      </c>
      <c r="J514" s="34">
        <f t="shared" si="7"/>
        <v>940</v>
      </c>
      <c r="K514" s="29" t="str">
        <f>IF('Paste SD Data'!O511="","",'Paste SD Data'!O511)</f>
        <v>SC</v>
      </c>
    </row>
    <row r="515" spans="1:11" ht="30" customHeight="1" x14ac:dyDescent="0.25">
      <c r="A515" s="25">
        <f>IF(Table1[[#This Row],[Name of Student]]="","",ROWS($A$1:A511))</f>
        <v>511</v>
      </c>
      <c r="B515" s="26">
        <f>IF('Paste SD Data'!A512="","",'Paste SD Data'!A512)</f>
        <v>11</v>
      </c>
      <c r="C515" s="26" t="str">
        <f>IF('Paste SD Data'!B512="","",'Paste SD Data'!B512)</f>
        <v>C</v>
      </c>
      <c r="D515" s="26">
        <f>IF('Paste SD Data'!C512="","",'Paste SD Data'!C512)</f>
        <v>13201</v>
      </c>
      <c r="E515" s="27" t="str">
        <f>IF('Paste SD Data'!E512="","",UPPER('Paste SD Data'!E512))</f>
        <v>HARDAYAL SINGH</v>
      </c>
      <c r="F515" s="27" t="str">
        <f>IF('Paste SD Data'!G512="","",UPPER('Paste SD Data'!G512))</f>
        <v>BHERU SINGH</v>
      </c>
      <c r="G515" s="27" t="str">
        <f>IF('Paste SD Data'!H512="","",UPPER('Paste SD Data'!H512))</f>
        <v>TAMMU DEVI</v>
      </c>
      <c r="H515" s="26" t="str">
        <f>IF('Paste SD Data'!I512="","",IF('Paste SD Data'!I512="M","BOY","GIRL"))</f>
        <v>BOY</v>
      </c>
      <c r="I515" s="28">
        <f>IF('Paste SD Data'!J512="","",'Paste SD Data'!J512)</f>
        <v>38251</v>
      </c>
      <c r="J515" s="34">
        <f t="shared" si="7"/>
        <v>941</v>
      </c>
      <c r="K515" s="29" t="str">
        <f>IF('Paste SD Data'!O512="","",'Paste SD Data'!O512)</f>
        <v>OBC</v>
      </c>
    </row>
    <row r="516" spans="1:11" ht="30" customHeight="1" x14ac:dyDescent="0.25">
      <c r="A516" s="25">
        <f>IF(Table1[[#This Row],[Name of Student]]="","",ROWS($A$1:A512))</f>
        <v>512</v>
      </c>
      <c r="B516" s="26">
        <f>IF('Paste SD Data'!A513="","",'Paste SD Data'!A513)</f>
        <v>11</v>
      </c>
      <c r="C516" s="26" t="str">
        <f>IF('Paste SD Data'!B513="","",'Paste SD Data'!B513)</f>
        <v>C</v>
      </c>
      <c r="D516" s="26">
        <f>IF('Paste SD Data'!C513="","",'Paste SD Data'!C513)</f>
        <v>13930</v>
      </c>
      <c r="E516" s="27" t="str">
        <f>IF('Paste SD Data'!E513="","",UPPER('Paste SD Data'!E513))</f>
        <v>HIMANSHU DHABHAI</v>
      </c>
      <c r="F516" s="27" t="str">
        <f>IF('Paste SD Data'!G513="","",UPPER('Paste SD Data'!G513))</f>
        <v>KISHAN LAL DHABHAI</v>
      </c>
      <c r="G516" s="27" t="str">
        <f>IF('Paste SD Data'!H513="","",UPPER('Paste SD Data'!H513))</f>
        <v>MALTI DEVI</v>
      </c>
      <c r="H516" s="26" t="str">
        <f>IF('Paste SD Data'!I513="","",IF('Paste SD Data'!I513="M","BOY","GIRL"))</f>
        <v>BOY</v>
      </c>
      <c r="I516" s="28">
        <f>IF('Paste SD Data'!J513="","",'Paste SD Data'!J513)</f>
        <v>38960</v>
      </c>
      <c r="J516" s="34">
        <f t="shared" si="7"/>
        <v>942</v>
      </c>
      <c r="K516" s="29" t="str">
        <f>IF('Paste SD Data'!O513="","",'Paste SD Data'!O513)</f>
        <v>OBC</v>
      </c>
    </row>
    <row r="517" spans="1:11" ht="30" customHeight="1" x14ac:dyDescent="0.25">
      <c r="A517" s="25">
        <f>IF(Table1[[#This Row],[Name of Student]]="","",ROWS($A$1:A513))</f>
        <v>513</v>
      </c>
      <c r="B517" s="26">
        <f>IF('Paste SD Data'!A514="","",'Paste SD Data'!A514)</f>
        <v>11</v>
      </c>
      <c r="C517" s="26" t="str">
        <f>IF('Paste SD Data'!B514="","",'Paste SD Data'!B514)</f>
        <v>C</v>
      </c>
      <c r="D517" s="26">
        <f>IF('Paste SD Data'!C514="","",'Paste SD Data'!C514)</f>
        <v>13235</v>
      </c>
      <c r="E517" s="27" t="str">
        <f>IF('Paste SD Data'!E514="","",UPPER('Paste SD Data'!E514))</f>
        <v>ISHWAR LAL GURJAR</v>
      </c>
      <c r="F517" s="27" t="str">
        <f>IF('Paste SD Data'!G514="","",UPPER('Paste SD Data'!G514))</f>
        <v>UDAI LAL</v>
      </c>
      <c r="G517" s="27" t="str">
        <f>IF('Paste SD Data'!H514="","",UPPER('Paste SD Data'!H514))</f>
        <v>SANTOSH BAI</v>
      </c>
      <c r="H517" s="26" t="str">
        <f>IF('Paste SD Data'!I514="","",IF('Paste SD Data'!I514="M","BOY","GIRL"))</f>
        <v>BOY</v>
      </c>
      <c r="I517" s="28">
        <f>IF('Paste SD Data'!J514="","",'Paste SD Data'!J514)</f>
        <v>38520</v>
      </c>
      <c r="J517" s="34">
        <f t="shared" si="7"/>
        <v>943</v>
      </c>
      <c r="K517" s="29" t="str">
        <f>IF('Paste SD Data'!O514="","",'Paste SD Data'!O514)</f>
        <v>SBC</v>
      </c>
    </row>
    <row r="518" spans="1:11" ht="30" customHeight="1" x14ac:dyDescent="0.25">
      <c r="A518" s="25">
        <f>IF(Table1[[#This Row],[Name of Student]]="","",ROWS($A$1:A514))</f>
        <v>514</v>
      </c>
      <c r="B518" s="26">
        <f>IF('Paste SD Data'!A515="","",'Paste SD Data'!A515)</f>
        <v>11</v>
      </c>
      <c r="C518" s="26" t="str">
        <f>IF('Paste SD Data'!B515="","",'Paste SD Data'!B515)</f>
        <v>C</v>
      </c>
      <c r="D518" s="26">
        <f>IF('Paste SD Data'!C515="","",'Paste SD Data'!C515)</f>
        <v>13835</v>
      </c>
      <c r="E518" s="27" t="str">
        <f>IF('Paste SD Data'!E515="","",UPPER('Paste SD Data'!E515))</f>
        <v>ISHWAR VAN</v>
      </c>
      <c r="F518" s="27" t="str">
        <f>IF('Paste SD Data'!G515="","",UPPER('Paste SD Data'!G515))</f>
        <v>MADHU VAN</v>
      </c>
      <c r="G518" s="27" t="str">
        <f>IF('Paste SD Data'!H515="","",UPPER('Paste SD Data'!H515))</f>
        <v>LAXMI DEVI</v>
      </c>
      <c r="H518" s="26" t="str">
        <f>IF('Paste SD Data'!I515="","",IF('Paste SD Data'!I515="M","BOY","GIRL"))</f>
        <v>BOY</v>
      </c>
      <c r="I518" s="28">
        <f>IF('Paste SD Data'!J515="","",'Paste SD Data'!J515)</f>
        <v>38544</v>
      </c>
      <c r="J518" s="34">
        <f t="shared" si="7"/>
        <v>944</v>
      </c>
      <c r="K518" s="29" t="str">
        <f>IF('Paste SD Data'!O515="","",'Paste SD Data'!O515)</f>
        <v>OBC</v>
      </c>
    </row>
    <row r="519" spans="1:11" ht="30" customHeight="1" x14ac:dyDescent="0.25">
      <c r="A519" s="25">
        <f>IF(Table1[[#This Row],[Name of Student]]="","",ROWS($A$1:A515))</f>
        <v>515</v>
      </c>
      <c r="B519" s="26">
        <f>IF('Paste SD Data'!A516="","",'Paste SD Data'!A516)</f>
        <v>11</v>
      </c>
      <c r="C519" s="26" t="str">
        <f>IF('Paste SD Data'!B516="","",'Paste SD Data'!B516)</f>
        <v>C</v>
      </c>
      <c r="D519" s="26">
        <f>IF('Paste SD Data'!C516="","",'Paste SD Data'!C516)</f>
        <v>13713</v>
      </c>
      <c r="E519" s="27" t="str">
        <f>IF('Paste SD Data'!E516="","",UPPER('Paste SD Data'!E516))</f>
        <v>JAGDISH NATH JOGI</v>
      </c>
      <c r="F519" s="27" t="str">
        <f>IF('Paste SD Data'!G516="","",UPPER('Paste SD Data'!G516))</f>
        <v>BALU NATH JOGI</v>
      </c>
      <c r="G519" s="27" t="str">
        <f>IF('Paste SD Data'!H516="","",UPPER('Paste SD Data'!H516))</f>
        <v>BHAGU DEVI</v>
      </c>
      <c r="H519" s="26" t="str">
        <f>IF('Paste SD Data'!I516="","",IF('Paste SD Data'!I516="M","BOY","GIRL"))</f>
        <v>BOY</v>
      </c>
      <c r="I519" s="28">
        <f>IF('Paste SD Data'!J516="","",'Paste SD Data'!J516)</f>
        <v>38253</v>
      </c>
      <c r="J519" s="34">
        <f t="shared" ref="J519:J582" si="8">J518+1</f>
        <v>945</v>
      </c>
      <c r="K519" s="29" t="str">
        <f>IF('Paste SD Data'!O516="","",'Paste SD Data'!O516)</f>
        <v>OBC</v>
      </c>
    </row>
    <row r="520" spans="1:11" ht="30" customHeight="1" x14ac:dyDescent="0.25">
      <c r="A520" s="25">
        <f>IF(Table1[[#This Row],[Name of Student]]="","",ROWS($A$1:A516))</f>
        <v>516</v>
      </c>
      <c r="B520" s="26">
        <f>IF('Paste SD Data'!A517="","",'Paste SD Data'!A517)</f>
        <v>11</v>
      </c>
      <c r="C520" s="26" t="str">
        <f>IF('Paste SD Data'!B517="","",'Paste SD Data'!B517)</f>
        <v>C</v>
      </c>
      <c r="D520" s="26">
        <f>IF('Paste SD Data'!C517="","",'Paste SD Data'!C517)</f>
        <v>13826</v>
      </c>
      <c r="E520" s="27" t="str">
        <f>IF('Paste SD Data'!E517="","",UPPER('Paste SD Data'!E517))</f>
        <v>JAGDISH REGAR</v>
      </c>
      <c r="F520" s="27" t="str">
        <f>IF('Paste SD Data'!G517="","",UPPER('Paste SD Data'!G517))</f>
        <v>PRAKASH CHANDRA</v>
      </c>
      <c r="G520" s="27" t="str">
        <f>IF('Paste SD Data'!H517="","",UPPER('Paste SD Data'!H517))</f>
        <v>MANJU DEVI</v>
      </c>
      <c r="H520" s="26" t="str">
        <f>IF('Paste SD Data'!I517="","",IF('Paste SD Data'!I517="M","BOY","GIRL"))</f>
        <v>BOY</v>
      </c>
      <c r="I520" s="28">
        <f>IF('Paste SD Data'!J517="","",'Paste SD Data'!J517)</f>
        <v>38868</v>
      </c>
      <c r="J520" s="34">
        <f t="shared" si="8"/>
        <v>946</v>
      </c>
      <c r="K520" s="29" t="str">
        <f>IF('Paste SD Data'!O517="","",'Paste SD Data'!O517)</f>
        <v>SC</v>
      </c>
    </row>
    <row r="521" spans="1:11" ht="30" customHeight="1" x14ac:dyDescent="0.25">
      <c r="A521" s="25">
        <f>IF(Table1[[#This Row],[Name of Student]]="","",ROWS($A$1:A517))</f>
        <v>517</v>
      </c>
      <c r="B521" s="26">
        <f>IF('Paste SD Data'!A518="","",'Paste SD Data'!A518)</f>
        <v>11</v>
      </c>
      <c r="C521" s="26" t="str">
        <f>IF('Paste SD Data'!B518="","",'Paste SD Data'!B518)</f>
        <v>C</v>
      </c>
      <c r="D521" s="26">
        <f>IF('Paste SD Data'!C518="","",'Paste SD Data'!C518)</f>
        <v>13216</v>
      </c>
      <c r="E521" s="27" t="str">
        <f>IF('Paste SD Data'!E518="","",UPPER('Paste SD Data'!E518))</f>
        <v>JAIPRAKASH SALVI</v>
      </c>
      <c r="F521" s="27" t="str">
        <f>IF('Paste SD Data'!G518="","",UPPER('Paste SD Data'!G518))</f>
        <v>KALU RAM</v>
      </c>
      <c r="G521" s="27" t="str">
        <f>IF('Paste SD Data'!H518="","",UPPER('Paste SD Data'!H518))</f>
        <v>SUSHILA DEVI</v>
      </c>
      <c r="H521" s="26" t="str">
        <f>IF('Paste SD Data'!I518="","",IF('Paste SD Data'!I518="M","BOY","GIRL"))</f>
        <v>BOY</v>
      </c>
      <c r="I521" s="28">
        <f>IF('Paste SD Data'!J518="","",'Paste SD Data'!J518)</f>
        <v>38554</v>
      </c>
      <c r="J521" s="34">
        <f t="shared" si="8"/>
        <v>947</v>
      </c>
      <c r="K521" s="29" t="str">
        <f>IF('Paste SD Data'!O518="","",'Paste SD Data'!O518)</f>
        <v>SC</v>
      </c>
    </row>
    <row r="522" spans="1:11" ht="30" customHeight="1" x14ac:dyDescent="0.25">
      <c r="A522" s="25">
        <f>IF(Table1[[#This Row],[Name of Student]]="","",ROWS($A$1:A518))</f>
        <v>518</v>
      </c>
      <c r="B522" s="26">
        <f>IF('Paste SD Data'!A519="","",'Paste SD Data'!A519)</f>
        <v>11</v>
      </c>
      <c r="C522" s="26" t="str">
        <f>IF('Paste SD Data'!B519="","",'Paste SD Data'!B519)</f>
        <v>C</v>
      </c>
      <c r="D522" s="26">
        <f>IF('Paste SD Data'!C519="","",'Paste SD Data'!C519)</f>
        <v>13984</v>
      </c>
      <c r="E522" s="27" t="str">
        <f>IF('Paste SD Data'!E519="","",UPPER('Paste SD Data'!E519))</f>
        <v>JATAN JAIN</v>
      </c>
      <c r="F522" s="27" t="str">
        <f>IF('Paste SD Data'!G519="","",UPPER('Paste SD Data'!G519))</f>
        <v>DINESH CHANDRA GANDHI</v>
      </c>
      <c r="G522" s="27" t="str">
        <f>IF('Paste SD Data'!H519="","",UPPER('Paste SD Data'!H519))</f>
        <v>SHOBHA JAIN</v>
      </c>
      <c r="H522" s="26" t="str">
        <f>IF('Paste SD Data'!I519="","",IF('Paste SD Data'!I519="M","BOY","GIRL"))</f>
        <v>BOY</v>
      </c>
      <c r="I522" s="28">
        <f>IF('Paste SD Data'!J519="","",'Paste SD Data'!J519)</f>
        <v>38045</v>
      </c>
      <c r="J522" s="34">
        <f t="shared" si="8"/>
        <v>948</v>
      </c>
      <c r="K522" s="29" t="str">
        <f>IF('Paste SD Data'!O519="","",'Paste SD Data'!O519)</f>
        <v>GEN</v>
      </c>
    </row>
    <row r="523" spans="1:11" ht="30" customHeight="1" x14ac:dyDescent="0.25">
      <c r="A523" s="25">
        <f>IF(Table1[[#This Row],[Name of Student]]="","",ROWS($A$1:A519))</f>
        <v>519</v>
      </c>
      <c r="B523" s="26">
        <f>IF('Paste SD Data'!A520="","",'Paste SD Data'!A520)</f>
        <v>11</v>
      </c>
      <c r="C523" s="26" t="str">
        <f>IF('Paste SD Data'!B520="","",'Paste SD Data'!B520)</f>
        <v>C</v>
      </c>
      <c r="D523" s="26">
        <f>IF('Paste SD Data'!C520="","",'Paste SD Data'!C520)</f>
        <v>12969</v>
      </c>
      <c r="E523" s="27" t="str">
        <f>IF('Paste SD Data'!E520="","",UPPER('Paste SD Data'!E520))</f>
        <v>KAILASH SINGH PANWAR</v>
      </c>
      <c r="F523" s="27" t="str">
        <f>IF('Paste SD Data'!G520="","",UPPER('Paste SD Data'!G520))</f>
        <v>GOPAL SINGH</v>
      </c>
      <c r="G523" s="27" t="str">
        <f>IF('Paste SD Data'!H520="","",UPPER('Paste SD Data'!H520))</f>
        <v>KRISHNA DEVI</v>
      </c>
      <c r="H523" s="26" t="str">
        <f>IF('Paste SD Data'!I520="","",IF('Paste SD Data'!I520="M","BOY","GIRL"))</f>
        <v>BOY</v>
      </c>
      <c r="I523" s="28">
        <f>IF('Paste SD Data'!J520="","",'Paste SD Data'!J520)</f>
        <v>38214</v>
      </c>
      <c r="J523" s="34">
        <f t="shared" si="8"/>
        <v>949</v>
      </c>
      <c r="K523" s="29" t="str">
        <f>IF('Paste SD Data'!O520="","",'Paste SD Data'!O520)</f>
        <v>OBC</v>
      </c>
    </row>
    <row r="524" spans="1:11" ht="30" customHeight="1" x14ac:dyDescent="0.25">
      <c r="A524" s="25">
        <f>IF(Table1[[#This Row],[Name of Student]]="","",ROWS($A$1:A520))</f>
        <v>520</v>
      </c>
      <c r="B524" s="26">
        <f>IF('Paste SD Data'!A521="","",'Paste SD Data'!A521)</f>
        <v>11</v>
      </c>
      <c r="C524" s="26" t="str">
        <f>IF('Paste SD Data'!B521="","",'Paste SD Data'!B521)</f>
        <v>C</v>
      </c>
      <c r="D524" s="26">
        <f>IF('Paste SD Data'!C521="","",'Paste SD Data'!C521)</f>
        <v>13208</v>
      </c>
      <c r="E524" s="27" t="str">
        <f>IF('Paste SD Data'!E521="","",UPPER('Paste SD Data'!E521))</f>
        <v>KALYAN SINGH</v>
      </c>
      <c r="F524" s="27" t="str">
        <f>IF('Paste SD Data'!G521="","",UPPER('Paste SD Data'!G521))</f>
        <v>VANNA SINGH</v>
      </c>
      <c r="G524" s="27" t="str">
        <f>IF('Paste SD Data'!H521="","",UPPER('Paste SD Data'!H521))</f>
        <v>KOYALI DEVI</v>
      </c>
      <c r="H524" s="26" t="str">
        <f>IF('Paste SD Data'!I521="","",IF('Paste SD Data'!I521="M","BOY","GIRL"))</f>
        <v>BOY</v>
      </c>
      <c r="I524" s="28">
        <f>IF('Paste SD Data'!J521="","",'Paste SD Data'!J521)</f>
        <v>38321</v>
      </c>
      <c r="J524" s="34">
        <f t="shared" si="8"/>
        <v>950</v>
      </c>
      <c r="K524" s="29" t="str">
        <f>IF('Paste SD Data'!O521="","",'Paste SD Data'!O521)</f>
        <v>OBC</v>
      </c>
    </row>
    <row r="525" spans="1:11" ht="30" customHeight="1" x14ac:dyDescent="0.25">
      <c r="A525" s="25">
        <f>IF(Table1[[#This Row],[Name of Student]]="","",ROWS($A$1:A521))</f>
        <v>521</v>
      </c>
      <c r="B525" s="26">
        <f>IF('Paste SD Data'!A522="","",'Paste SD Data'!A522)</f>
        <v>11</v>
      </c>
      <c r="C525" s="26" t="str">
        <f>IF('Paste SD Data'!B522="","",'Paste SD Data'!B522)</f>
        <v>C</v>
      </c>
      <c r="D525" s="26">
        <f>IF('Paste SD Data'!C522="","",'Paste SD Data'!C522)</f>
        <v>13531</v>
      </c>
      <c r="E525" s="27" t="str">
        <f>IF('Paste SD Data'!E522="","",UPPER('Paste SD Data'!E522))</f>
        <v>KAMLESH NATH JOGI</v>
      </c>
      <c r="F525" s="27" t="str">
        <f>IF('Paste SD Data'!G522="","",UPPER('Paste SD Data'!G522))</f>
        <v>BALU NATH JOGI</v>
      </c>
      <c r="G525" s="27" t="str">
        <f>IF('Paste SD Data'!H522="","",UPPER('Paste SD Data'!H522))</f>
        <v>BHAGU DEVI</v>
      </c>
      <c r="H525" s="26" t="str">
        <f>IF('Paste SD Data'!I522="","",IF('Paste SD Data'!I522="M","BOY","GIRL"))</f>
        <v>BOY</v>
      </c>
      <c r="I525" s="28">
        <f>IF('Paste SD Data'!J522="","",'Paste SD Data'!J522)</f>
        <v>38770</v>
      </c>
      <c r="J525" s="34">
        <f t="shared" si="8"/>
        <v>951</v>
      </c>
      <c r="K525" s="29" t="str">
        <f>IF('Paste SD Data'!O522="","",'Paste SD Data'!O522)</f>
        <v>OBC</v>
      </c>
    </row>
    <row r="526" spans="1:11" ht="30" customHeight="1" x14ac:dyDescent="0.25">
      <c r="A526" s="25">
        <f>IF(Table1[[#This Row],[Name of Student]]="","",ROWS($A$1:A522))</f>
        <v>522</v>
      </c>
      <c r="B526" s="26">
        <f>IF('Paste SD Data'!A523="","",'Paste SD Data'!A523)</f>
        <v>11</v>
      </c>
      <c r="C526" s="26" t="str">
        <f>IF('Paste SD Data'!B523="","",'Paste SD Data'!B523)</f>
        <v>C</v>
      </c>
      <c r="D526" s="26">
        <f>IF('Paste SD Data'!C523="","",'Paste SD Data'!C523)</f>
        <v>13727</v>
      </c>
      <c r="E526" s="27" t="str">
        <f>IF('Paste SD Data'!E523="","",UPPER('Paste SD Data'!E523))</f>
        <v>KAPIL JAIN</v>
      </c>
      <c r="F526" s="27" t="str">
        <f>IF('Paste SD Data'!G523="","",UPPER('Paste SD Data'!G523))</f>
        <v>PARAS MAL</v>
      </c>
      <c r="G526" s="27" t="str">
        <f>IF('Paste SD Data'!H523="","",UPPER('Paste SD Data'!H523))</f>
        <v>SEEMA</v>
      </c>
      <c r="H526" s="26" t="str">
        <f>IF('Paste SD Data'!I523="","",IF('Paste SD Data'!I523="M","BOY","GIRL"))</f>
        <v>BOY</v>
      </c>
      <c r="I526" s="28">
        <f>IF('Paste SD Data'!J523="","",'Paste SD Data'!J523)</f>
        <v>38484</v>
      </c>
      <c r="J526" s="34">
        <f t="shared" si="8"/>
        <v>952</v>
      </c>
      <c r="K526" s="29" t="str">
        <f>IF('Paste SD Data'!O523="","",'Paste SD Data'!O523)</f>
        <v>GEN</v>
      </c>
    </row>
    <row r="527" spans="1:11" ht="30" customHeight="1" x14ac:dyDescent="0.25">
      <c r="A527" s="25">
        <f>IF(Table1[[#This Row],[Name of Student]]="","",ROWS($A$1:A523))</f>
        <v>523</v>
      </c>
      <c r="B527" s="26">
        <f>IF('Paste SD Data'!A524="","",'Paste SD Data'!A524)</f>
        <v>11</v>
      </c>
      <c r="C527" s="26" t="str">
        <f>IF('Paste SD Data'!B524="","",'Paste SD Data'!B524)</f>
        <v>C</v>
      </c>
      <c r="D527" s="26">
        <f>IF('Paste SD Data'!C524="","",'Paste SD Data'!C524)</f>
        <v>13236</v>
      </c>
      <c r="E527" s="27" t="str">
        <f>IF('Paste SD Data'!E524="","",UPPER('Paste SD Data'!E524))</f>
        <v>KISHAN LAL GURJAR</v>
      </c>
      <c r="F527" s="27" t="str">
        <f>IF('Paste SD Data'!G524="","",UPPER('Paste SD Data'!G524))</f>
        <v>UDAI LAL</v>
      </c>
      <c r="G527" s="27" t="str">
        <f>IF('Paste SD Data'!H524="","",UPPER('Paste SD Data'!H524))</f>
        <v>SANTOSH BAI</v>
      </c>
      <c r="H527" s="26" t="str">
        <f>IF('Paste SD Data'!I524="","",IF('Paste SD Data'!I524="M","BOY","GIRL"))</f>
        <v>BOY</v>
      </c>
      <c r="I527" s="28">
        <f>IF('Paste SD Data'!J524="","",'Paste SD Data'!J524)</f>
        <v>38934</v>
      </c>
      <c r="J527" s="34">
        <f t="shared" si="8"/>
        <v>953</v>
      </c>
      <c r="K527" s="29" t="str">
        <f>IF('Paste SD Data'!O524="","",'Paste SD Data'!O524)</f>
        <v>SBC</v>
      </c>
    </row>
    <row r="528" spans="1:11" ht="30" customHeight="1" x14ac:dyDescent="0.25">
      <c r="A528" s="25">
        <f>IF(Table1[[#This Row],[Name of Student]]="","",ROWS($A$1:A524))</f>
        <v>524</v>
      </c>
      <c r="B528" s="26">
        <f>IF('Paste SD Data'!A525="","",'Paste SD Data'!A525)</f>
        <v>11</v>
      </c>
      <c r="C528" s="26" t="str">
        <f>IF('Paste SD Data'!B525="","",'Paste SD Data'!B525)</f>
        <v>C</v>
      </c>
      <c r="D528" s="26">
        <f>IF('Paste SD Data'!C525="","",'Paste SD Data'!C525)</f>
        <v>13234</v>
      </c>
      <c r="E528" s="27" t="str">
        <f>IF('Paste SD Data'!E525="","",UPPER('Paste SD Data'!E525))</f>
        <v>KISHOR KUMAR SALVI</v>
      </c>
      <c r="F528" s="27" t="str">
        <f>IF('Paste SD Data'!G525="","",UPPER('Paste SD Data'!G525))</f>
        <v>LAXMAN LAL SALVI</v>
      </c>
      <c r="G528" s="27" t="str">
        <f>IF('Paste SD Data'!H525="","",UPPER('Paste SD Data'!H525))</f>
        <v>GEETA DEVI</v>
      </c>
      <c r="H528" s="26" t="str">
        <f>IF('Paste SD Data'!I525="","",IF('Paste SD Data'!I525="M","BOY","GIRL"))</f>
        <v>BOY</v>
      </c>
      <c r="I528" s="28">
        <f>IF('Paste SD Data'!J525="","",'Paste SD Data'!J525)</f>
        <v>37485</v>
      </c>
      <c r="J528" s="34">
        <f t="shared" si="8"/>
        <v>954</v>
      </c>
      <c r="K528" s="29" t="str">
        <f>IF('Paste SD Data'!O525="","",'Paste SD Data'!O525)</f>
        <v>SC</v>
      </c>
    </row>
    <row r="529" spans="1:11" ht="30" customHeight="1" x14ac:dyDescent="0.25">
      <c r="A529" s="25">
        <f>IF(Table1[[#This Row],[Name of Student]]="","",ROWS($A$1:A525))</f>
        <v>525</v>
      </c>
      <c r="B529" s="26">
        <f>IF('Paste SD Data'!A526="","",'Paste SD Data'!A526)</f>
        <v>11</v>
      </c>
      <c r="C529" s="26" t="str">
        <f>IF('Paste SD Data'!B526="","",'Paste SD Data'!B526)</f>
        <v>C</v>
      </c>
      <c r="D529" s="26">
        <f>IF('Paste SD Data'!C526="","",'Paste SD Data'!C526)</f>
        <v>13439</v>
      </c>
      <c r="E529" s="27" t="str">
        <f>IF('Paste SD Data'!E526="","",UPPER('Paste SD Data'!E526))</f>
        <v>LALIT KUMAR SALVI</v>
      </c>
      <c r="F529" s="27" t="str">
        <f>IF('Paste SD Data'!G526="","",UPPER('Paste SD Data'!G526))</f>
        <v>KISHAN LAL SALVI</v>
      </c>
      <c r="G529" s="27" t="str">
        <f>IF('Paste SD Data'!H526="","",UPPER('Paste SD Data'!H526))</f>
        <v>REKHA DEVI</v>
      </c>
      <c r="H529" s="26" t="str">
        <f>IF('Paste SD Data'!I526="","",IF('Paste SD Data'!I526="M","BOY","GIRL"))</f>
        <v>BOY</v>
      </c>
      <c r="I529" s="28">
        <f>IF('Paste SD Data'!J526="","",'Paste SD Data'!J526)</f>
        <v>38234</v>
      </c>
      <c r="J529" s="34">
        <f t="shared" si="8"/>
        <v>955</v>
      </c>
      <c r="K529" s="29" t="str">
        <f>IF('Paste SD Data'!O526="","",'Paste SD Data'!O526)</f>
        <v>SC</v>
      </c>
    </row>
    <row r="530" spans="1:11" ht="30" customHeight="1" x14ac:dyDescent="0.25">
      <c r="A530" s="25">
        <f>IF(Table1[[#This Row],[Name of Student]]="","",ROWS($A$1:A526))</f>
        <v>526</v>
      </c>
      <c r="B530" s="26">
        <f>IF('Paste SD Data'!A527="","",'Paste SD Data'!A527)</f>
        <v>11</v>
      </c>
      <c r="C530" s="26" t="str">
        <f>IF('Paste SD Data'!B527="","",'Paste SD Data'!B527)</f>
        <v>C</v>
      </c>
      <c r="D530" s="26">
        <f>IF('Paste SD Data'!C527="","",'Paste SD Data'!C527)</f>
        <v>13558</v>
      </c>
      <c r="E530" s="27" t="str">
        <f>IF('Paste SD Data'!E527="","",UPPER('Paste SD Data'!E527))</f>
        <v>LAXMAN LAL SUTHAR</v>
      </c>
      <c r="F530" s="27" t="str">
        <f>IF('Paste SD Data'!G527="","",UPPER('Paste SD Data'!G527))</f>
        <v>PANNA LAL SUTHAR</v>
      </c>
      <c r="G530" s="27" t="str">
        <f>IF('Paste SD Data'!H527="","",UPPER('Paste SD Data'!H527))</f>
        <v>TULSI DEVI</v>
      </c>
      <c r="H530" s="26" t="str">
        <f>IF('Paste SD Data'!I527="","",IF('Paste SD Data'!I527="M","BOY","GIRL"))</f>
        <v>BOY</v>
      </c>
      <c r="I530" s="28">
        <f>IF('Paste SD Data'!J527="","",'Paste SD Data'!J527)</f>
        <v>38450</v>
      </c>
      <c r="J530" s="34">
        <f t="shared" si="8"/>
        <v>956</v>
      </c>
      <c r="K530" s="29" t="str">
        <f>IF('Paste SD Data'!O527="","",'Paste SD Data'!O527)</f>
        <v>OBC</v>
      </c>
    </row>
    <row r="531" spans="1:11" ht="30" customHeight="1" x14ac:dyDescent="0.25">
      <c r="A531" s="25">
        <f>IF(Table1[[#This Row],[Name of Student]]="","",ROWS($A$1:A527))</f>
        <v>527</v>
      </c>
      <c r="B531" s="26">
        <f>IF('Paste SD Data'!A528="","",'Paste SD Data'!A528)</f>
        <v>11</v>
      </c>
      <c r="C531" s="26" t="str">
        <f>IF('Paste SD Data'!B528="","",'Paste SD Data'!B528)</f>
        <v>C</v>
      </c>
      <c r="D531" s="26">
        <f>IF('Paste SD Data'!C528="","",'Paste SD Data'!C528)</f>
        <v>13335</v>
      </c>
      <c r="E531" s="27" t="str">
        <f>IF('Paste SD Data'!E528="","",UPPER('Paste SD Data'!E528))</f>
        <v>LOKESH KUMAR SALVI</v>
      </c>
      <c r="F531" s="27" t="str">
        <f>IF('Paste SD Data'!G528="","",UPPER('Paste SD Data'!G528))</f>
        <v>BHANWAR LAL SALVI</v>
      </c>
      <c r="G531" s="27" t="str">
        <f>IF('Paste SD Data'!H528="","",UPPER('Paste SD Data'!H528))</f>
        <v>LEELA DEVI</v>
      </c>
      <c r="H531" s="26" t="str">
        <f>IF('Paste SD Data'!I528="","",IF('Paste SD Data'!I528="M","BOY","GIRL"))</f>
        <v>BOY</v>
      </c>
      <c r="I531" s="28">
        <f>IF('Paste SD Data'!J528="","",'Paste SD Data'!J528)</f>
        <v>37140</v>
      </c>
      <c r="J531" s="34">
        <f t="shared" si="8"/>
        <v>957</v>
      </c>
      <c r="K531" s="29" t="str">
        <f>IF('Paste SD Data'!O528="","",'Paste SD Data'!O528)</f>
        <v>SC</v>
      </c>
    </row>
    <row r="532" spans="1:11" ht="30" customHeight="1" x14ac:dyDescent="0.25">
      <c r="A532" s="25">
        <f>IF(Table1[[#This Row],[Name of Student]]="","",ROWS($A$1:A528))</f>
        <v>528</v>
      </c>
      <c r="B532" s="26">
        <f>IF('Paste SD Data'!A529="","",'Paste SD Data'!A529)</f>
        <v>11</v>
      </c>
      <c r="C532" s="26" t="str">
        <f>IF('Paste SD Data'!B529="","",'Paste SD Data'!B529)</f>
        <v>C</v>
      </c>
      <c r="D532" s="26">
        <f>IF('Paste SD Data'!C529="","",'Paste SD Data'!C529)</f>
        <v>13196</v>
      </c>
      <c r="E532" s="27" t="str">
        <f>IF('Paste SD Data'!E529="","",UPPER('Paste SD Data'!E529))</f>
        <v>MANISH SALVI</v>
      </c>
      <c r="F532" s="27" t="str">
        <f>IF('Paste SD Data'!G529="","",UPPER('Paste SD Data'!G529))</f>
        <v>DEVI LAL SALVI</v>
      </c>
      <c r="G532" s="27" t="str">
        <f>IF('Paste SD Data'!H529="","",UPPER('Paste SD Data'!H529))</f>
        <v>NARAYANI DEVI</v>
      </c>
      <c r="H532" s="26" t="str">
        <f>IF('Paste SD Data'!I529="","",IF('Paste SD Data'!I529="M","BOY","GIRL"))</f>
        <v>BOY</v>
      </c>
      <c r="I532" s="28">
        <f>IF('Paste SD Data'!J529="","",'Paste SD Data'!J529)</f>
        <v>38238</v>
      </c>
      <c r="J532" s="34">
        <f t="shared" si="8"/>
        <v>958</v>
      </c>
      <c r="K532" s="29" t="str">
        <f>IF('Paste SD Data'!O529="","",'Paste SD Data'!O529)</f>
        <v>SC</v>
      </c>
    </row>
    <row r="533" spans="1:11" ht="30" customHeight="1" x14ac:dyDescent="0.25">
      <c r="A533" s="25">
        <f>IF(Table1[[#This Row],[Name of Student]]="","",ROWS($A$1:A529))</f>
        <v>529</v>
      </c>
      <c r="B533" s="26">
        <f>IF('Paste SD Data'!A530="","",'Paste SD Data'!A530)</f>
        <v>11</v>
      </c>
      <c r="C533" s="26" t="str">
        <f>IF('Paste SD Data'!B530="","",'Paste SD Data'!B530)</f>
        <v>C</v>
      </c>
      <c r="D533" s="26">
        <f>IF('Paste SD Data'!C530="","",'Paste SD Data'!C530)</f>
        <v>13079</v>
      </c>
      <c r="E533" s="27" t="str">
        <f>IF('Paste SD Data'!E530="","",UPPER('Paste SD Data'!E530))</f>
        <v>MOHAN SINGH BALLA</v>
      </c>
      <c r="F533" s="27" t="str">
        <f>IF('Paste SD Data'!G530="","",UPPER('Paste SD Data'!G530))</f>
        <v>MADAN SINGH BALLA</v>
      </c>
      <c r="G533" s="27" t="str">
        <f>IF('Paste SD Data'!H530="","",UPPER('Paste SD Data'!H530))</f>
        <v>KAMLA KANWAR</v>
      </c>
      <c r="H533" s="26" t="str">
        <f>IF('Paste SD Data'!I530="","",IF('Paste SD Data'!I530="M","BOY","GIRL"))</f>
        <v>BOY</v>
      </c>
      <c r="I533" s="28">
        <f>IF('Paste SD Data'!J530="","",'Paste SD Data'!J530)</f>
        <v>38571</v>
      </c>
      <c r="J533" s="34">
        <f t="shared" si="8"/>
        <v>959</v>
      </c>
      <c r="K533" s="29" t="str">
        <f>IF('Paste SD Data'!O530="","",'Paste SD Data'!O530)</f>
        <v>GEN</v>
      </c>
    </row>
    <row r="534" spans="1:11" ht="30" customHeight="1" x14ac:dyDescent="0.25">
      <c r="A534" s="25">
        <f>IF(Table1[[#This Row],[Name of Student]]="","",ROWS($A$1:A530))</f>
        <v>530</v>
      </c>
      <c r="B534" s="26">
        <f>IF('Paste SD Data'!A531="","",'Paste SD Data'!A531)</f>
        <v>11</v>
      </c>
      <c r="C534" s="26" t="str">
        <f>IF('Paste SD Data'!B531="","",'Paste SD Data'!B531)</f>
        <v>C</v>
      </c>
      <c r="D534" s="26">
        <f>IF('Paste SD Data'!C531="","",'Paste SD Data'!C531)</f>
        <v>13254</v>
      </c>
      <c r="E534" s="27" t="str">
        <f>IF('Paste SD Data'!E531="","",UPPER('Paste SD Data'!E531))</f>
        <v>MUKESH SINGH</v>
      </c>
      <c r="F534" s="27" t="str">
        <f>IF('Paste SD Data'!G531="","",UPPER('Paste SD Data'!G531))</f>
        <v>MOHAN SINGH</v>
      </c>
      <c r="G534" s="27" t="str">
        <f>IF('Paste SD Data'!H531="","",UPPER('Paste SD Data'!H531))</f>
        <v>ANITA DEVI</v>
      </c>
      <c r="H534" s="26" t="str">
        <f>IF('Paste SD Data'!I531="","",IF('Paste SD Data'!I531="M","BOY","GIRL"))</f>
        <v>BOY</v>
      </c>
      <c r="I534" s="28">
        <f>IF('Paste SD Data'!J531="","",'Paste SD Data'!J531)</f>
        <v>38380</v>
      </c>
      <c r="J534" s="34">
        <f t="shared" si="8"/>
        <v>960</v>
      </c>
      <c r="K534" s="29" t="str">
        <f>IF('Paste SD Data'!O531="","",'Paste SD Data'!O531)</f>
        <v>OBC</v>
      </c>
    </row>
    <row r="535" spans="1:11" ht="30" customHeight="1" x14ac:dyDescent="0.25">
      <c r="A535" s="25">
        <f>IF(Table1[[#This Row],[Name of Student]]="","",ROWS($A$1:A531))</f>
        <v>531</v>
      </c>
      <c r="B535" s="26">
        <f>IF('Paste SD Data'!A532="","",'Paste SD Data'!A532)</f>
        <v>11</v>
      </c>
      <c r="C535" s="26" t="str">
        <f>IF('Paste SD Data'!B532="","",'Paste SD Data'!B532)</f>
        <v>C</v>
      </c>
      <c r="D535" s="26">
        <f>IF('Paste SD Data'!C532="","",'Paste SD Data'!C532)</f>
        <v>13317</v>
      </c>
      <c r="E535" s="27" t="str">
        <f>IF('Paste SD Data'!E532="","",UPPER('Paste SD Data'!E532))</f>
        <v>NARAYAN LAL</v>
      </c>
      <c r="F535" s="27" t="str">
        <f>IF('Paste SD Data'!G532="","",UPPER('Paste SD Data'!G532))</f>
        <v>RAM LAL</v>
      </c>
      <c r="G535" s="27" t="str">
        <f>IF('Paste SD Data'!H532="","",UPPER('Paste SD Data'!H532))</f>
        <v>SENU DEVI</v>
      </c>
      <c r="H535" s="26" t="str">
        <f>IF('Paste SD Data'!I532="","",IF('Paste SD Data'!I532="M","BOY","GIRL"))</f>
        <v>BOY</v>
      </c>
      <c r="I535" s="28">
        <f>IF('Paste SD Data'!J532="","",'Paste SD Data'!J532)</f>
        <v>38443</v>
      </c>
      <c r="J535" s="34">
        <f t="shared" si="8"/>
        <v>961</v>
      </c>
      <c r="K535" s="29" t="str">
        <f>IF('Paste SD Data'!O532="","",'Paste SD Data'!O532)</f>
        <v>SC</v>
      </c>
    </row>
    <row r="536" spans="1:11" ht="30" customHeight="1" x14ac:dyDescent="0.25">
      <c r="A536" s="25">
        <f>IF(Table1[[#This Row],[Name of Student]]="","",ROWS($A$1:A532))</f>
        <v>532</v>
      </c>
      <c r="B536" s="26">
        <f>IF('Paste SD Data'!A533="","",'Paste SD Data'!A533)</f>
        <v>11</v>
      </c>
      <c r="C536" s="26" t="str">
        <f>IF('Paste SD Data'!B533="","",'Paste SD Data'!B533)</f>
        <v>C</v>
      </c>
      <c r="D536" s="26">
        <f>IF('Paste SD Data'!C533="","",'Paste SD Data'!C533)</f>
        <v>13191</v>
      </c>
      <c r="E536" s="27" t="str">
        <f>IF('Paste SD Data'!E533="","",UPPER('Paste SD Data'!E533))</f>
        <v>NARAYAN LAL REGAR</v>
      </c>
      <c r="F536" s="27" t="str">
        <f>IF('Paste SD Data'!G533="","",UPPER('Paste SD Data'!G533))</f>
        <v>MOOLA RAM REGAR</v>
      </c>
      <c r="G536" s="27" t="str">
        <f>IF('Paste SD Data'!H533="","",UPPER('Paste SD Data'!H533))</f>
        <v>SEETA DEVI</v>
      </c>
      <c r="H536" s="26" t="str">
        <f>IF('Paste SD Data'!I533="","",IF('Paste SD Data'!I533="M","BOY","GIRL"))</f>
        <v>BOY</v>
      </c>
      <c r="I536" s="28">
        <f>IF('Paste SD Data'!J533="","",'Paste SD Data'!J533)</f>
        <v>38468</v>
      </c>
      <c r="J536" s="34">
        <f t="shared" si="8"/>
        <v>962</v>
      </c>
      <c r="K536" s="29" t="str">
        <f>IF('Paste SD Data'!O533="","",'Paste SD Data'!O533)</f>
        <v>SC</v>
      </c>
    </row>
    <row r="537" spans="1:11" ht="30" customHeight="1" x14ac:dyDescent="0.25">
      <c r="A537" s="25">
        <f>IF(Table1[[#This Row],[Name of Student]]="","",ROWS($A$1:A533))</f>
        <v>533</v>
      </c>
      <c r="B537" s="26">
        <f>IF('Paste SD Data'!A534="","",'Paste SD Data'!A534)</f>
        <v>11</v>
      </c>
      <c r="C537" s="26" t="str">
        <f>IF('Paste SD Data'!B534="","",'Paste SD Data'!B534)</f>
        <v>C</v>
      </c>
      <c r="D537" s="26">
        <f>IF('Paste SD Data'!C534="","",'Paste SD Data'!C534)</f>
        <v>13775</v>
      </c>
      <c r="E537" s="27" t="str">
        <f>IF('Paste SD Data'!E534="","",UPPER('Paste SD Data'!E534))</f>
        <v>NARAYAN SUTHAR</v>
      </c>
      <c r="F537" s="27" t="str">
        <f>IF('Paste SD Data'!G534="","",UPPER('Paste SD Data'!G534))</f>
        <v>BHERU LAL SUTHAR</v>
      </c>
      <c r="G537" s="27" t="str">
        <f>IF('Paste SD Data'!H534="","",UPPER('Paste SD Data'!H534))</f>
        <v>BHANWARI DEVI</v>
      </c>
      <c r="H537" s="26" t="str">
        <f>IF('Paste SD Data'!I534="","",IF('Paste SD Data'!I534="M","BOY","GIRL"))</f>
        <v>BOY</v>
      </c>
      <c r="I537" s="28">
        <f>IF('Paste SD Data'!J534="","",'Paste SD Data'!J534)</f>
        <v>38492</v>
      </c>
      <c r="J537" s="34">
        <f t="shared" si="8"/>
        <v>963</v>
      </c>
      <c r="K537" s="29" t="str">
        <f>IF('Paste SD Data'!O534="","",'Paste SD Data'!O534)</f>
        <v>OBC</v>
      </c>
    </row>
    <row r="538" spans="1:11" ht="30" customHeight="1" x14ac:dyDescent="0.25">
      <c r="A538" s="25">
        <f>IF(Table1[[#This Row],[Name of Student]]="","",ROWS($A$1:A534))</f>
        <v>534</v>
      </c>
      <c r="B538" s="26">
        <f>IF('Paste SD Data'!A535="","",'Paste SD Data'!A535)</f>
        <v>11</v>
      </c>
      <c r="C538" s="26" t="str">
        <f>IF('Paste SD Data'!B535="","",'Paste SD Data'!B535)</f>
        <v>C</v>
      </c>
      <c r="D538" s="26">
        <f>IF('Paste SD Data'!C535="","",'Paste SD Data'!C535)</f>
        <v>13195</v>
      </c>
      <c r="E538" s="27" t="str">
        <f>IF('Paste SD Data'!E535="","",UPPER('Paste SD Data'!E535))</f>
        <v>NEN SINGH</v>
      </c>
      <c r="F538" s="27" t="str">
        <f>IF('Paste SD Data'!G535="","",UPPER('Paste SD Data'!G535))</f>
        <v>JAWAN SINGH</v>
      </c>
      <c r="G538" s="27" t="str">
        <f>IF('Paste SD Data'!H535="","",UPPER('Paste SD Data'!H535))</f>
        <v>KHIMI DEVI</v>
      </c>
      <c r="H538" s="26" t="str">
        <f>IF('Paste SD Data'!I535="","",IF('Paste SD Data'!I535="M","BOY","GIRL"))</f>
        <v>BOY</v>
      </c>
      <c r="I538" s="28">
        <f>IF('Paste SD Data'!J535="","",'Paste SD Data'!J535)</f>
        <v>38751</v>
      </c>
      <c r="J538" s="34">
        <f t="shared" si="8"/>
        <v>964</v>
      </c>
      <c r="K538" s="29" t="str">
        <f>IF('Paste SD Data'!O535="","",'Paste SD Data'!O535)</f>
        <v>OBC</v>
      </c>
    </row>
    <row r="539" spans="1:11" ht="30" customHeight="1" x14ac:dyDescent="0.25">
      <c r="A539" s="25">
        <f>IF(Table1[[#This Row],[Name of Student]]="","",ROWS($A$1:A535))</f>
        <v>535</v>
      </c>
      <c r="B539" s="26">
        <f>IF('Paste SD Data'!A536="","",'Paste SD Data'!A536)</f>
        <v>11</v>
      </c>
      <c r="C539" s="26" t="str">
        <f>IF('Paste SD Data'!B536="","",'Paste SD Data'!B536)</f>
        <v>C</v>
      </c>
      <c r="D539" s="26">
        <f>IF('Paste SD Data'!C536="","",'Paste SD Data'!C536)</f>
        <v>13557</v>
      </c>
      <c r="E539" s="27" t="str">
        <f>IF('Paste SD Data'!E536="","",UPPER('Paste SD Data'!E536))</f>
        <v>NIKHIL SALVI</v>
      </c>
      <c r="F539" s="27" t="str">
        <f>IF('Paste SD Data'!G536="","",UPPER('Paste SD Data'!G536))</f>
        <v>KAILASH CHANDRA</v>
      </c>
      <c r="G539" s="27" t="str">
        <f>IF('Paste SD Data'!H536="","",UPPER('Paste SD Data'!H536))</f>
        <v>LAXMIBEN</v>
      </c>
      <c r="H539" s="26" t="str">
        <f>IF('Paste SD Data'!I536="","",IF('Paste SD Data'!I536="M","BOY","GIRL"))</f>
        <v>BOY</v>
      </c>
      <c r="I539" s="28">
        <f>IF('Paste SD Data'!J536="","",'Paste SD Data'!J536)</f>
        <v>38529</v>
      </c>
      <c r="J539" s="34">
        <f t="shared" si="8"/>
        <v>965</v>
      </c>
      <c r="K539" s="29" t="str">
        <f>IF('Paste SD Data'!O536="","",'Paste SD Data'!O536)</f>
        <v>SC</v>
      </c>
    </row>
    <row r="540" spans="1:11" ht="30" customHeight="1" x14ac:dyDescent="0.25">
      <c r="A540" s="25">
        <f>IF(Table1[[#This Row],[Name of Student]]="","",ROWS($A$1:A536))</f>
        <v>536</v>
      </c>
      <c r="B540" s="26">
        <f>IF('Paste SD Data'!A537="","",'Paste SD Data'!A537)</f>
        <v>11</v>
      </c>
      <c r="C540" s="26" t="str">
        <f>IF('Paste SD Data'!B537="","",'Paste SD Data'!B537)</f>
        <v>C</v>
      </c>
      <c r="D540" s="26">
        <f>IF('Paste SD Data'!C537="","",'Paste SD Data'!C537)</f>
        <v>13256</v>
      </c>
      <c r="E540" s="27" t="str">
        <f>IF('Paste SD Data'!E537="","",UPPER('Paste SD Data'!E537))</f>
        <v>PRAKASH CHANDRA BHIL</v>
      </c>
      <c r="F540" s="27" t="str">
        <f>IF('Paste SD Data'!G537="","",UPPER('Paste SD Data'!G537))</f>
        <v>PANNA LAL BHIL</v>
      </c>
      <c r="G540" s="27" t="str">
        <f>IF('Paste SD Data'!H537="","",UPPER('Paste SD Data'!H537))</f>
        <v>KAMLA DEVI</v>
      </c>
      <c r="H540" s="26" t="str">
        <f>IF('Paste SD Data'!I537="","",IF('Paste SD Data'!I537="M","BOY","GIRL"))</f>
        <v>BOY</v>
      </c>
      <c r="I540" s="28">
        <f>IF('Paste SD Data'!J537="","",'Paste SD Data'!J537)</f>
        <v>38518</v>
      </c>
      <c r="J540" s="34">
        <f t="shared" si="8"/>
        <v>966</v>
      </c>
      <c r="K540" s="29" t="str">
        <f>IF('Paste SD Data'!O537="","",'Paste SD Data'!O537)</f>
        <v>ST</v>
      </c>
    </row>
    <row r="541" spans="1:11" ht="30" customHeight="1" x14ac:dyDescent="0.25">
      <c r="A541" s="25">
        <f>IF(Table1[[#This Row],[Name of Student]]="","",ROWS($A$1:A537))</f>
        <v>537</v>
      </c>
      <c r="B541" s="26">
        <f>IF('Paste SD Data'!A538="","",'Paste SD Data'!A538)</f>
        <v>11</v>
      </c>
      <c r="C541" s="26" t="str">
        <f>IF('Paste SD Data'!B538="","",'Paste SD Data'!B538)</f>
        <v>C</v>
      </c>
      <c r="D541" s="26">
        <f>IF('Paste SD Data'!C538="","",'Paste SD Data'!C538)</f>
        <v>13647</v>
      </c>
      <c r="E541" s="27" t="str">
        <f>IF('Paste SD Data'!E538="","",UPPER('Paste SD Data'!E538))</f>
        <v>PRAKASH GURJAR</v>
      </c>
      <c r="F541" s="27" t="str">
        <f>IF('Paste SD Data'!G538="","",UPPER('Paste SD Data'!G538))</f>
        <v>MOOL CHAND GURJAR</v>
      </c>
      <c r="G541" s="27" t="str">
        <f>IF('Paste SD Data'!H538="","",UPPER('Paste SD Data'!H538))</f>
        <v>LAXMI DEVI</v>
      </c>
      <c r="H541" s="26" t="str">
        <f>IF('Paste SD Data'!I538="","",IF('Paste SD Data'!I538="M","BOY","GIRL"))</f>
        <v>BOY</v>
      </c>
      <c r="I541" s="28">
        <f>IF('Paste SD Data'!J538="","",'Paste SD Data'!J538)</f>
        <v>38139</v>
      </c>
      <c r="J541" s="34">
        <f t="shared" si="8"/>
        <v>967</v>
      </c>
      <c r="K541" s="29" t="str">
        <f>IF('Paste SD Data'!O538="","",'Paste SD Data'!O538)</f>
        <v>SBC</v>
      </c>
    </row>
    <row r="542" spans="1:11" ht="30" customHeight="1" x14ac:dyDescent="0.25">
      <c r="A542" s="25">
        <f>IF(Table1[[#This Row],[Name of Student]]="","",ROWS($A$1:A538))</f>
        <v>538</v>
      </c>
      <c r="B542" s="26">
        <f>IF('Paste SD Data'!A539="","",'Paste SD Data'!A539)</f>
        <v>11</v>
      </c>
      <c r="C542" s="26" t="str">
        <f>IF('Paste SD Data'!B539="","",'Paste SD Data'!B539)</f>
        <v>C</v>
      </c>
      <c r="D542" s="26">
        <f>IF('Paste SD Data'!C539="","",'Paste SD Data'!C539)</f>
        <v>12546</v>
      </c>
      <c r="E542" s="27" t="str">
        <f>IF('Paste SD Data'!E539="","",UPPER('Paste SD Data'!E539))</f>
        <v>PRAMOD VED</v>
      </c>
      <c r="F542" s="27" t="str">
        <f>IF('Paste SD Data'!G539="","",UPPER('Paste SD Data'!G539))</f>
        <v>MURLIDHAR VED</v>
      </c>
      <c r="G542" s="27" t="str">
        <f>IF('Paste SD Data'!H539="","",UPPER('Paste SD Data'!H539))</f>
        <v>PREM DEVI</v>
      </c>
      <c r="H542" s="26" t="str">
        <f>IF('Paste SD Data'!I539="","",IF('Paste SD Data'!I539="M","BOY","GIRL"))</f>
        <v>BOY</v>
      </c>
      <c r="I542" s="28">
        <f>IF('Paste SD Data'!J539="","",'Paste SD Data'!J539)</f>
        <v>38633</v>
      </c>
      <c r="J542" s="34">
        <f t="shared" si="8"/>
        <v>968</v>
      </c>
      <c r="K542" s="29" t="str">
        <f>IF('Paste SD Data'!O539="","",'Paste SD Data'!O539)</f>
        <v>OBC</v>
      </c>
    </row>
    <row r="543" spans="1:11" ht="30" customHeight="1" x14ac:dyDescent="0.25">
      <c r="A543" s="25">
        <f>IF(Table1[[#This Row],[Name of Student]]="","",ROWS($A$1:A539))</f>
        <v>539</v>
      </c>
      <c r="B543" s="26">
        <f>IF('Paste SD Data'!A540="","",'Paste SD Data'!A540)</f>
        <v>11</v>
      </c>
      <c r="C543" s="26" t="str">
        <f>IF('Paste SD Data'!B540="","",'Paste SD Data'!B540)</f>
        <v>C</v>
      </c>
      <c r="D543" s="26">
        <f>IF('Paste SD Data'!C540="","",'Paste SD Data'!C540)</f>
        <v>13314</v>
      </c>
      <c r="E543" s="27" t="str">
        <f>IF('Paste SD Data'!E540="","",UPPER('Paste SD Data'!E540))</f>
        <v>PRAVEEN BADARIYA</v>
      </c>
      <c r="F543" s="27" t="str">
        <f>IF('Paste SD Data'!G540="","",UPPER('Paste SD Data'!G540))</f>
        <v>SURESH BADARIYA</v>
      </c>
      <c r="G543" s="27" t="str">
        <f>IF('Paste SD Data'!H540="","",UPPER('Paste SD Data'!H540))</f>
        <v>DEU DEVI</v>
      </c>
      <c r="H543" s="26" t="str">
        <f>IF('Paste SD Data'!I540="","",IF('Paste SD Data'!I540="M","BOY","GIRL"))</f>
        <v>BOY</v>
      </c>
      <c r="I543" s="28">
        <f>IF('Paste SD Data'!J540="","",'Paste SD Data'!J540)</f>
        <v>37835</v>
      </c>
      <c r="J543" s="34">
        <f t="shared" si="8"/>
        <v>969</v>
      </c>
      <c r="K543" s="29" t="str">
        <f>IF('Paste SD Data'!O540="","",'Paste SD Data'!O540)</f>
        <v>SC</v>
      </c>
    </row>
    <row r="544" spans="1:11" ht="30" customHeight="1" x14ac:dyDescent="0.25">
      <c r="A544" s="25">
        <f>IF(Table1[[#This Row],[Name of Student]]="","",ROWS($A$1:A540))</f>
        <v>540</v>
      </c>
      <c r="B544" s="26">
        <f>IF('Paste SD Data'!A541="","",'Paste SD Data'!A541)</f>
        <v>11</v>
      </c>
      <c r="C544" s="26" t="str">
        <f>IF('Paste SD Data'!B541="","",'Paste SD Data'!B541)</f>
        <v>C</v>
      </c>
      <c r="D544" s="26">
        <f>IF('Paste SD Data'!C541="","",'Paste SD Data'!C541)</f>
        <v>13813</v>
      </c>
      <c r="E544" s="27" t="str">
        <f>IF('Paste SD Data'!E541="","",UPPER('Paste SD Data'!E541))</f>
        <v>PRAVEEN CHOUHAN</v>
      </c>
      <c r="F544" s="27" t="str">
        <f>IF('Paste SD Data'!G541="","",UPPER('Paste SD Data'!G541))</f>
        <v>LAXMAN SINGH</v>
      </c>
      <c r="G544" s="27" t="str">
        <f>IF('Paste SD Data'!H541="","",UPPER('Paste SD Data'!H541))</f>
        <v>NEMA DEVI</v>
      </c>
      <c r="H544" s="26" t="str">
        <f>IF('Paste SD Data'!I541="","",IF('Paste SD Data'!I541="M","BOY","GIRL"))</f>
        <v>BOY</v>
      </c>
      <c r="I544" s="28">
        <f>IF('Paste SD Data'!J541="","",'Paste SD Data'!J541)</f>
        <v>38171</v>
      </c>
      <c r="J544" s="34">
        <f t="shared" si="8"/>
        <v>970</v>
      </c>
      <c r="K544" s="29" t="str">
        <f>IF('Paste SD Data'!O541="","",'Paste SD Data'!O541)</f>
        <v>OBC</v>
      </c>
    </row>
    <row r="545" spans="1:11" ht="30" customHeight="1" x14ac:dyDescent="0.25">
      <c r="A545" s="25">
        <f>IF(Table1[[#This Row],[Name of Student]]="","",ROWS($A$1:A541))</f>
        <v>541</v>
      </c>
      <c r="B545" s="26">
        <f>IF('Paste SD Data'!A542="","",'Paste SD Data'!A542)</f>
        <v>11</v>
      </c>
      <c r="C545" s="26" t="str">
        <f>IF('Paste SD Data'!B542="","",'Paste SD Data'!B542)</f>
        <v>C</v>
      </c>
      <c r="D545" s="26">
        <f>IF('Paste SD Data'!C542="","",'Paste SD Data'!C542)</f>
        <v>13320</v>
      </c>
      <c r="E545" s="27" t="str">
        <f>IF('Paste SD Data'!E542="","",UPPER('Paste SD Data'!E542))</f>
        <v>PRAVEEN SINGH</v>
      </c>
      <c r="F545" s="27" t="str">
        <f>IF('Paste SD Data'!G542="","",UPPER('Paste SD Data'!G542))</f>
        <v>TARU SINGH</v>
      </c>
      <c r="G545" s="27" t="str">
        <f>IF('Paste SD Data'!H542="","",UPPER('Paste SD Data'!H542))</f>
        <v>JASHODA DEVI</v>
      </c>
      <c r="H545" s="26" t="str">
        <f>IF('Paste SD Data'!I542="","",IF('Paste SD Data'!I542="M","BOY","GIRL"))</f>
        <v>BOY</v>
      </c>
      <c r="I545" s="28">
        <f>IF('Paste SD Data'!J542="","",'Paste SD Data'!J542)</f>
        <v>38543</v>
      </c>
      <c r="J545" s="34">
        <f t="shared" si="8"/>
        <v>971</v>
      </c>
      <c r="K545" s="29" t="str">
        <f>IF('Paste SD Data'!O542="","",'Paste SD Data'!O542)</f>
        <v>OBC</v>
      </c>
    </row>
    <row r="546" spans="1:11" ht="30" customHeight="1" x14ac:dyDescent="0.25">
      <c r="A546" s="25">
        <f>IF(Table1[[#This Row],[Name of Student]]="","",ROWS($A$1:A542))</f>
        <v>542</v>
      </c>
      <c r="B546" s="26">
        <f>IF('Paste SD Data'!A543="","",'Paste SD Data'!A543)</f>
        <v>11</v>
      </c>
      <c r="C546" s="26" t="str">
        <f>IF('Paste SD Data'!B543="","",'Paste SD Data'!B543)</f>
        <v>C</v>
      </c>
      <c r="D546" s="26">
        <f>IF('Paste SD Data'!C543="","",'Paste SD Data'!C543)</f>
        <v>13757</v>
      </c>
      <c r="E546" s="27" t="str">
        <f>IF('Paste SD Data'!E543="","",UPPER('Paste SD Data'!E543))</f>
        <v>PUSHPENDRA SINGH</v>
      </c>
      <c r="F546" s="27" t="str">
        <f>IF('Paste SD Data'!G543="","",UPPER('Paste SD Data'!G543))</f>
        <v>NARPAT SINGH</v>
      </c>
      <c r="G546" s="27" t="str">
        <f>IF('Paste SD Data'!H543="","",UPPER('Paste SD Data'!H543))</f>
        <v>SHRAVAN KANWAR</v>
      </c>
      <c r="H546" s="26" t="str">
        <f>IF('Paste SD Data'!I543="","",IF('Paste SD Data'!I543="M","BOY","GIRL"))</f>
        <v>BOY</v>
      </c>
      <c r="I546" s="28">
        <f>IF('Paste SD Data'!J543="","",'Paste SD Data'!J543)</f>
        <v>38830</v>
      </c>
      <c r="J546" s="34">
        <f t="shared" si="8"/>
        <v>972</v>
      </c>
      <c r="K546" s="29" t="str">
        <f>IF('Paste SD Data'!O543="","",'Paste SD Data'!O543)</f>
        <v>GEN</v>
      </c>
    </row>
    <row r="547" spans="1:11" ht="30" customHeight="1" x14ac:dyDescent="0.25">
      <c r="A547" s="25">
        <f>IF(Table1[[#This Row],[Name of Student]]="","",ROWS($A$1:A543))</f>
        <v>543</v>
      </c>
      <c r="B547" s="26">
        <f>IF('Paste SD Data'!A544="","",'Paste SD Data'!A544)</f>
        <v>11</v>
      </c>
      <c r="C547" s="26" t="str">
        <f>IF('Paste SD Data'!B544="","",'Paste SD Data'!B544)</f>
        <v>C</v>
      </c>
      <c r="D547" s="26">
        <f>IF('Paste SD Data'!C544="","",'Paste SD Data'!C544)</f>
        <v>13950</v>
      </c>
      <c r="E547" s="27" t="str">
        <f>IF('Paste SD Data'!E544="","",UPPER('Paste SD Data'!E544))</f>
        <v>RADHEY VAISHNAV</v>
      </c>
      <c r="F547" s="27" t="str">
        <f>IF('Paste SD Data'!G544="","",UPPER('Paste SD Data'!G544))</f>
        <v>RATNESH VAISHNAV</v>
      </c>
      <c r="G547" s="27" t="str">
        <f>IF('Paste SD Data'!H544="","",UPPER('Paste SD Data'!H544))</f>
        <v>PINKI VAISHNAV</v>
      </c>
      <c r="H547" s="26" t="str">
        <f>IF('Paste SD Data'!I544="","",IF('Paste SD Data'!I544="M","BOY","GIRL"))</f>
        <v>BOY</v>
      </c>
      <c r="I547" s="28">
        <f>IF('Paste SD Data'!J544="","",'Paste SD Data'!J544)</f>
        <v>38471</v>
      </c>
      <c r="J547" s="34">
        <f t="shared" si="8"/>
        <v>973</v>
      </c>
      <c r="K547" s="29" t="str">
        <f>IF('Paste SD Data'!O544="","",'Paste SD Data'!O544)</f>
        <v>OBC</v>
      </c>
    </row>
    <row r="548" spans="1:11" ht="30" customHeight="1" x14ac:dyDescent="0.25">
      <c r="A548" s="25">
        <f>IF(Table1[[#This Row],[Name of Student]]="","",ROWS($A$1:A544))</f>
        <v>544</v>
      </c>
      <c r="B548" s="26">
        <f>IF('Paste SD Data'!A545="","",'Paste SD Data'!A545)</f>
        <v>11</v>
      </c>
      <c r="C548" s="26" t="str">
        <f>IF('Paste SD Data'!B545="","",'Paste SD Data'!B545)</f>
        <v>C</v>
      </c>
      <c r="D548" s="26">
        <f>IF('Paste SD Data'!C545="","",'Paste SD Data'!C545)</f>
        <v>13200</v>
      </c>
      <c r="E548" s="27" t="str">
        <f>IF('Paste SD Data'!E545="","",UPPER('Paste SD Data'!E545))</f>
        <v>RAHUL MALI</v>
      </c>
      <c r="F548" s="27" t="str">
        <f>IF('Paste SD Data'!G545="","",UPPER('Paste SD Data'!G545))</f>
        <v>UMMED LAL MALI</v>
      </c>
      <c r="G548" s="27" t="str">
        <f>IF('Paste SD Data'!H545="","",UPPER('Paste SD Data'!H545))</f>
        <v>PUSHPA DEVI</v>
      </c>
      <c r="H548" s="26" t="str">
        <f>IF('Paste SD Data'!I545="","",IF('Paste SD Data'!I545="M","BOY","GIRL"))</f>
        <v>BOY</v>
      </c>
      <c r="I548" s="28">
        <f>IF('Paste SD Data'!J545="","",'Paste SD Data'!J545)</f>
        <v>38475</v>
      </c>
      <c r="J548" s="34">
        <f t="shared" si="8"/>
        <v>974</v>
      </c>
      <c r="K548" s="29" t="str">
        <f>IF('Paste SD Data'!O545="","",'Paste SD Data'!O545)</f>
        <v>OBC</v>
      </c>
    </row>
    <row r="549" spans="1:11" ht="30" customHeight="1" x14ac:dyDescent="0.25">
      <c r="A549" s="25">
        <f>IF(Table1[[#This Row],[Name of Student]]="","",ROWS($A$1:A545))</f>
        <v>545</v>
      </c>
      <c r="B549" s="26">
        <f>IF('Paste SD Data'!A546="","",'Paste SD Data'!A546)</f>
        <v>11</v>
      </c>
      <c r="C549" s="26" t="str">
        <f>IF('Paste SD Data'!B546="","",'Paste SD Data'!B546)</f>
        <v>C</v>
      </c>
      <c r="D549" s="26">
        <f>IF('Paste SD Data'!C546="","",'Paste SD Data'!C546)</f>
        <v>13876</v>
      </c>
      <c r="E549" s="27" t="str">
        <f>IF('Paste SD Data'!E546="","",UPPER('Paste SD Data'!E546))</f>
        <v>RAHUL SINGH CHOUHAN</v>
      </c>
      <c r="F549" s="27" t="str">
        <f>IF('Paste SD Data'!G546="","",UPPER('Paste SD Data'!G546))</f>
        <v>JITENDRA SINGH CHOUHAN</v>
      </c>
      <c r="G549" s="27" t="str">
        <f>IF('Paste SD Data'!H546="","",UPPER('Paste SD Data'!H546))</f>
        <v>SHALU DEVI</v>
      </c>
      <c r="H549" s="26" t="str">
        <f>IF('Paste SD Data'!I546="","",IF('Paste SD Data'!I546="M","BOY","GIRL"))</f>
        <v>BOY</v>
      </c>
      <c r="I549" s="28">
        <f>IF('Paste SD Data'!J546="","",'Paste SD Data'!J546)</f>
        <v>38732</v>
      </c>
      <c r="J549" s="34">
        <f t="shared" si="8"/>
        <v>975</v>
      </c>
      <c r="K549" s="29" t="str">
        <f>IF('Paste SD Data'!O546="","",'Paste SD Data'!O546)</f>
        <v>OBC</v>
      </c>
    </row>
    <row r="550" spans="1:11" ht="30" customHeight="1" x14ac:dyDescent="0.25">
      <c r="A550" s="25">
        <f>IF(Table1[[#This Row],[Name of Student]]="","",ROWS($A$1:A546))</f>
        <v>546</v>
      </c>
      <c r="B550" s="26">
        <f>IF('Paste SD Data'!A547="","",'Paste SD Data'!A547)</f>
        <v>11</v>
      </c>
      <c r="C550" s="26" t="str">
        <f>IF('Paste SD Data'!B547="","",'Paste SD Data'!B547)</f>
        <v>C</v>
      </c>
      <c r="D550" s="26">
        <f>IF('Paste SD Data'!C547="","",'Paste SD Data'!C547)</f>
        <v>13877</v>
      </c>
      <c r="E550" s="27" t="str">
        <f>IF('Paste SD Data'!E547="","",UPPER('Paste SD Data'!E547))</f>
        <v>RAJENDRA KUMAR</v>
      </c>
      <c r="F550" s="27" t="str">
        <f>IF('Paste SD Data'!G547="","",UPPER('Paste SD Data'!G547))</f>
        <v>BHAG CHAND</v>
      </c>
      <c r="G550" s="27" t="str">
        <f>IF('Paste SD Data'!H547="","",UPPER('Paste SD Data'!H547))</f>
        <v>MEERA DEVI</v>
      </c>
      <c r="H550" s="26" t="str">
        <f>IF('Paste SD Data'!I547="","",IF('Paste SD Data'!I547="M","BOY","GIRL"))</f>
        <v>BOY</v>
      </c>
      <c r="I550" s="28">
        <f>IF('Paste SD Data'!J547="","",'Paste SD Data'!J547)</f>
        <v>38895</v>
      </c>
      <c r="J550" s="34">
        <f t="shared" si="8"/>
        <v>976</v>
      </c>
      <c r="K550" s="29" t="str">
        <f>IF('Paste SD Data'!O547="","",'Paste SD Data'!O547)</f>
        <v>OBC</v>
      </c>
    </row>
    <row r="551" spans="1:11" ht="30" customHeight="1" x14ac:dyDescent="0.25">
      <c r="A551" s="25">
        <f>IF(Table1[[#This Row],[Name of Student]]="","",ROWS($A$1:A547))</f>
        <v>547</v>
      </c>
      <c r="B551" s="26">
        <f>IF('Paste SD Data'!A548="","",'Paste SD Data'!A548)</f>
        <v>11</v>
      </c>
      <c r="C551" s="26" t="str">
        <f>IF('Paste SD Data'!B548="","",'Paste SD Data'!B548)</f>
        <v>C</v>
      </c>
      <c r="D551" s="26">
        <f>IF('Paste SD Data'!C548="","",'Paste SD Data'!C548)</f>
        <v>13714</v>
      </c>
      <c r="E551" s="27" t="str">
        <f>IF('Paste SD Data'!E548="","",UPPER('Paste SD Data'!E548))</f>
        <v>RAJENDRA KUMAR REGAR</v>
      </c>
      <c r="F551" s="27" t="str">
        <f>IF('Paste SD Data'!G548="","",UPPER('Paste SD Data'!G548))</f>
        <v>MANGI LAL FREGAR</v>
      </c>
      <c r="G551" s="27" t="str">
        <f>IF('Paste SD Data'!H548="","",UPPER('Paste SD Data'!H548))</f>
        <v>DALI BAI</v>
      </c>
      <c r="H551" s="26" t="str">
        <f>IF('Paste SD Data'!I548="","",IF('Paste SD Data'!I548="M","BOY","GIRL"))</f>
        <v>BOY</v>
      </c>
      <c r="I551" s="28">
        <f>IF('Paste SD Data'!J548="","",'Paste SD Data'!J548)</f>
        <v>37947</v>
      </c>
      <c r="J551" s="34">
        <f t="shared" si="8"/>
        <v>977</v>
      </c>
      <c r="K551" s="29" t="str">
        <f>IF('Paste SD Data'!O548="","",'Paste SD Data'!O548)</f>
        <v>SC</v>
      </c>
    </row>
    <row r="552" spans="1:11" ht="30" customHeight="1" x14ac:dyDescent="0.25">
      <c r="A552" s="25">
        <f>IF(Table1[[#This Row],[Name of Student]]="","",ROWS($A$1:A548))</f>
        <v>548</v>
      </c>
      <c r="B552" s="26">
        <f>IF('Paste SD Data'!A549="","",'Paste SD Data'!A549)</f>
        <v>11</v>
      </c>
      <c r="C552" s="26" t="str">
        <f>IF('Paste SD Data'!B549="","",'Paste SD Data'!B549)</f>
        <v>C</v>
      </c>
      <c r="D552" s="26">
        <f>IF('Paste SD Data'!C549="","",'Paste SD Data'!C549)</f>
        <v>13193</v>
      </c>
      <c r="E552" s="27" t="str">
        <f>IF('Paste SD Data'!E549="","",UPPER('Paste SD Data'!E549))</f>
        <v>RAJENDRA NATH JOGI</v>
      </c>
      <c r="F552" s="27" t="str">
        <f>IF('Paste SD Data'!G549="","",UPPER('Paste SD Data'!G549))</f>
        <v>NARAYAN NATH JOGI</v>
      </c>
      <c r="G552" s="27" t="str">
        <f>IF('Paste SD Data'!H549="","",UPPER('Paste SD Data'!H549))</f>
        <v>SHANTI DEVI</v>
      </c>
      <c r="H552" s="26" t="str">
        <f>IF('Paste SD Data'!I549="","",IF('Paste SD Data'!I549="M","BOY","GIRL"))</f>
        <v>BOY</v>
      </c>
      <c r="I552" s="28">
        <f>IF('Paste SD Data'!J549="","",'Paste SD Data'!J549)</f>
        <v>38793</v>
      </c>
      <c r="J552" s="34">
        <f t="shared" si="8"/>
        <v>978</v>
      </c>
      <c r="K552" s="29" t="str">
        <f>IF('Paste SD Data'!O549="","",'Paste SD Data'!O549)</f>
        <v>OBC</v>
      </c>
    </row>
    <row r="553" spans="1:11" ht="30" customHeight="1" x14ac:dyDescent="0.25">
      <c r="A553" s="25">
        <f>IF(Table1[[#This Row],[Name of Student]]="","",ROWS($A$1:A549))</f>
        <v>549</v>
      </c>
      <c r="B553" s="26">
        <f>IF('Paste SD Data'!A550="","",'Paste SD Data'!A550)</f>
        <v>11</v>
      </c>
      <c r="C553" s="26" t="str">
        <f>IF('Paste SD Data'!B550="","",'Paste SD Data'!B550)</f>
        <v>C</v>
      </c>
      <c r="D553" s="26">
        <f>IF('Paste SD Data'!C550="","",'Paste SD Data'!C550)</f>
        <v>13814</v>
      </c>
      <c r="E553" s="27" t="str">
        <f>IF('Paste SD Data'!E550="","",UPPER('Paste SD Data'!E550))</f>
        <v>RAJU SARGARA</v>
      </c>
      <c r="F553" s="27" t="str">
        <f>IF('Paste SD Data'!G550="","",UPPER('Paste SD Data'!G550))</f>
        <v>DHANNA LAL SARGARA</v>
      </c>
      <c r="G553" s="27" t="str">
        <f>IF('Paste SD Data'!H550="","",UPPER('Paste SD Data'!H550))</f>
        <v>SUNDAR BAI</v>
      </c>
      <c r="H553" s="26" t="str">
        <f>IF('Paste SD Data'!I550="","",IF('Paste SD Data'!I550="M","BOY","GIRL"))</f>
        <v>BOY</v>
      </c>
      <c r="I553" s="28">
        <f>IF('Paste SD Data'!J550="","",'Paste SD Data'!J550)</f>
        <v>38474</v>
      </c>
      <c r="J553" s="34">
        <f t="shared" si="8"/>
        <v>979</v>
      </c>
      <c r="K553" s="29" t="str">
        <f>IF('Paste SD Data'!O550="","",'Paste SD Data'!O550)</f>
        <v>SC</v>
      </c>
    </row>
    <row r="554" spans="1:11" ht="30" customHeight="1" x14ac:dyDescent="0.25">
      <c r="A554" s="25">
        <f>IF(Table1[[#This Row],[Name of Student]]="","",ROWS($A$1:A550))</f>
        <v>550</v>
      </c>
      <c r="B554" s="26">
        <f>IF('Paste SD Data'!A551="","",'Paste SD Data'!A551)</f>
        <v>11</v>
      </c>
      <c r="C554" s="26" t="str">
        <f>IF('Paste SD Data'!B551="","",'Paste SD Data'!B551)</f>
        <v>C</v>
      </c>
      <c r="D554" s="26">
        <f>IF('Paste SD Data'!C551="","",'Paste SD Data'!C551)</f>
        <v>12928</v>
      </c>
      <c r="E554" s="27" t="str">
        <f>IF('Paste SD Data'!E551="","",UPPER('Paste SD Data'!E551))</f>
        <v>RAMESHWAR LAL</v>
      </c>
      <c r="F554" s="27" t="str">
        <f>IF('Paste SD Data'!G551="","",UPPER('Paste SD Data'!G551))</f>
        <v>RATAN LAL</v>
      </c>
      <c r="G554" s="27" t="str">
        <f>IF('Paste SD Data'!H551="","",UPPER('Paste SD Data'!H551))</f>
        <v>INDRA DEVI</v>
      </c>
      <c r="H554" s="26" t="str">
        <f>IF('Paste SD Data'!I551="","",IF('Paste SD Data'!I551="M","BOY","GIRL"))</f>
        <v>BOY</v>
      </c>
      <c r="I554" s="28">
        <f>IF('Paste SD Data'!J551="","",'Paste SD Data'!J551)</f>
        <v>38495</v>
      </c>
      <c r="J554" s="34">
        <f t="shared" si="8"/>
        <v>980</v>
      </c>
      <c r="K554" s="29" t="str">
        <f>IF('Paste SD Data'!O551="","",'Paste SD Data'!O551)</f>
        <v>SC</v>
      </c>
    </row>
    <row r="555" spans="1:11" ht="30" customHeight="1" x14ac:dyDescent="0.25">
      <c r="A555" s="25">
        <f>IF(Table1[[#This Row],[Name of Student]]="","",ROWS($A$1:A551))</f>
        <v>551</v>
      </c>
      <c r="B555" s="26">
        <f>IF('Paste SD Data'!A552="","",'Paste SD Data'!A552)</f>
        <v>11</v>
      </c>
      <c r="C555" s="26" t="str">
        <f>IF('Paste SD Data'!B552="","",'Paste SD Data'!B552)</f>
        <v>C</v>
      </c>
      <c r="D555" s="26">
        <f>IF('Paste SD Data'!C552="","",'Paste SD Data'!C552)</f>
        <v>13192</v>
      </c>
      <c r="E555" s="27" t="str">
        <f>IF('Paste SD Data'!E552="","",UPPER('Paste SD Data'!E552))</f>
        <v>RAVI KUMAR YATI</v>
      </c>
      <c r="F555" s="27" t="str">
        <f>IF('Paste SD Data'!G552="","",UPPER('Paste SD Data'!G552))</f>
        <v>CHANDRA PRAKASH YATI</v>
      </c>
      <c r="G555" s="27" t="str">
        <f>IF('Paste SD Data'!H552="","",UPPER('Paste SD Data'!H552))</f>
        <v>SANTOSH DEVI</v>
      </c>
      <c r="H555" s="26" t="str">
        <f>IF('Paste SD Data'!I552="","",IF('Paste SD Data'!I552="M","BOY","GIRL"))</f>
        <v>BOY</v>
      </c>
      <c r="I555" s="28">
        <f>IF('Paste SD Data'!J552="","",'Paste SD Data'!J552)</f>
        <v>38274</v>
      </c>
      <c r="J555" s="34">
        <f t="shared" si="8"/>
        <v>981</v>
      </c>
      <c r="K555" s="29" t="str">
        <f>IF('Paste SD Data'!O552="","",'Paste SD Data'!O552)</f>
        <v>GEN</v>
      </c>
    </row>
    <row r="556" spans="1:11" ht="30" customHeight="1" x14ac:dyDescent="0.25">
      <c r="A556" s="25">
        <f>IF(Table1[[#This Row],[Name of Student]]="","",ROWS($A$1:A552))</f>
        <v>552</v>
      </c>
      <c r="B556" s="26">
        <f>IF('Paste SD Data'!A553="","",'Paste SD Data'!A553)</f>
        <v>11</v>
      </c>
      <c r="C556" s="26" t="str">
        <f>IF('Paste SD Data'!B553="","",'Paste SD Data'!B553)</f>
        <v>C</v>
      </c>
      <c r="D556" s="26">
        <f>IF('Paste SD Data'!C553="","",'Paste SD Data'!C553)</f>
        <v>13949</v>
      </c>
      <c r="E556" s="27" t="str">
        <f>IF('Paste SD Data'!E553="","",UPPER('Paste SD Data'!E553))</f>
        <v>RISHIRAJ SINGH SOLANKI</v>
      </c>
      <c r="F556" s="27" t="str">
        <f>IF('Paste SD Data'!G553="","",UPPER('Paste SD Data'!G553))</f>
        <v>SHAKTI SINGH SOLANKI</v>
      </c>
      <c r="G556" s="27" t="str">
        <f>IF('Paste SD Data'!H553="","",UPPER('Paste SD Data'!H553))</f>
        <v>MEENA KANWAR</v>
      </c>
      <c r="H556" s="26" t="str">
        <f>IF('Paste SD Data'!I553="","",IF('Paste SD Data'!I553="M","BOY","GIRL"))</f>
        <v>BOY</v>
      </c>
      <c r="I556" s="28">
        <f>IF('Paste SD Data'!J553="","",'Paste SD Data'!J553)</f>
        <v>39196</v>
      </c>
      <c r="J556" s="34">
        <f t="shared" si="8"/>
        <v>982</v>
      </c>
      <c r="K556" s="29" t="str">
        <f>IF('Paste SD Data'!O553="","",'Paste SD Data'!O553)</f>
        <v>OBC</v>
      </c>
    </row>
    <row r="557" spans="1:11" ht="30" customHeight="1" x14ac:dyDescent="0.25">
      <c r="A557" s="25">
        <f>IF(Table1[[#This Row],[Name of Student]]="","",ROWS($A$1:A553))</f>
        <v>553</v>
      </c>
      <c r="B557" s="26">
        <f>IF('Paste SD Data'!A554="","",'Paste SD Data'!A554)</f>
        <v>11</v>
      </c>
      <c r="C557" s="26" t="str">
        <f>IF('Paste SD Data'!B554="","",'Paste SD Data'!B554)</f>
        <v>C</v>
      </c>
      <c r="D557" s="26">
        <f>IF('Paste SD Data'!C554="","",'Paste SD Data'!C554)</f>
        <v>13882</v>
      </c>
      <c r="E557" s="27" t="str">
        <f>IF('Paste SD Data'!E554="","",UPPER('Paste SD Data'!E554))</f>
        <v>ROHIT SINGH</v>
      </c>
      <c r="F557" s="27" t="str">
        <f>IF('Paste SD Data'!G554="","",UPPER('Paste SD Data'!G554))</f>
        <v>RAJENDRA SINGH</v>
      </c>
      <c r="G557" s="27" t="str">
        <f>IF('Paste SD Data'!H554="","",UPPER('Paste SD Data'!H554))</f>
        <v>KANCHAN DEVI</v>
      </c>
      <c r="H557" s="26" t="str">
        <f>IF('Paste SD Data'!I554="","",IF('Paste SD Data'!I554="M","BOY","GIRL"))</f>
        <v>BOY</v>
      </c>
      <c r="I557" s="28">
        <f>IF('Paste SD Data'!J554="","",'Paste SD Data'!J554)</f>
        <v>38520</v>
      </c>
      <c r="J557" s="34">
        <f t="shared" si="8"/>
        <v>983</v>
      </c>
      <c r="K557" s="29" t="str">
        <f>IF('Paste SD Data'!O554="","",'Paste SD Data'!O554)</f>
        <v>OBC</v>
      </c>
    </row>
    <row r="558" spans="1:11" ht="30" customHeight="1" x14ac:dyDescent="0.25">
      <c r="A558" s="25">
        <f>IF(Table1[[#This Row],[Name of Student]]="","",ROWS($A$1:A554))</f>
        <v>554</v>
      </c>
      <c r="B558" s="26">
        <f>IF('Paste SD Data'!A555="","",'Paste SD Data'!A555)</f>
        <v>11</v>
      </c>
      <c r="C558" s="26" t="str">
        <f>IF('Paste SD Data'!B555="","",'Paste SD Data'!B555)</f>
        <v>C</v>
      </c>
      <c r="D558" s="26">
        <f>IF('Paste SD Data'!C555="","",'Paste SD Data'!C555)</f>
        <v>13199</v>
      </c>
      <c r="E558" s="27" t="str">
        <f>IF('Paste SD Data'!E555="","",UPPER('Paste SD Data'!E555))</f>
        <v>ROHIT PRAJAPAT</v>
      </c>
      <c r="F558" s="27" t="str">
        <f>IF('Paste SD Data'!G555="","",UPPER('Paste SD Data'!G555))</f>
        <v>OM PRAKASH</v>
      </c>
      <c r="G558" s="27" t="str">
        <f>IF('Paste SD Data'!H555="","",UPPER('Paste SD Data'!H555))</f>
        <v>INDRA DEVI</v>
      </c>
      <c r="H558" s="26" t="str">
        <f>IF('Paste SD Data'!I555="","",IF('Paste SD Data'!I555="M","BOY","GIRL"))</f>
        <v>BOY</v>
      </c>
      <c r="I558" s="28">
        <f>IF('Paste SD Data'!J555="","",'Paste SD Data'!J555)</f>
        <v>38472</v>
      </c>
      <c r="J558" s="34">
        <f t="shared" si="8"/>
        <v>984</v>
      </c>
      <c r="K558" s="29" t="str">
        <f>IF('Paste SD Data'!O555="","",'Paste SD Data'!O555)</f>
        <v>OBC</v>
      </c>
    </row>
    <row r="559" spans="1:11" ht="30" customHeight="1" x14ac:dyDescent="0.25">
      <c r="A559" s="25">
        <f>IF(Table1[[#This Row],[Name of Student]]="","",ROWS($A$1:A555))</f>
        <v>555</v>
      </c>
      <c r="B559" s="26">
        <f>IF('Paste SD Data'!A556="","",'Paste SD Data'!A556)</f>
        <v>11</v>
      </c>
      <c r="C559" s="26" t="str">
        <f>IF('Paste SD Data'!B556="","",'Paste SD Data'!B556)</f>
        <v>C</v>
      </c>
      <c r="D559" s="26">
        <f>IF('Paste SD Data'!C556="","",'Paste SD Data'!C556)</f>
        <v>13361</v>
      </c>
      <c r="E559" s="27" t="str">
        <f>IF('Paste SD Data'!E556="","",UPPER('Paste SD Data'!E556))</f>
        <v>SAJJAN SINGH</v>
      </c>
      <c r="F559" s="27" t="str">
        <f>IF('Paste SD Data'!G556="","",UPPER('Paste SD Data'!G556))</f>
        <v>TILOK SINGH</v>
      </c>
      <c r="G559" s="27" t="str">
        <f>IF('Paste SD Data'!H556="","",UPPER('Paste SD Data'!H556))</f>
        <v>ROSHANI DEVI</v>
      </c>
      <c r="H559" s="26" t="str">
        <f>IF('Paste SD Data'!I556="","",IF('Paste SD Data'!I556="M","BOY","GIRL"))</f>
        <v>BOY</v>
      </c>
      <c r="I559" s="28">
        <f>IF('Paste SD Data'!J556="","",'Paste SD Data'!J556)</f>
        <v>38731</v>
      </c>
      <c r="J559" s="34">
        <f t="shared" si="8"/>
        <v>985</v>
      </c>
      <c r="K559" s="29" t="str">
        <f>IF('Paste SD Data'!O556="","",'Paste SD Data'!O556)</f>
        <v>OBC</v>
      </c>
    </row>
    <row r="560" spans="1:11" ht="30" customHeight="1" x14ac:dyDescent="0.25">
      <c r="A560" s="25">
        <f>IF(Table1[[#This Row],[Name of Student]]="","",ROWS($A$1:A556))</f>
        <v>556</v>
      </c>
      <c r="B560" s="26">
        <f>IF('Paste SD Data'!A557="","",'Paste SD Data'!A557)</f>
        <v>11</v>
      </c>
      <c r="C560" s="26" t="str">
        <f>IF('Paste SD Data'!B557="","",'Paste SD Data'!B557)</f>
        <v>C</v>
      </c>
      <c r="D560" s="26">
        <f>IF('Paste SD Data'!C557="","",'Paste SD Data'!C557)</f>
        <v>13728</v>
      </c>
      <c r="E560" s="27" t="str">
        <f>IF('Paste SD Data'!E557="","",UPPER('Paste SD Data'!E557))</f>
        <v>SHARUKH MOHAMMAD DAYER</v>
      </c>
      <c r="F560" s="27" t="str">
        <f>IF('Paste SD Data'!G557="","",UPPER('Paste SD Data'!G557))</f>
        <v>RIYAZ MOHAMMAD DAYER</v>
      </c>
      <c r="G560" s="27" t="str">
        <f>IF('Paste SD Data'!H557="","",UPPER('Paste SD Data'!H557))</f>
        <v>AYASHA BANU</v>
      </c>
      <c r="H560" s="26" t="str">
        <f>IF('Paste SD Data'!I557="","",IF('Paste SD Data'!I557="M","BOY","GIRL"))</f>
        <v>BOY</v>
      </c>
      <c r="I560" s="28">
        <f>IF('Paste SD Data'!J557="","",'Paste SD Data'!J557)</f>
        <v>38472</v>
      </c>
      <c r="J560" s="34">
        <f t="shared" si="8"/>
        <v>986</v>
      </c>
      <c r="K560" s="29" t="str">
        <f>IF('Paste SD Data'!O557="","",'Paste SD Data'!O557)</f>
        <v>OBC</v>
      </c>
    </row>
    <row r="561" spans="1:11" ht="30" customHeight="1" x14ac:dyDescent="0.25">
      <c r="A561" s="25">
        <f>IF(Table1[[#This Row],[Name of Student]]="","",ROWS($A$1:A557))</f>
        <v>557</v>
      </c>
      <c r="B561" s="26">
        <f>IF('Paste SD Data'!A558="","",'Paste SD Data'!A558)</f>
        <v>11</v>
      </c>
      <c r="C561" s="26" t="str">
        <f>IF('Paste SD Data'!B558="","",'Paste SD Data'!B558)</f>
        <v>C</v>
      </c>
      <c r="D561" s="26">
        <f>IF('Paste SD Data'!C558="","",'Paste SD Data'!C558)</f>
        <v>13249</v>
      </c>
      <c r="E561" s="27" t="str">
        <f>IF('Paste SD Data'!E558="","",UPPER('Paste SD Data'!E558))</f>
        <v>SUNIL KAHAR</v>
      </c>
      <c r="F561" s="27" t="str">
        <f>IF('Paste SD Data'!G558="","",UPPER('Paste SD Data'!G558))</f>
        <v>SHANKAR LAL KAHAR</v>
      </c>
      <c r="G561" s="27" t="str">
        <f>IF('Paste SD Data'!H558="","",UPPER('Paste SD Data'!H558))</f>
        <v>KANKU DEVI</v>
      </c>
      <c r="H561" s="26" t="str">
        <f>IF('Paste SD Data'!I558="","",IF('Paste SD Data'!I558="M","BOY","GIRL"))</f>
        <v>BOY</v>
      </c>
      <c r="I561" s="28">
        <f>IF('Paste SD Data'!J558="","",'Paste SD Data'!J558)</f>
        <v>38716</v>
      </c>
      <c r="J561" s="34">
        <f t="shared" si="8"/>
        <v>987</v>
      </c>
      <c r="K561" s="29" t="str">
        <f>IF('Paste SD Data'!O558="","",'Paste SD Data'!O558)</f>
        <v>OBC</v>
      </c>
    </row>
    <row r="562" spans="1:11" ht="30" customHeight="1" x14ac:dyDescent="0.25">
      <c r="A562" s="25">
        <f>IF(Table1[[#This Row],[Name of Student]]="","",ROWS($A$1:A558))</f>
        <v>558</v>
      </c>
      <c r="B562" s="26">
        <f>IF('Paste SD Data'!A559="","",'Paste SD Data'!A559)</f>
        <v>11</v>
      </c>
      <c r="C562" s="26" t="str">
        <f>IF('Paste SD Data'!B559="","",'Paste SD Data'!B559)</f>
        <v>C</v>
      </c>
      <c r="D562" s="26">
        <f>IF('Paste SD Data'!C559="","",'Paste SD Data'!C559)</f>
        <v>13966</v>
      </c>
      <c r="E562" s="27" t="str">
        <f>IF('Paste SD Data'!E559="","",UPPER('Paste SD Data'!E559))</f>
        <v>TANUSH JOSHI</v>
      </c>
      <c r="F562" s="27" t="str">
        <f>IF('Paste SD Data'!G559="","",UPPER('Paste SD Data'!G559))</f>
        <v>LALIT JOSHI</v>
      </c>
      <c r="G562" s="27" t="str">
        <f>IF('Paste SD Data'!H559="","",UPPER('Paste SD Data'!H559))</f>
        <v>SANJU DEVI</v>
      </c>
      <c r="H562" s="26" t="str">
        <f>IF('Paste SD Data'!I559="","",IF('Paste SD Data'!I559="M","BOY","GIRL"))</f>
        <v>BOY</v>
      </c>
      <c r="I562" s="28">
        <f>IF('Paste SD Data'!J559="","",'Paste SD Data'!J559)</f>
        <v>38646</v>
      </c>
      <c r="J562" s="34">
        <f t="shared" si="8"/>
        <v>988</v>
      </c>
      <c r="K562" s="29" t="str">
        <f>IF('Paste SD Data'!O559="","",'Paste SD Data'!O559)</f>
        <v>GEN</v>
      </c>
    </row>
    <row r="563" spans="1:11" ht="30" customHeight="1" x14ac:dyDescent="0.25">
      <c r="A563" s="25">
        <f>IF(Table1[[#This Row],[Name of Student]]="","",ROWS($A$1:A559))</f>
        <v>559</v>
      </c>
      <c r="B563" s="26">
        <f>IF('Paste SD Data'!A560="","",'Paste SD Data'!A560)</f>
        <v>11</v>
      </c>
      <c r="C563" s="26" t="str">
        <f>IF('Paste SD Data'!B560="","",'Paste SD Data'!B560)</f>
        <v>C</v>
      </c>
      <c r="D563" s="26">
        <f>IF('Paste SD Data'!C560="","",'Paste SD Data'!C560)</f>
        <v>13540</v>
      </c>
      <c r="E563" s="27" t="str">
        <f>IF('Paste SD Data'!E560="","",UPPER('Paste SD Data'!E560))</f>
        <v>VAHID MOHAMMAD</v>
      </c>
      <c r="F563" s="27" t="str">
        <f>IF('Paste SD Data'!G560="","",UPPER('Paste SD Data'!G560))</f>
        <v>FAIYAJ MOHAMMAD</v>
      </c>
      <c r="G563" s="27" t="str">
        <f>IF('Paste SD Data'!H560="","",UPPER('Paste SD Data'!H560))</f>
        <v>MADINA BANU</v>
      </c>
      <c r="H563" s="26" t="str">
        <f>IF('Paste SD Data'!I560="","",IF('Paste SD Data'!I560="M","BOY","GIRL"))</f>
        <v>BOY</v>
      </c>
      <c r="I563" s="28">
        <f>IF('Paste SD Data'!J560="","",'Paste SD Data'!J560)</f>
        <v>38654</v>
      </c>
      <c r="J563" s="34">
        <f t="shared" si="8"/>
        <v>989</v>
      </c>
      <c r="K563" s="29" t="str">
        <f>IF('Paste SD Data'!O560="","",'Paste SD Data'!O560)</f>
        <v>OBC</v>
      </c>
    </row>
    <row r="564" spans="1:11" ht="30" customHeight="1" x14ac:dyDescent="0.25">
      <c r="A564" s="25">
        <f>IF(Table1[[#This Row],[Name of Student]]="","",ROWS($A$1:A560))</f>
        <v>560</v>
      </c>
      <c r="B564" s="26">
        <f>IF('Paste SD Data'!A561="","",'Paste SD Data'!A561)</f>
        <v>11</v>
      </c>
      <c r="C564" s="26" t="str">
        <f>IF('Paste SD Data'!B561="","",'Paste SD Data'!B561)</f>
        <v>C</v>
      </c>
      <c r="D564" s="26">
        <f>IF('Paste SD Data'!C561="","",'Paste SD Data'!C561)</f>
        <v>13116</v>
      </c>
      <c r="E564" s="27" t="str">
        <f>IF('Paste SD Data'!E561="","",UPPER('Paste SD Data'!E561))</f>
        <v>VIJAY KUMAR SALVI</v>
      </c>
      <c r="F564" s="27" t="str">
        <f>IF('Paste SD Data'!G561="","",UPPER('Paste SD Data'!G561))</f>
        <v>KISHAN LAL</v>
      </c>
      <c r="G564" s="27" t="str">
        <f>IF('Paste SD Data'!H561="","",UPPER('Paste SD Data'!H561))</f>
        <v>PYARI DEVI</v>
      </c>
      <c r="H564" s="26" t="str">
        <f>IF('Paste SD Data'!I561="","",IF('Paste SD Data'!I561="M","BOY","GIRL"))</f>
        <v>BOY</v>
      </c>
      <c r="I564" s="28">
        <f>IF('Paste SD Data'!J561="","",'Paste SD Data'!J561)</f>
        <v>38426</v>
      </c>
      <c r="J564" s="34">
        <f t="shared" si="8"/>
        <v>990</v>
      </c>
      <c r="K564" s="29" t="str">
        <f>IF('Paste SD Data'!O561="","",'Paste SD Data'!O561)</f>
        <v>SC</v>
      </c>
    </row>
    <row r="565" spans="1:11" ht="30" customHeight="1" x14ac:dyDescent="0.25">
      <c r="A565" s="25">
        <f>IF(Table1[[#This Row],[Name of Student]]="","",ROWS($A$1:A561))</f>
        <v>561</v>
      </c>
      <c r="B565" s="26">
        <f>IF('Paste SD Data'!A562="","",'Paste SD Data'!A562)</f>
        <v>11</v>
      </c>
      <c r="C565" s="26" t="str">
        <f>IF('Paste SD Data'!B562="","",'Paste SD Data'!B562)</f>
        <v>C</v>
      </c>
      <c r="D565" s="26">
        <f>IF('Paste SD Data'!C562="","",'Paste SD Data'!C562)</f>
        <v>13197</v>
      </c>
      <c r="E565" s="27" t="str">
        <f>IF('Paste SD Data'!E562="","",UPPER('Paste SD Data'!E562))</f>
        <v>VIJESH PURI GOSWAMI</v>
      </c>
      <c r="F565" s="27" t="str">
        <f>IF('Paste SD Data'!G562="","",UPPER('Paste SD Data'!G562))</f>
        <v>CHATAR PURI GOSWAMI</v>
      </c>
      <c r="G565" s="27" t="str">
        <f>IF('Paste SD Data'!H562="","",UPPER('Paste SD Data'!H562))</f>
        <v>SITA DEVI</v>
      </c>
      <c r="H565" s="26" t="str">
        <f>IF('Paste SD Data'!I562="","",IF('Paste SD Data'!I562="M","BOY","GIRL"))</f>
        <v>BOY</v>
      </c>
      <c r="I565" s="28">
        <f>IF('Paste SD Data'!J562="","",'Paste SD Data'!J562)</f>
        <v>37862</v>
      </c>
      <c r="J565" s="34">
        <f t="shared" si="8"/>
        <v>991</v>
      </c>
      <c r="K565" s="29" t="str">
        <f>IF('Paste SD Data'!O562="","",'Paste SD Data'!O562)</f>
        <v>OBC</v>
      </c>
    </row>
    <row r="566" spans="1:11" ht="30" customHeight="1" x14ac:dyDescent="0.25">
      <c r="A566" s="25">
        <f>IF(Table1[[#This Row],[Name of Student]]="","",ROWS($A$1:A562))</f>
        <v>562</v>
      </c>
      <c r="B566" s="26">
        <f>IF('Paste SD Data'!A563="","",'Paste SD Data'!A563)</f>
        <v>11</v>
      </c>
      <c r="C566" s="26" t="str">
        <f>IF('Paste SD Data'!B563="","",'Paste SD Data'!B563)</f>
        <v>C</v>
      </c>
      <c r="D566" s="26">
        <f>IF('Paste SD Data'!C563="","",'Paste SD Data'!C563)</f>
        <v>13251</v>
      </c>
      <c r="E566" s="27" t="str">
        <f>IF('Paste SD Data'!E563="","",UPPER('Paste SD Data'!E563))</f>
        <v>VIKAS GURJAR</v>
      </c>
      <c r="F566" s="27" t="str">
        <f>IF('Paste SD Data'!G563="","",UPPER('Paste SD Data'!G563))</f>
        <v>SHANKAR LAL GURJAR</v>
      </c>
      <c r="G566" s="27" t="str">
        <f>IF('Paste SD Data'!H563="","",UPPER('Paste SD Data'!H563))</f>
        <v>GAJARI DEVI</v>
      </c>
      <c r="H566" s="26" t="str">
        <f>IF('Paste SD Data'!I563="","",IF('Paste SD Data'!I563="M","BOY","GIRL"))</f>
        <v>BOY</v>
      </c>
      <c r="I566" s="28">
        <f>IF('Paste SD Data'!J563="","",'Paste SD Data'!J563)</f>
        <v>38917</v>
      </c>
      <c r="J566" s="34">
        <f t="shared" si="8"/>
        <v>992</v>
      </c>
      <c r="K566" s="29" t="str">
        <f>IF('Paste SD Data'!O563="","",'Paste SD Data'!O563)</f>
        <v>SBC</v>
      </c>
    </row>
    <row r="567" spans="1:11" ht="30" customHeight="1" x14ac:dyDescent="0.25">
      <c r="A567" s="25">
        <f>IF(Table1[[#This Row],[Name of Student]]="","",ROWS($A$1:A563))</f>
        <v>563</v>
      </c>
      <c r="B567" s="26">
        <f>IF('Paste SD Data'!A564="","",'Paste SD Data'!A564)</f>
        <v>11</v>
      </c>
      <c r="C567" s="26" t="str">
        <f>IF('Paste SD Data'!B564="","",'Paste SD Data'!B564)</f>
        <v>C</v>
      </c>
      <c r="D567" s="26">
        <f>IF('Paste SD Data'!C564="","",'Paste SD Data'!C564)</f>
        <v>13081</v>
      </c>
      <c r="E567" s="27" t="str">
        <f>IF('Paste SD Data'!E564="","",UPPER('Paste SD Data'!E564))</f>
        <v>VINOD SEN</v>
      </c>
      <c r="F567" s="27" t="str">
        <f>IF('Paste SD Data'!G564="","",UPPER('Paste SD Data'!G564))</f>
        <v>BANSHI LAL SEN</v>
      </c>
      <c r="G567" s="27" t="str">
        <f>IF('Paste SD Data'!H564="","",UPPER('Paste SD Data'!H564))</f>
        <v>BINDU SEN</v>
      </c>
      <c r="H567" s="26" t="str">
        <f>IF('Paste SD Data'!I564="","",IF('Paste SD Data'!I564="M","BOY","GIRL"))</f>
        <v>BOY</v>
      </c>
      <c r="I567" s="28">
        <f>IF('Paste SD Data'!J564="","",'Paste SD Data'!J564)</f>
        <v>38486</v>
      </c>
      <c r="J567" s="34">
        <f t="shared" si="8"/>
        <v>993</v>
      </c>
      <c r="K567" s="29" t="str">
        <f>IF('Paste SD Data'!O564="","",'Paste SD Data'!O564)</f>
        <v>OBC</v>
      </c>
    </row>
    <row r="568" spans="1:11" ht="30" customHeight="1" x14ac:dyDescent="0.25">
      <c r="A568" s="25">
        <f>IF(Table1[[#This Row],[Name of Student]]="","",ROWS($A$1:A564))</f>
        <v>564</v>
      </c>
      <c r="B568" s="26">
        <f>IF('Paste SD Data'!A565="","",'Paste SD Data'!A565)</f>
        <v>11</v>
      </c>
      <c r="C568" s="26" t="str">
        <f>IF('Paste SD Data'!B565="","",'Paste SD Data'!B565)</f>
        <v>C</v>
      </c>
      <c r="D568" s="26">
        <f>IF('Paste SD Data'!C565="","",'Paste SD Data'!C565)</f>
        <v>13539</v>
      </c>
      <c r="E568" s="27" t="str">
        <f>IF('Paste SD Data'!E565="","",UPPER('Paste SD Data'!E565))</f>
        <v>VIPESH KUMAR</v>
      </c>
      <c r="F568" s="27" t="str">
        <f>IF('Paste SD Data'!G565="","",UPPER('Paste SD Data'!G565))</f>
        <v>RODI LAL</v>
      </c>
      <c r="G568" s="27" t="str">
        <f>IF('Paste SD Data'!H565="","",UPPER('Paste SD Data'!H565))</f>
        <v>TULSI DEVI</v>
      </c>
      <c r="H568" s="26" t="str">
        <f>IF('Paste SD Data'!I565="","",IF('Paste SD Data'!I565="M","BOY","GIRL"))</f>
        <v>BOY</v>
      </c>
      <c r="I568" s="28">
        <f>IF('Paste SD Data'!J565="","",'Paste SD Data'!J565)</f>
        <v>38154</v>
      </c>
      <c r="J568" s="34">
        <f t="shared" si="8"/>
        <v>994</v>
      </c>
      <c r="K568" s="29" t="str">
        <f>IF('Paste SD Data'!O565="","",'Paste SD Data'!O565)</f>
        <v>SC</v>
      </c>
    </row>
    <row r="569" spans="1:11" ht="30" customHeight="1" x14ac:dyDescent="0.25">
      <c r="A569" s="25">
        <f>IF(Table1[[#This Row],[Name of Student]]="","",ROWS($A$1:A565))</f>
        <v>565</v>
      </c>
      <c r="B569" s="26">
        <f>IF('Paste SD Data'!A566="","",'Paste SD Data'!A566)</f>
        <v>11</v>
      </c>
      <c r="C569" s="26" t="str">
        <f>IF('Paste SD Data'!B566="","",'Paste SD Data'!B566)</f>
        <v>C</v>
      </c>
      <c r="D569" s="26">
        <f>IF('Paste SD Data'!C566="","",'Paste SD Data'!C566)</f>
        <v>13836</v>
      </c>
      <c r="E569" s="27" t="str">
        <f>IF('Paste SD Data'!E566="","",UPPER('Paste SD Data'!E566))</f>
        <v>VIRENDRA PRATAP REGAR</v>
      </c>
      <c r="F569" s="27" t="str">
        <f>IF('Paste SD Data'!G566="","",UPPER('Paste SD Data'!G566))</f>
        <v>GOPI LAL REGAR</v>
      </c>
      <c r="G569" s="27" t="str">
        <f>IF('Paste SD Data'!H566="","",UPPER('Paste SD Data'!H566))</f>
        <v>VADAMI DEVI</v>
      </c>
      <c r="H569" s="26" t="str">
        <f>IF('Paste SD Data'!I566="","",IF('Paste SD Data'!I566="M","BOY","GIRL"))</f>
        <v>BOY</v>
      </c>
      <c r="I569" s="28">
        <f>IF('Paste SD Data'!J566="","",'Paste SD Data'!J566)</f>
        <v>38045</v>
      </c>
      <c r="J569" s="34">
        <f t="shared" si="8"/>
        <v>995</v>
      </c>
      <c r="K569" s="29" t="str">
        <f>IF('Paste SD Data'!O566="","",'Paste SD Data'!O566)</f>
        <v>SC</v>
      </c>
    </row>
    <row r="570" spans="1:11" ht="30" customHeight="1" x14ac:dyDescent="0.25">
      <c r="A570" s="25">
        <f>IF(Table1[[#This Row],[Name of Student]]="","",ROWS($A$1:A566))</f>
        <v>566</v>
      </c>
      <c r="B570" s="26">
        <f>IF('Paste SD Data'!A567="","",'Paste SD Data'!A567)</f>
        <v>11</v>
      </c>
      <c r="C570" s="26" t="str">
        <f>IF('Paste SD Data'!B567="","",'Paste SD Data'!B567)</f>
        <v>C</v>
      </c>
      <c r="D570" s="26">
        <f>IF('Paste SD Data'!C567="","",'Paste SD Data'!C567)</f>
        <v>13194</v>
      </c>
      <c r="E570" s="27" t="str">
        <f>IF('Paste SD Data'!E567="","",UPPER('Paste SD Data'!E567))</f>
        <v>VIRENDRA SINGH</v>
      </c>
      <c r="F570" s="27" t="str">
        <f>IF('Paste SD Data'!G567="","",UPPER('Paste SD Data'!G567))</f>
        <v>PRATAP SINGH</v>
      </c>
      <c r="G570" s="27" t="str">
        <f>IF('Paste SD Data'!H567="","",UPPER('Paste SD Data'!H567))</f>
        <v>SUSHILA DEVI</v>
      </c>
      <c r="H570" s="26" t="str">
        <f>IF('Paste SD Data'!I567="","",IF('Paste SD Data'!I567="M","BOY","GIRL"))</f>
        <v>BOY</v>
      </c>
      <c r="I570" s="28">
        <f>IF('Paste SD Data'!J567="","",'Paste SD Data'!J567)</f>
        <v>38328</v>
      </c>
      <c r="J570" s="34">
        <f t="shared" si="8"/>
        <v>996</v>
      </c>
      <c r="K570" s="29" t="str">
        <f>IF('Paste SD Data'!O567="","",'Paste SD Data'!O567)</f>
        <v>OBC</v>
      </c>
    </row>
    <row r="571" spans="1:11" ht="30" customHeight="1" x14ac:dyDescent="0.25">
      <c r="A571" s="25">
        <f>IF(Table1[[#This Row],[Name of Student]]="","",ROWS($A$1:A567))</f>
        <v>567</v>
      </c>
      <c r="B571" s="26">
        <f>IF('Paste SD Data'!A568="","",'Paste SD Data'!A568)</f>
        <v>11</v>
      </c>
      <c r="C571" s="26" t="str">
        <f>IF('Paste SD Data'!B568="","",'Paste SD Data'!B568)</f>
        <v>C</v>
      </c>
      <c r="D571" s="26">
        <f>IF('Paste SD Data'!C568="","",'Paste SD Data'!C568)</f>
        <v>13250</v>
      </c>
      <c r="E571" s="27" t="str">
        <f>IF('Paste SD Data'!E568="","",UPPER('Paste SD Data'!E568))</f>
        <v>VISHNU REGAR</v>
      </c>
      <c r="F571" s="27" t="str">
        <f>IF('Paste SD Data'!G568="","",UPPER('Paste SD Data'!G568))</f>
        <v>PYARE LALREGAR</v>
      </c>
      <c r="G571" s="27" t="str">
        <f>IF('Paste SD Data'!H568="","",UPPER('Paste SD Data'!H568))</f>
        <v>BADAMI DEVI</v>
      </c>
      <c r="H571" s="26" t="str">
        <f>IF('Paste SD Data'!I568="","",IF('Paste SD Data'!I568="M","BOY","GIRL"))</f>
        <v>BOY</v>
      </c>
      <c r="I571" s="28">
        <f>IF('Paste SD Data'!J568="","",'Paste SD Data'!J568)</f>
        <v>38576</v>
      </c>
      <c r="J571" s="34">
        <f t="shared" si="8"/>
        <v>997</v>
      </c>
      <c r="K571" s="29" t="str">
        <f>IF('Paste SD Data'!O568="","",'Paste SD Data'!O568)</f>
        <v>SC</v>
      </c>
    </row>
    <row r="572" spans="1:11" ht="30" customHeight="1" x14ac:dyDescent="0.25">
      <c r="A572" s="25">
        <f>IF(Table1[[#This Row],[Name of Student]]="","",ROWS($A$1:A568))</f>
        <v>568</v>
      </c>
      <c r="B572" s="26">
        <f>IF('Paste SD Data'!A569="","",'Paste SD Data'!A569)</f>
        <v>11</v>
      </c>
      <c r="C572" s="26" t="str">
        <f>IF('Paste SD Data'!B569="","",'Paste SD Data'!B569)</f>
        <v>C</v>
      </c>
      <c r="D572" s="26">
        <f>IF('Paste SD Data'!C569="","",'Paste SD Data'!C569)</f>
        <v>13108</v>
      </c>
      <c r="E572" s="27" t="str">
        <f>IF('Paste SD Data'!E569="","",UPPER('Paste SD Data'!E569))</f>
        <v>YOGESH REGAR</v>
      </c>
      <c r="F572" s="27" t="str">
        <f>IF('Paste SD Data'!G569="","",UPPER('Paste SD Data'!G569))</f>
        <v>KALYAN MAL REGAR</v>
      </c>
      <c r="G572" s="27" t="str">
        <f>IF('Paste SD Data'!H569="","",UPPER('Paste SD Data'!H569))</f>
        <v>LAXMI DEVI</v>
      </c>
      <c r="H572" s="26" t="str">
        <f>IF('Paste SD Data'!I569="","",IF('Paste SD Data'!I569="M","BOY","GIRL"))</f>
        <v>BOY</v>
      </c>
      <c r="I572" s="28">
        <f>IF('Paste SD Data'!J569="","",'Paste SD Data'!J569)</f>
        <v>38114</v>
      </c>
      <c r="J572" s="34">
        <f t="shared" si="8"/>
        <v>998</v>
      </c>
      <c r="K572" s="29" t="str">
        <f>IF('Paste SD Data'!O569="","",'Paste SD Data'!O569)</f>
        <v>SC</v>
      </c>
    </row>
    <row r="573" spans="1:11" ht="30" customHeight="1" x14ac:dyDescent="0.25">
      <c r="A573" s="25">
        <f>IF(Table1[[#This Row],[Name of Student]]="","",ROWS($A$1:A569))</f>
        <v>569</v>
      </c>
      <c r="B573" s="26">
        <f>IF('Paste SD Data'!A570="","",'Paste SD Data'!A570)</f>
        <v>11</v>
      </c>
      <c r="C573" s="26" t="str">
        <f>IF('Paste SD Data'!B570="","",'Paste SD Data'!B570)</f>
        <v>D</v>
      </c>
      <c r="D573" s="26">
        <f>IF('Paste SD Data'!C570="","",'Paste SD Data'!C570)</f>
        <v>13279</v>
      </c>
      <c r="E573" s="27" t="str">
        <f>IF('Paste SD Data'!E570="","",UPPER('Paste SD Data'!E570))</f>
        <v>AKASH BHARTI</v>
      </c>
      <c r="F573" s="27" t="str">
        <f>IF('Paste SD Data'!G570="","",UPPER('Paste SD Data'!G570))</f>
        <v>MUKESH BHARTI</v>
      </c>
      <c r="G573" s="27" t="str">
        <f>IF('Paste SD Data'!H570="","",UPPER('Paste SD Data'!H570))</f>
        <v>JANU BHARTI</v>
      </c>
      <c r="H573" s="26" t="str">
        <f>IF('Paste SD Data'!I570="","",IF('Paste SD Data'!I570="M","BOY","GIRL"))</f>
        <v>BOY</v>
      </c>
      <c r="I573" s="28">
        <f>IF('Paste SD Data'!J570="","",'Paste SD Data'!J570)</f>
        <v>38601</v>
      </c>
      <c r="J573" s="34">
        <f t="shared" si="8"/>
        <v>999</v>
      </c>
      <c r="K573" s="29" t="str">
        <f>IF('Paste SD Data'!O570="","",'Paste SD Data'!O570)</f>
        <v>OBC</v>
      </c>
    </row>
    <row r="574" spans="1:11" ht="30" customHeight="1" x14ac:dyDescent="0.25">
      <c r="A574" s="25">
        <f>IF(Table1[[#This Row],[Name of Student]]="","",ROWS($A$1:A570))</f>
        <v>570</v>
      </c>
      <c r="B574" s="26">
        <f>IF('Paste SD Data'!A571="","",'Paste SD Data'!A571)</f>
        <v>11</v>
      </c>
      <c r="C574" s="26" t="str">
        <f>IF('Paste SD Data'!B571="","",'Paste SD Data'!B571)</f>
        <v>D</v>
      </c>
      <c r="D574" s="26">
        <f>IF('Paste SD Data'!C571="","",'Paste SD Data'!C571)</f>
        <v>13994</v>
      </c>
      <c r="E574" s="27" t="str">
        <f>IF('Paste SD Data'!E571="","",UPPER('Paste SD Data'!E571))</f>
        <v>ASHOK DAMAMI</v>
      </c>
      <c r="F574" s="27" t="str">
        <f>IF('Paste SD Data'!G571="","",UPPER('Paste SD Data'!G571))</f>
        <v>JAGDISH DAMAMI</v>
      </c>
      <c r="G574" s="27" t="str">
        <f>IF('Paste SD Data'!H571="","",UPPER('Paste SD Data'!H571))</f>
        <v>GANGA DEVI</v>
      </c>
      <c r="H574" s="26" t="str">
        <f>IF('Paste SD Data'!I571="","",IF('Paste SD Data'!I571="M","BOY","GIRL"))</f>
        <v>BOY</v>
      </c>
      <c r="I574" s="28">
        <f>IF('Paste SD Data'!J571="","",'Paste SD Data'!J571)</f>
        <v>38573</v>
      </c>
      <c r="J574" s="34">
        <f t="shared" si="8"/>
        <v>1000</v>
      </c>
      <c r="K574" s="29" t="str">
        <f>IF('Paste SD Data'!O571="","",'Paste SD Data'!O571)</f>
        <v>SC</v>
      </c>
    </row>
    <row r="575" spans="1:11" ht="30" customHeight="1" x14ac:dyDescent="0.25">
      <c r="A575" s="25">
        <f>IF(Table1[[#This Row],[Name of Student]]="","",ROWS($A$1:A571))</f>
        <v>571</v>
      </c>
      <c r="B575" s="26">
        <f>IF('Paste SD Data'!A572="","",'Paste SD Data'!A572)</f>
        <v>11</v>
      </c>
      <c r="C575" s="26" t="str">
        <f>IF('Paste SD Data'!B572="","",'Paste SD Data'!B572)</f>
        <v>D</v>
      </c>
      <c r="D575" s="26">
        <f>IF('Paste SD Data'!C572="","",'Paste SD Data'!C572)</f>
        <v>13277</v>
      </c>
      <c r="E575" s="27" t="str">
        <f>IF('Paste SD Data'!E572="","",UPPER('Paste SD Data'!E572))</f>
        <v>BHARAT SINGH</v>
      </c>
      <c r="F575" s="27" t="str">
        <f>IF('Paste SD Data'!G572="","",UPPER('Paste SD Data'!G572))</f>
        <v>NARAYAN SINGH</v>
      </c>
      <c r="G575" s="27" t="str">
        <f>IF('Paste SD Data'!H572="","",UPPER('Paste SD Data'!H572))</f>
        <v>PUSHPA DEVI</v>
      </c>
      <c r="H575" s="26" t="str">
        <f>IF('Paste SD Data'!I572="","",IF('Paste SD Data'!I572="M","BOY","GIRL"))</f>
        <v>BOY</v>
      </c>
      <c r="I575" s="28">
        <f>IF('Paste SD Data'!J572="","",'Paste SD Data'!J572)</f>
        <v>38193</v>
      </c>
      <c r="J575" s="34">
        <f t="shared" si="8"/>
        <v>1001</v>
      </c>
      <c r="K575" s="29" t="str">
        <f>IF('Paste SD Data'!O572="","",'Paste SD Data'!O572)</f>
        <v>OBC</v>
      </c>
    </row>
    <row r="576" spans="1:11" ht="30" customHeight="1" x14ac:dyDescent="0.25">
      <c r="A576" s="25">
        <f>IF(Table1[[#This Row],[Name of Student]]="","",ROWS($A$1:A572))</f>
        <v>572</v>
      </c>
      <c r="B576" s="26">
        <f>IF('Paste SD Data'!A573="","",'Paste SD Data'!A573)</f>
        <v>11</v>
      </c>
      <c r="C576" s="26" t="str">
        <f>IF('Paste SD Data'!B573="","",'Paste SD Data'!B573)</f>
        <v>D</v>
      </c>
      <c r="D576" s="26">
        <f>IF('Paste SD Data'!C573="","",'Paste SD Data'!C573)</f>
        <v>13214</v>
      </c>
      <c r="E576" s="27" t="str">
        <f>IF('Paste SD Data'!E573="","",UPPER('Paste SD Data'!E573))</f>
        <v>BHAVESH MALI</v>
      </c>
      <c r="F576" s="27" t="str">
        <f>IF('Paste SD Data'!G573="","",UPPER('Paste SD Data'!G573))</f>
        <v>MITHA LAL</v>
      </c>
      <c r="G576" s="27" t="str">
        <f>IF('Paste SD Data'!H573="","",UPPER('Paste SD Data'!H573))</f>
        <v>KANTA DEVI</v>
      </c>
      <c r="H576" s="26" t="str">
        <f>IF('Paste SD Data'!I573="","",IF('Paste SD Data'!I573="M","BOY","GIRL"))</f>
        <v>BOY</v>
      </c>
      <c r="I576" s="28">
        <f>IF('Paste SD Data'!J573="","",'Paste SD Data'!J573)</f>
        <v>38416</v>
      </c>
      <c r="J576" s="34">
        <f t="shared" si="8"/>
        <v>1002</v>
      </c>
      <c r="K576" s="29" t="str">
        <f>IF('Paste SD Data'!O573="","",'Paste SD Data'!O573)</f>
        <v>OBC</v>
      </c>
    </row>
    <row r="577" spans="1:11" ht="30" customHeight="1" x14ac:dyDescent="0.25">
      <c r="A577" s="25">
        <f>IF(Table1[[#This Row],[Name of Student]]="","",ROWS($A$1:A573))</f>
        <v>573</v>
      </c>
      <c r="B577" s="26">
        <f>IF('Paste SD Data'!A574="","",'Paste SD Data'!A574)</f>
        <v>11</v>
      </c>
      <c r="C577" s="26" t="str">
        <f>IF('Paste SD Data'!B574="","",'Paste SD Data'!B574)</f>
        <v>D</v>
      </c>
      <c r="D577" s="26">
        <f>IF('Paste SD Data'!C574="","",'Paste SD Data'!C574)</f>
        <v>13409</v>
      </c>
      <c r="E577" s="27" t="str">
        <f>IF('Paste SD Data'!E574="","",UPPER('Paste SD Data'!E574))</f>
        <v>BHAWANI SHANKAR VAISHNAV</v>
      </c>
      <c r="F577" s="27" t="str">
        <f>IF('Paste SD Data'!G574="","",UPPER('Paste SD Data'!G574))</f>
        <v>LILADHAR VAISHNAV</v>
      </c>
      <c r="G577" s="27" t="str">
        <f>IF('Paste SD Data'!H574="","",UPPER('Paste SD Data'!H574))</f>
        <v>LEELA DEVI</v>
      </c>
      <c r="H577" s="26" t="str">
        <f>IF('Paste SD Data'!I574="","",IF('Paste SD Data'!I574="M","BOY","GIRL"))</f>
        <v>BOY</v>
      </c>
      <c r="I577" s="28">
        <f>IF('Paste SD Data'!J574="","",'Paste SD Data'!J574)</f>
        <v>38089</v>
      </c>
      <c r="J577" s="34">
        <f t="shared" si="8"/>
        <v>1003</v>
      </c>
      <c r="K577" s="29" t="str">
        <f>IF('Paste SD Data'!O574="","",'Paste SD Data'!O574)</f>
        <v>OBC</v>
      </c>
    </row>
    <row r="578" spans="1:11" ht="30" customHeight="1" x14ac:dyDescent="0.25">
      <c r="A578" s="25">
        <f>IF(Table1[[#This Row],[Name of Student]]="","",ROWS($A$1:A574))</f>
        <v>574</v>
      </c>
      <c r="B578" s="26">
        <f>IF('Paste SD Data'!A575="","",'Paste SD Data'!A575)</f>
        <v>11</v>
      </c>
      <c r="C578" s="26" t="str">
        <f>IF('Paste SD Data'!B575="","",'Paste SD Data'!B575)</f>
        <v>D</v>
      </c>
      <c r="D578" s="26">
        <f>IF('Paste SD Data'!C575="","",'Paste SD Data'!C575)</f>
        <v>13408</v>
      </c>
      <c r="E578" s="27" t="str">
        <f>IF('Paste SD Data'!E575="","",UPPER('Paste SD Data'!E575))</f>
        <v>CHETAN MALI</v>
      </c>
      <c r="F578" s="27" t="str">
        <f>IF('Paste SD Data'!G575="","",UPPER('Paste SD Data'!G575))</f>
        <v>PYARE LAL MALI</v>
      </c>
      <c r="G578" s="27" t="str">
        <f>IF('Paste SD Data'!H575="","",UPPER('Paste SD Data'!H575))</f>
        <v>CHANDI DEVI</v>
      </c>
      <c r="H578" s="26" t="str">
        <f>IF('Paste SD Data'!I575="","",IF('Paste SD Data'!I575="M","BOY","GIRL"))</f>
        <v>BOY</v>
      </c>
      <c r="I578" s="28">
        <f>IF('Paste SD Data'!J575="","",'Paste SD Data'!J575)</f>
        <v>38725</v>
      </c>
      <c r="J578" s="34">
        <f t="shared" si="8"/>
        <v>1004</v>
      </c>
      <c r="K578" s="29" t="str">
        <f>IF('Paste SD Data'!O575="","",'Paste SD Data'!O575)</f>
        <v>OBC</v>
      </c>
    </row>
    <row r="579" spans="1:11" ht="30" customHeight="1" x14ac:dyDescent="0.25">
      <c r="A579" s="25">
        <f>IF(Table1[[#This Row],[Name of Student]]="","",ROWS($A$1:A575))</f>
        <v>575</v>
      </c>
      <c r="B579" s="26">
        <f>IF('Paste SD Data'!A576="","",'Paste SD Data'!A576)</f>
        <v>11</v>
      </c>
      <c r="C579" s="26" t="str">
        <f>IF('Paste SD Data'!B576="","",'Paste SD Data'!B576)</f>
        <v>D</v>
      </c>
      <c r="D579" s="26">
        <f>IF('Paste SD Data'!C576="","",'Paste SD Data'!C576)</f>
        <v>13207</v>
      </c>
      <c r="E579" s="27" t="str">
        <f>IF('Paste SD Data'!E576="","",UPPER('Paste SD Data'!E576))</f>
        <v>CHIRAG KHATIK</v>
      </c>
      <c r="F579" s="27" t="str">
        <f>IF('Paste SD Data'!G576="","",UPPER('Paste SD Data'!G576))</f>
        <v>RAJMAL KHATIK</v>
      </c>
      <c r="G579" s="27" t="str">
        <f>IF('Paste SD Data'!H576="","",UPPER('Paste SD Data'!H576))</f>
        <v>KANCHAN DEVI</v>
      </c>
      <c r="H579" s="26" t="str">
        <f>IF('Paste SD Data'!I576="","",IF('Paste SD Data'!I576="M","BOY","GIRL"))</f>
        <v>BOY</v>
      </c>
      <c r="I579" s="28">
        <f>IF('Paste SD Data'!J576="","",'Paste SD Data'!J576)</f>
        <v>38670</v>
      </c>
      <c r="J579" s="34">
        <f t="shared" si="8"/>
        <v>1005</v>
      </c>
      <c r="K579" s="29" t="str">
        <f>IF('Paste SD Data'!O576="","",'Paste SD Data'!O576)</f>
        <v>SC</v>
      </c>
    </row>
    <row r="580" spans="1:11" ht="30" customHeight="1" x14ac:dyDescent="0.25">
      <c r="A580" s="25">
        <f>IF(Table1[[#This Row],[Name of Student]]="","",ROWS($A$1:A576))</f>
        <v>576</v>
      </c>
      <c r="B580" s="26">
        <f>IF('Paste SD Data'!A577="","",'Paste SD Data'!A577)</f>
        <v>11</v>
      </c>
      <c r="C580" s="26" t="str">
        <f>IF('Paste SD Data'!B577="","",'Paste SD Data'!B577)</f>
        <v>D</v>
      </c>
      <c r="D580" s="26">
        <f>IF('Paste SD Data'!C577="","",'Paste SD Data'!C577)</f>
        <v>13978</v>
      </c>
      <c r="E580" s="27" t="str">
        <f>IF('Paste SD Data'!E577="","",UPPER('Paste SD Data'!E577))</f>
        <v>DANISH MOHAMMAD</v>
      </c>
      <c r="F580" s="27" t="str">
        <f>IF('Paste SD Data'!G577="","",UPPER('Paste SD Data'!G577))</f>
        <v>HIDAYAT HUSSAIN</v>
      </c>
      <c r="G580" s="27" t="str">
        <f>IF('Paste SD Data'!H577="","",UPPER('Paste SD Data'!H577))</f>
        <v>RABIYA BANU</v>
      </c>
      <c r="H580" s="26" t="str">
        <f>IF('Paste SD Data'!I577="","",IF('Paste SD Data'!I577="M","BOY","GIRL"))</f>
        <v>BOY</v>
      </c>
      <c r="I580" s="28">
        <f>IF('Paste SD Data'!J577="","",'Paste SD Data'!J577)</f>
        <v>38206</v>
      </c>
      <c r="J580" s="34">
        <f t="shared" si="8"/>
        <v>1006</v>
      </c>
      <c r="K580" s="29" t="str">
        <f>IF('Paste SD Data'!O577="","",'Paste SD Data'!O577)</f>
        <v>GEN</v>
      </c>
    </row>
    <row r="581" spans="1:11" ht="30" customHeight="1" x14ac:dyDescent="0.25">
      <c r="A581" s="25">
        <f>IF(Table1[[#This Row],[Name of Student]]="","",ROWS($A$1:A577))</f>
        <v>577</v>
      </c>
      <c r="B581" s="26">
        <f>IF('Paste SD Data'!A578="","",'Paste SD Data'!A578)</f>
        <v>11</v>
      </c>
      <c r="C581" s="26" t="str">
        <f>IF('Paste SD Data'!B578="","",'Paste SD Data'!B578)</f>
        <v>D</v>
      </c>
      <c r="D581" s="26">
        <f>IF('Paste SD Data'!C578="","",'Paste SD Data'!C578)</f>
        <v>13920</v>
      </c>
      <c r="E581" s="27" t="str">
        <f>IF('Paste SD Data'!E578="","",UPPER('Paste SD Data'!E578))</f>
        <v>DHARMVEER SINGH</v>
      </c>
      <c r="F581" s="27" t="str">
        <f>IF('Paste SD Data'!G578="","",UPPER('Paste SD Data'!G578))</f>
        <v>ASHOK SINGH</v>
      </c>
      <c r="G581" s="27" t="str">
        <f>IF('Paste SD Data'!H578="","",UPPER('Paste SD Data'!H578))</f>
        <v>MANJU DEVI</v>
      </c>
      <c r="H581" s="26" t="str">
        <f>IF('Paste SD Data'!I578="","",IF('Paste SD Data'!I578="M","BOY","GIRL"))</f>
        <v>BOY</v>
      </c>
      <c r="I581" s="28">
        <f>IF('Paste SD Data'!J578="","",'Paste SD Data'!J578)</f>
        <v>38881</v>
      </c>
      <c r="J581" s="34">
        <f t="shared" si="8"/>
        <v>1007</v>
      </c>
      <c r="K581" s="29" t="str">
        <f>IF('Paste SD Data'!O578="","",'Paste SD Data'!O578)</f>
        <v>OBC</v>
      </c>
    </row>
    <row r="582" spans="1:11" ht="30" customHeight="1" x14ac:dyDescent="0.25">
      <c r="A582" s="25">
        <f>IF(Table1[[#This Row],[Name of Student]]="","",ROWS($A$1:A578))</f>
        <v>578</v>
      </c>
      <c r="B582" s="26">
        <f>IF('Paste SD Data'!A579="","",'Paste SD Data'!A579)</f>
        <v>11</v>
      </c>
      <c r="C582" s="26" t="str">
        <f>IF('Paste SD Data'!B579="","",'Paste SD Data'!B579)</f>
        <v>D</v>
      </c>
      <c r="D582" s="26">
        <f>IF('Paste SD Data'!C579="","",'Paste SD Data'!C579)</f>
        <v>13215</v>
      </c>
      <c r="E582" s="27" t="str">
        <f>IF('Paste SD Data'!E579="","",UPPER('Paste SD Data'!E579))</f>
        <v>DURGESH KUMAR</v>
      </c>
      <c r="F582" s="27" t="str">
        <f>IF('Paste SD Data'!G579="","",UPPER('Paste SD Data'!G579))</f>
        <v>BHANWAR LAL</v>
      </c>
      <c r="G582" s="27" t="str">
        <f>IF('Paste SD Data'!H579="","",UPPER('Paste SD Data'!H579))</f>
        <v>MOWANI DEVI</v>
      </c>
      <c r="H582" s="26" t="str">
        <f>IF('Paste SD Data'!I579="","",IF('Paste SD Data'!I579="M","BOY","GIRL"))</f>
        <v>BOY</v>
      </c>
      <c r="I582" s="28">
        <f>IF('Paste SD Data'!J579="","",'Paste SD Data'!J579)</f>
        <v>38424</v>
      </c>
      <c r="J582" s="34">
        <f t="shared" si="8"/>
        <v>1008</v>
      </c>
      <c r="K582" s="29" t="str">
        <f>IF('Paste SD Data'!O579="","",'Paste SD Data'!O579)</f>
        <v>SC</v>
      </c>
    </row>
    <row r="583" spans="1:11" ht="30" customHeight="1" x14ac:dyDescent="0.25">
      <c r="A583" s="25">
        <f>IF(Table1[[#This Row],[Name of Student]]="","",ROWS($A$1:A579))</f>
        <v>579</v>
      </c>
      <c r="B583" s="26">
        <f>IF('Paste SD Data'!A580="","",'Paste SD Data'!A580)</f>
        <v>11</v>
      </c>
      <c r="C583" s="26" t="str">
        <f>IF('Paste SD Data'!B580="","",'Paste SD Data'!B580)</f>
        <v>D</v>
      </c>
      <c r="D583" s="26">
        <f>IF('Paste SD Data'!C580="","",'Paste SD Data'!C580)</f>
        <v>13206</v>
      </c>
      <c r="E583" s="27" t="str">
        <f>IF('Paste SD Data'!E580="","",UPPER('Paste SD Data'!E580))</f>
        <v>GAJENDRA SINGH</v>
      </c>
      <c r="F583" s="27" t="str">
        <f>IF('Paste SD Data'!G580="","",UPPER('Paste SD Data'!G580))</f>
        <v>POORAN SINGH</v>
      </c>
      <c r="G583" s="27" t="str">
        <f>IF('Paste SD Data'!H580="","",UPPER('Paste SD Data'!H580))</f>
        <v>BEBI KANWAR</v>
      </c>
      <c r="H583" s="26" t="str">
        <f>IF('Paste SD Data'!I580="","",IF('Paste SD Data'!I580="M","BOY","GIRL"))</f>
        <v>BOY</v>
      </c>
      <c r="I583" s="28">
        <f>IF('Paste SD Data'!J580="","",'Paste SD Data'!J580)</f>
        <v>38415</v>
      </c>
      <c r="J583" s="34">
        <f t="shared" ref="J583:J646" si="9">J582+1</f>
        <v>1009</v>
      </c>
      <c r="K583" s="29" t="str">
        <f>IF('Paste SD Data'!O580="","",'Paste SD Data'!O580)</f>
        <v>GEN</v>
      </c>
    </row>
    <row r="584" spans="1:11" ht="30" customHeight="1" x14ac:dyDescent="0.25">
      <c r="A584" s="25">
        <f>IF(Table1[[#This Row],[Name of Student]]="","",ROWS($A$1:A580))</f>
        <v>580</v>
      </c>
      <c r="B584" s="26">
        <f>IF('Paste SD Data'!A581="","",'Paste SD Data'!A581)</f>
        <v>11</v>
      </c>
      <c r="C584" s="26" t="str">
        <f>IF('Paste SD Data'!B581="","",'Paste SD Data'!B581)</f>
        <v>D</v>
      </c>
      <c r="D584" s="26">
        <f>IF('Paste SD Data'!C581="","",'Paste SD Data'!C581)</f>
        <v>13815</v>
      </c>
      <c r="E584" s="27" t="str">
        <f>IF('Paste SD Data'!E581="","",UPPER('Paste SD Data'!E581))</f>
        <v>GANPAT NATH DEVRA</v>
      </c>
      <c r="F584" s="27" t="str">
        <f>IF('Paste SD Data'!G581="","",UPPER('Paste SD Data'!G581))</f>
        <v>BABU NATH</v>
      </c>
      <c r="G584" s="27" t="str">
        <f>IF('Paste SD Data'!H581="","",UPPER('Paste SD Data'!H581))</f>
        <v>TEENA DEVI</v>
      </c>
      <c r="H584" s="26" t="str">
        <f>IF('Paste SD Data'!I581="","",IF('Paste SD Data'!I581="M","BOY","GIRL"))</f>
        <v>BOY</v>
      </c>
      <c r="I584" s="28">
        <f>IF('Paste SD Data'!J581="","",'Paste SD Data'!J581)</f>
        <v>38671</v>
      </c>
      <c r="J584" s="34">
        <f t="shared" si="9"/>
        <v>1010</v>
      </c>
      <c r="K584" s="29" t="str">
        <f>IF('Paste SD Data'!O581="","",'Paste SD Data'!O581)</f>
        <v>OBC</v>
      </c>
    </row>
    <row r="585" spans="1:11" ht="30" customHeight="1" x14ac:dyDescent="0.25">
      <c r="A585" s="25">
        <f>IF(Table1[[#This Row],[Name of Student]]="","",ROWS($A$1:A581))</f>
        <v>581</v>
      </c>
      <c r="B585" s="26">
        <f>IF('Paste SD Data'!A582="","",'Paste SD Data'!A582)</f>
        <v>11</v>
      </c>
      <c r="C585" s="26" t="str">
        <f>IF('Paste SD Data'!B582="","",'Paste SD Data'!B582)</f>
        <v>D</v>
      </c>
      <c r="D585" s="26">
        <f>IF('Paste SD Data'!C582="","",'Paste SD Data'!C582)</f>
        <v>13952</v>
      </c>
      <c r="E585" s="27" t="str">
        <f>IF('Paste SD Data'!E582="","",UPPER('Paste SD Data'!E582))</f>
        <v>GEHNA TANWAR</v>
      </c>
      <c r="F585" s="27" t="str">
        <f>IF('Paste SD Data'!G582="","",UPPER('Paste SD Data'!G582))</f>
        <v>GOPAL SINGH TANWAR</v>
      </c>
      <c r="G585" s="27" t="str">
        <f>IF('Paste SD Data'!H582="","",UPPER('Paste SD Data'!H582))</f>
        <v>REKHA TANWAR</v>
      </c>
      <c r="H585" s="26" t="str">
        <f>IF('Paste SD Data'!I582="","",IF('Paste SD Data'!I582="M","BOY","GIRL"))</f>
        <v>GIRL</v>
      </c>
      <c r="I585" s="28">
        <f>IF('Paste SD Data'!J582="","",'Paste SD Data'!J582)</f>
        <v>38789</v>
      </c>
      <c r="J585" s="34">
        <f t="shared" si="9"/>
        <v>1011</v>
      </c>
      <c r="K585" s="29" t="str">
        <f>IF('Paste SD Data'!O582="","",'Paste SD Data'!O582)</f>
        <v>OBC</v>
      </c>
    </row>
    <row r="586" spans="1:11" ht="30" customHeight="1" x14ac:dyDescent="0.25">
      <c r="A586" s="25">
        <f>IF(Table1[[#This Row],[Name of Student]]="","",ROWS($A$1:A582))</f>
        <v>582</v>
      </c>
      <c r="B586" s="26">
        <f>IF('Paste SD Data'!A583="","",'Paste SD Data'!A583)</f>
        <v>11</v>
      </c>
      <c r="C586" s="26" t="str">
        <f>IF('Paste SD Data'!B583="","",'Paste SD Data'!B583)</f>
        <v>D</v>
      </c>
      <c r="D586" s="26">
        <f>IF('Paste SD Data'!C583="","",'Paste SD Data'!C583)</f>
        <v>13276</v>
      </c>
      <c r="E586" s="27" t="str">
        <f>IF('Paste SD Data'!E583="","",UPPER('Paste SD Data'!E583))</f>
        <v>GHANSHYAM SINGH CHUNDAWAT</v>
      </c>
      <c r="F586" s="27" t="str">
        <f>IF('Paste SD Data'!G583="","",UPPER('Paste SD Data'!G583))</f>
        <v>BHAGWAN SINGH CHUNDAWAT</v>
      </c>
      <c r="G586" s="27" t="str">
        <f>IF('Paste SD Data'!H583="","",UPPER('Paste SD Data'!H583))</f>
        <v>TRILOK KANWAR</v>
      </c>
      <c r="H586" s="26" t="str">
        <f>IF('Paste SD Data'!I583="","",IF('Paste SD Data'!I583="M","BOY","GIRL"))</f>
        <v>BOY</v>
      </c>
      <c r="I586" s="28">
        <f>IF('Paste SD Data'!J583="","",'Paste SD Data'!J583)</f>
        <v>38827</v>
      </c>
      <c r="J586" s="34">
        <f t="shared" si="9"/>
        <v>1012</v>
      </c>
      <c r="K586" s="29" t="str">
        <f>IF('Paste SD Data'!O583="","",'Paste SD Data'!O583)</f>
        <v>GEN</v>
      </c>
    </row>
    <row r="587" spans="1:11" ht="30" customHeight="1" x14ac:dyDescent="0.25">
      <c r="A587" s="25">
        <f>IF(Table1[[#This Row],[Name of Student]]="","",ROWS($A$1:A583))</f>
        <v>583</v>
      </c>
      <c r="B587" s="26">
        <f>IF('Paste SD Data'!A584="","",'Paste SD Data'!A584)</f>
        <v>11</v>
      </c>
      <c r="C587" s="26" t="str">
        <f>IF('Paste SD Data'!B584="","",'Paste SD Data'!B584)</f>
        <v>D</v>
      </c>
      <c r="D587" s="26">
        <f>IF('Paste SD Data'!C584="","",'Paste SD Data'!C584)</f>
        <v>13218</v>
      </c>
      <c r="E587" s="27" t="str">
        <f>IF('Paste SD Data'!E584="","",UPPER('Paste SD Data'!E584))</f>
        <v>GURU RAJVEER SINGH</v>
      </c>
      <c r="F587" s="27" t="str">
        <f>IF('Paste SD Data'!G584="","",UPPER('Paste SD Data'!G584))</f>
        <v>BHAGWAT SINGH PANWAR</v>
      </c>
      <c r="G587" s="27" t="str">
        <f>IF('Paste SD Data'!H584="","",UPPER('Paste SD Data'!H584))</f>
        <v>GULAB KANWAR</v>
      </c>
      <c r="H587" s="26" t="str">
        <f>IF('Paste SD Data'!I584="","",IF('Paste SD Data'!I584="M","BOY","GIRL"))</f>
        <v>BOY</v>
      </c>
      <c r="I587" s="28">
        <f>IF('Paste SD Data'!J584="","",'Paste SD Data'!J584)</f>
        <v>38456</v>
      </c>
      <c r="J587" s="34">
        <f t="shared" si="9"/>
        <v>1013</v>
      </c>
      <c r="K587" s="29" t="str">
        <f>IF('Paste SD Data'!O584="","",'Paste SD Data'!O584)</f>
        <v>OBC</v>
      </c>
    </row>
    <row r="588" spans="1:11" ht="30" customHeight="1" x14ac:dyDescent="0.25">
      <c r="A588" s="25">
        <f>IF(Table1[[#This Row],[Name of Student]]="","",ROWS($A$1:A584))</f>
        <v>584</v>
      </c>
      <c r="B588" s="26">
        <f>IF('Paste SD Data'!A585="","",'Paste SD Data'!A585)</f>
        <v>11</v>
      </c>
      <c r="C588" s="26" t="str">
        <f>IF('Paste SD Data'!B585="","",'Paste SD Data'!B585)</f>
        <v>D</v>
      </c>
      <c r="D588" s="26">
        <f>IF('Paste SD Data'!C585="","",'Paste SD Data'!C585)</f>
        <v>13847</v>
      </c>
      <c r="E588" s="27" t="str">
        <f>IF('Paste SD Data'!E585="","",UPPER('Paste SD Data'!E585))</f>
        <v>HIMANSHU KHOKHAWAT</v>
      </c>
      <c r="F588" s="27" t="str">
        <f>IF('Paste SD Data'!G585="","",UPPER('Paste SD Data'!G585))</f>
        <v>DEVENDRA KUMAR KHOKHAWAT</v>
      </c>
      <c r="G588" s="27" t="str">
        <f>IF('Paste SD Data'!H585="","",UPPER('Paste SD Data'!H585))</f>
        <v>SUMITRA DEVI</v>
      </c>
      <c r="H588" s="26" t="str">
        <f>IF('Paste SD Data'!I585="","",IF('Paste SD Data'!I585="M","BOY","GIRL"))</f>
        <v>BOY</v>
      </c>
      <c r="I588" s="28">
        <f>IF('Paste SD Data'!J585="","",'Paste SD Data'!J585)</f>
        <v>38196</v>
      </c>
      <c r="J588" s="34">
        <f t="shared" si="9"/>
        <v>1014</v>
      </c>
      <c r="K588" s="29" t="str">
        <f>IF('Paste SD Data'!O585="","",'Paste SD Data'!O585)</f>
        <v>SC</v>
      </c>
    </row>
    <row r="589" spans="1:11" ht="30" customHeight="1" x14ac:dyDescent="0.25">
      <c r="A589" s="25">
        <f>IF(Table1[[#This Row],[Name of Student]]="","",ROWS($A$1:A585))</f>
        <v>585</v>
      </c>
      <c r="B589" s="26">
        <f>IF('Paste SD Data'!A586="","",'Paste SD Data'!A586)</f>
        <v>11</v>
      </c>
      <c r="C589" s="26" t="str">
        <f>IF('Paste SD Data'!B586="","",'Paste SD Data'!B586)</f>
        <v>D</v>
      </c>
      <c r="D589" s="26">
        <f>IF('Paste SD Data'!C586="","",'Paste SD Data'!C586)</f>
        <v>12431</v>
      </c>
      <c r="E589" s="27" t="str">
        <f>IF('Paste SD Data'!E586="","",UPPER('Paste SD Data'!E586))</f>
        <v>HIMMAT MALI</v>
      </c>
      <c r="F589" s="27" t="str">
        <f>IF('Paste SD Data'!G586="","",UPPER('Paste SD Data'!G586))</f>
        <v>PRATAP MALI</v>
      </c>
      <c r="G589" s="27" t="str">
        <f>IF('Paste SD Data'!H586="","",UPPER('Paste SD Data'!H586))</f>
        <v>RAJI BAI</v>
      </c>
      <c r="H589" s="26" t="str">
        <f>IF('Paste SD Data'!I586="","",IF('Paste SD Data'!I586="M","BOY","GIRL"))</f>
        <v>BOY</v>
      </c>
      <c r="I589" s="28">
        <f>IF('Paste SD Data'!J586="","",'Paste SD Data'!J586)</f>
        <v>38895</v>
      </c>
      <c r="J589" s="34">
        <f t="shared" si="9"/>
        <v>1015</v>
      </c>
      <c r="K589" s="29" t="str">
        <f>IF('Paste SD Data'!O586="","",'Paste SD Data'!O586)</f>
        <v>OBC</v>
      </c>
    </row>
    <row r="590" spans="1:11" ht="30" customHeight="1" x14ac:dyDescent="0.25">
      <c r="A590" s="25">
        <f>IF(Table1[[#This Row],[Name of Student]]="","",ROWS($A$1:A586))</f>
        <v>586</v>
      </c>
      <c r="B590" s="26">
        <f>IF('Paste SD Data'!A587="","",'Paste SD Data'!A587)</f>
        <v>11</v>
      </c>
      <c r="C590" s="26" t="str">
        <f>IF('Paste SD Data'!B587="","",'Paste SD Data'!B587)</f>
        <v>D</v>
      </c>
      <c r="D590" s="26">
        <f>IF('Paste SD Data'!C587="","",'Paste SD Data'!C587)</f>
        <v>13964</v>
      </c>
      <c r="E590" s="27" t="str">
        <f>IF('Paste SD Data'!E587="","",UPPER('Paste SD Data'!E587))</f>
        <v>JAGDISH SEN</v>
      </c>
      <c r="F590" s="27" t="str">
        <f>IF('Paste SD Data'!G587="","",UPPER('Paste SD Data'!G587))</f>
        <v>RAMESH CHANDRA SEN</v>
      </c>
      <c r="G590" s="27" t="str">
        <f>IF('Paste SD Data'!H587="","",UPPER('Paste SD Data'!H587))</f>
        <v>KANCHAN DEVI</v>
      </c>
      <c r="H590" s="26" t="str">
        <f>IF('Paste SD Data'!I587="","",IF('Paste SD Data'!I587="M","BOY","GIRL"))</f>
        <v>BOY</v>
      </c>
      <c r="I590" s="28">
        <f>IF('Paste SD Data'!J587="","",'Paste SD Data'!J587)</f>
        <v>38880</v>
      </c>
      <c r="J590" s="34">
        <f t="shared" si="9"/>
        <v>1016</v>
      </c>
      <c r="K590" s="29" t="str">
        <f>IF('Paste SD Data'!O587="","",'Paste SD Data'!O587)</f>
        <v>OBC</v>
      </c>
    </row>
    <row r="591" spans="1:11" ht="30" customHeight="1" x14ac:dyDescent="0.25">
      <c r="A591" s="25">
        <f>IF(Table1[[#This Row],[Name of Student]]="","",ROWS($A$1:A587))</f>
        <v>587</v>
      </c>
      <c r="B591" s="26">
        <f>IF('Paste SD Data'!A588="","",'Paste SD Data'!A588)</f>
        <v>11</v>
      </c>
      <c r="C591" s="26" t="str">
        <f>IF('Paste SD Data'!B588="","",'Paste SD Data'!B588)</f>
        <v>D</v>
      </c>
      <c r="D591" s="26">
        <f>IF('Paste SD Data'!C588="","",'Paste SD Data'!C588)</f>
        <v>13205</v>
      </c>
      <c r="E591" s="27" t="str">
        <f>IF('Paste SD Data'!E588="","",UPPER('Paste SD Data'!E588))</f>
        <v>JAVED AKHATAR</v>
      </c>
      <c r="F591" s="27" t="str">
        <f>IF('Paste SD Data'!G588="","",UPPER('Paste SD Data'!G588))</f>
        <v>MUSTAK MOHAMMAD</v>
      </c>
      <c r="G591" s="27" t="str">
        <f>IF('Paste SD Data'!H588="","",UPPER('Paste SD Data'!H588))</f>
        <v>SHABNAM BANU</v>
      </c>
      <c r="H591" s="26" t="str">
        <f>IF('Paste SD Data'!I588="","",IF('Paste SD Data'!I588="M","BOY","GIRL"))</f>
        <v>BOY</v>
      </c>
      <c r="I591" s="28">
        <f>IF('Paste SD Data'!J588="","",'Paste SD Data'!J588)</f>
        <v>38144</v>
      </c>
      <c r="J591" s="34">
        <f t="shared" si="9"/>
        <v>1017</v>
      </c>
      <c r="K591" s="29" t="str">
        <f>IF('Paste SD Data'!O588="","",'Paste SD Data'!O588)</f>
        <v>OBC</v>
      </c>
    </row>
    <row r="592" spans="1:11" ht="30" customHeight="1" x14ac:dyDescent="0.25">
      <c r="A592" s="25">
        <f>IF(Table1[[#This Row],[Name of Student]]="","",ROWS($A$1:A588))</f>
        <v>588</v>
      </c>
      <c r="B592" s="26">
        <f>IF('Paste SD Data'!A589="","",'Paste SD Data'!A589)</f>
        <v>11</v>
      </c>
      <c r="C592" s="26" t="str">
        <f>IF('Paste SD Data'!B589="","",'Paste SD Data'!B589)</f>
        <v>D</v>
      </c>
      <c r="D592" s="26">
        <f>IF('Paste SD Data'!C589="","",'Paste SD Data'!C589)</f>
        <v>12940</v>
      </c>
      <c r="E592" s="27" t="str">
        <f>IF('Paste SD Data'!E589="","",UPPER('Paste SD Data'!E589))</f>
        <v>JEEVAN SINGH</v>
      </c>
      <c r="F592" s="27" t="str">
        <f>IF('Paste SD Data'!G589="","",UPPER('Paste SD Data'!G589))</f>
        <v>MOHAN SINGH</v>
      </c>
      <c r="G592" s="27" t="str">
        <f>IF('Paste SD Data'!H589="","",UPPER('Paste SD Data'!H589))</f>
        <v>DHANNU DEVI</v>
      </c>
      <c r="H592" s="26" t="str">
        <f>IF('Paste SD Data'!I589="","",IF('Paste SD Data'!I589="M","BOY","GIRL"))</f>
        <v>BOY</v>
      </c>
      <c r="I592" s="28">
        <f>IF('Paste SD Data'!J589="","",'Paste SD Data'!J589)</f>
        <v>38102</v>
      </c>
      <c r="J592" s="34">
        <f t="shared" si="9"/>
        <v>1018</v>
      </c>
      <c r="K592" s="29" t="str">
        <f>IF('Paste SD Data'!O589="","",'Paste SD Data'!O589)</f>
        <v>OBC</v>
      </c>
    </row>
    <row r="593" spans="1:11" ht="30" customHeight="1" x14ac:dyDescent="0.25">
      <c r="A593" s="25">
        <f>IF(Table1[[#This Row],[Name of Student]]="","",ROWS($A$1:A589))</f>
        <v>589</v>
      </c>
      <c r="B593" s="26">
        <f>IF('Paste SD Data'!A590="","",'Paste SD Data'!A590)</f>
        <v>11</v>
      </c>
      <c r="C593" s="26" t="str">
        <f>IF('Paste SD Data'!B590="","",'Paste SD Data'!B590)</f>
        <v>D</v>
      </c>
      <c r="D593" s="26">
        <f>IF('Paste SD Data'!C590="","",'Paste SD Data'!C590)</f>
        <v>13272</v>
      </c>
      <c r="E593" s="27" t="str">
        <f>IF('Paste SD Data'!E590="","",UPPER('Paste SD Data'!E590))</f>
        <v>KAILASH CHANDRA KAHAR</v>
      </c>
      <c r="F593" s="27" t="str">
        <f>IF('Paste SD Data'!G590="","",UPPER('Paste SD Data'!G590))</f>
        <v>GANESH LAL KAHAR</v>
      </c>
      <c r="G593" s="27" t="str">
        <f>IF('Paste SD Data'!H590="","",UPPER('Paste SD Data'!H590))</f>
        <v>SAVITRI DEVI</v>
      </c>
      <c r="H593" s="26" t="str">
        <f>IF('Paste SD Data'!I590="","",IF('Paste SD Data'!I590="M","BOY","GIRL"))</f>
        <v>BOY</v>
      </c>
      <c r="I593" s="28">
        <f>IF('Paste SD Data'!J590="","",'Paste SD Data'!J590)</f>
        <v>38821</v>
      </c>
      <c r="J593" s="34">
        <f t="shared" si="9"/>
        <v>1019</v>
      </c>
      <c r="K593" s="29" t="str">
        <f>IF('Paste SD Data'!O590="","",'Paste SD Data'!O590)</f>
        <v>OBC</v>
      </c>
    </row>
    <row r="594" spans="1:11" ht="30" customHeight="1" x14ac:dyDescent="0.25">
      <c r="A594" s="25">
        <f>IF(Table1[[#This Row],[Name of Student]]="","",ROWS($A$1:A590))</f>
        <v>590</v>
      </c>
      <c r="B594" s="26">
        <f>IF('Paste SD Data'!A591="","",'Paste SD Data'!A591)</f>
        <v>11</v>
      </c>
      <c r="C594" s="26" t="str">
        <f>IF('Paste SD Data'!B591="","",'Paste SD Data'!B591)</f>
        <v>D</v>
      </c>
      <c r="D594" s="26">
        <f>IF('Paste SD Data'!C591="","",'Paste SD Data'!C591)</f>
        <v>13868</v>
      </c>
      <c r="E594" s="27" t="str">
        <f>IF('Paste SD Data'!E591="","",UPPER('Paste SD Data'!E591))</f>
        <v>KAJAL DHABHAI</v>
      </c>
      <c r="F594" s="27" t="str">
        <f>IF('Paste SD Data'!G591="","",UPPER('Paste SD Data'!G591))</f>
        <v>RAJENDRA DHABHAI</v>
      </c>
      <c r="G594" s="27" t="str">
        <f>IF('Paste SD Data'!H591="","",UPPER('Paste SD Data'!H591))</f>
        <v>GUDDI DEVI</v>
      </c>
      <c r="H594" s="26" t="str">
        <f>IF('Paste SD Data'!I591="","",IF('Paste SD Data'!I591="M","BOY","GIRL"))</f>
        <v>GIRL</v>
      </c>
      <c r="I594" s="28">
        <f>IF('Paste SD Data'!J591="","",'Paste SD Data'!J591)</f>
        <v>38203</v>
      </c>
      <c r="J594" s="34">
        <f t="shared" si="9"/>
        <v>1020</v>
      </c>
      <c r="K594" s="29" t="str">
        <f>IF('Paste SD Data'!O591="","",'Paste SD Data'!O591)</f>
        <v>SBC</v>
      </c>
    </row>
    <row r="595" spans="1:11" ht="30" customHeight="1" x14ac:dyDescent="0.25">
      <c r="A595" s="25">
        <f>IF(Table1[[#This Row],[Name of Student]]="","",ROWS($A$1:A591))</f>
        <v>591</v>
      </c>
      <c r="B595" s="26">
        <f>IF('Paste SD Data'!A592="","",'Paste SD Data'!A592)</f>
        <v>11</v>
      </c>
      <c r="C595" s="26" t="str">
        <f>IF('Paste SD Data'!B592="","",'Paste SD Data'!B592)</f>
        <v>D</v>
      </c>
      <c r="D595" s="26">
        <f>IF('Paste SD Data'!C592="","",'Paste SD Data'!C592)</f>
        <v>13965</v>
      </c>
      <c r="E595" s="27" t="str">
        <f>IF('Paste SD Data'!E592="","",UPPER('Paste SD Data'!E592))</f>
        <v>KANHAIYA LAL</v>
      </c>
      <c r="F595" s="27" t="str">
        <f>IF('Paste SD Data'!G592="","",UPPER('Paste SD Data'!G592))</f>
        <v>DEVENDRA BHAI</v>
      </c>
      <c r="G595" s="27" t="str">
        <f>IF('Paste SD Data'!H592="","",UPPER('Paste SD Data'!H592))</f>
        <v>PARAS DEVI</v>
      </c>
      <c r="H595" s="26" t="str">
        <f>IF('Paste SD Data'!I592="","",IF('Paste SD Data'!I592="M","BOY","GIRL"))</f>
        <v>BOY</v>
      </c>
      <c r="I595" s="28">
        <f>IF('Paste SD Data'!J592="","",'Paste SD Data'!J592)</f>
        <v>38788</v>
      </c>
      <c r="J595" s="34">
        <f t="shared" si="9"/>
        <v>1021</v>
      </c>
      <c r="K595" s="29" t="str">
        <f>IF('Paste SD Data'!O592="","",'Paste SD Data'!O592)</f>
        <v>OBC</v>
      </c>
    </row>
    <row r="596" spans="1:11" ht="30" customHeight="1" x14ac:dyDescent="0.25">
      <c r="A596" s="25">
        <f>IF(Table1[[#This Row],[Name of Student]]="","",ROWS($A$1:A592))</f>
        <v>592</v>
      </c>
      <c r="B596" s="26">
        <f>IF('Paste SD Data'!A593="","",'Paste SD Data'!A593)</f>
        <v>11</v>
      </c>
      <c r="C596" s="26" t="str">
        <f>IF('Paste SD Data'!B593="","",'Paste SD Data'!B593)</f>
        <v>D</v>
      </c>
      <c r="D596" s="26">
        <f>IF('Paste SD Data'!C593="","",'Paste SD Data'!C593)</f>
        <v>13788</v>
      </c>
      <c r="E596" s="27" t="str">
        <f>IF('Paste SD Data'!E593="","",UPPER('Paste SD Data'!E593))</f>
        <v>KASHISH DHABHAI</v>
      </c>
      <c r="F596" s="27" t="str">
        <f>IF('Paste SD Data'!G593="","",UPPER('Paste SD Data'!G593))</f>
        <v>RAMESH DHABHAI</v>
      </c>
      <c r="G596" s="27" t="str">
        <f>IF('Paste SD Data'!H593="","",UPPER('Paste SD Data'!H593))</f>
        <v>KOUSHALYA DEVI</v>
      </c>
      <c r="H596" s="26" t="str">
        <f>IF('Paste SD Data'!I593="","",IF('Paste SD Data'!I593="M","BOY","GIRL"))</f>
        <v>GIRL</v>
      </c>
      <c r="I596" s="28">
        <f>IF('Paste SD Data'!J593="","",'Paste SD Data'!J593)</f>
        <v>38592</v>
      </c>
      <c r="J596" s="34">
        <f t="shared" si="9"/>
        <v>1022</v>
      </c>
      <c r="K596" s="29" t="str">
        <f>IF('Paste SD Data'!O593="","",'Paste SD Data'!O593)</f>
        <v>SBC</v>
      </c>
    </row>
    <row r="597" spans="1:11" ht="30" customHeight="1" x14ac:dyDescent="0.25">
      <c r="A597" s="25">
        <f>IF(Table1[[#This Row],[Name of Student]]="","",ROWS($A$1:A593))</f>
        <v>593</v>
      </c>
      <c r="B597" s="26">
        <f>IF('Paste SD Data'!A594="","",'Paste SD Data'!A594)</f>
        <v>11</v>
      </c>
      <c r="C597" s="26" t="str">
        <f>IF('Paste SD Data'!B594="","",'Paste SD Data'!B594)</f>
        <v>D</v>
      </c>
      <c r="D597" s="26">
        <f>IF('Paste SD Data'!C594="","",'Paste SD Data'!C594)</f>
        <v>13715</v>
      </c>
      <c r="E597" s="27" t="str">
        <f>IF('Paste SD Data'!E594="","",UPPER('Paste SD Data'!E594))</f>
        <v>KAVITA SHARMA</v>
      </c>
      <c r="F597" s="27" t="str">
        <f>IF('Paste SD Data'!G594="","",UPPER('Paste SD Data'!G594))</f>
        <v>KANHEIYA LAL SHARMA</v>
      </c>
      <c r="G597" s="27" t="str">
        <f>IF('Paste SD Data'!H594="","",UPPER('Paste SD Data'!H594))</f>
        <v>SHYAMU DEVI</v>
      </c>
      <c r="H597" s="26" t="str">
        <f>IF('Paste SD Data'!I594="","",IF('Paste SD Data'!I594="M","BOY","GIRL"))</f>
        <v>GIRL</v>
      </c>
      <c r="I597" s="28">
        <f>IF('Paste SD Data'!J594="","",'Paste SD Data'!J594)</f>
        <v>38765</v>
      </c>
      <c r="J597" s="34">
        <f t="shared" si="9"/>
        <v>1023</v>
      </c>
      <c r="K597" s="29" t="str">
        <f>IF('Paste SD Data'!O594="","",'Paste SD Data'!O594)</f>
        <v>GEN</v>
      </c>
    </row>
    <row r="598" spans="1:11" ht="30" customHeight="1" x14ac:dyDescent="0.25">
      <c r="A598" s="25">
        <f>IF(Table1[[#This Row],[Name of Student]]="","",ROWS($A$1:A594))</f>
        <v>594</v>
      </c>
      <c r="B598" s="26">
        <f>IF('Paste SD Data'!A595="","",'Paste SD Data'!A595)</f>
        <v>11</v>
      </c>
      <c r="C598" s="26" t="str">
        <f>IF('Paste SD Data'!B595="","",'Paste SD Data'!B595)</f>
        <v>D</v>
      </c>
      <c r="D598" s="26">
        <f>IF('Paste SD Data'!C595="","",'Paste SD Data'!C595)</f>
        <v>13712</v>
      </c>
      <c r="E598" s="27" t="str">
        <f>IF('Paste SD Data'!E595="","",UPPER('Paste SD Data'!E595))</f>
        <v>LALITA SAHU</v>
      </c>
      <c r="F598" s="27" t="str">
        <f>IF('Paste SD Data'!G595="","",UPPER('Paste SD Data'!G595))</f>
        <v>BADRI LAL SAHU</v>
      </c>
      <c r="G598" s="27" t="str">
        <f>IF('Paste SD Data'!H595="","",UPPER('Paste SD Data'!H595))</f>
        <v>TAMU DEVI</v>
      </c>
      <c r="H598" s="26" t="str">
        <f>IF('Paste SD Data'!I595="","",IF('Paste SD Data'!I595="M","BOY","GIRL"))</f>
        <v>GIRL</v>
      </c>
      <c r="I598" s="28">
        <f>IF('Paste SD Data'!J595="","",'Paste SD Data'!J595)</f>
        <v>38104</v>
      </c>
      <c r="J598" s="34">
        <f t="shared" si="9"/>
        <v>1024</v>
      </c>
      <c r="K598" s="29" t="str">
        <f>IF('Paste SD Data'!O595="","",'Paste SD Data'!O595)</f>
        <v>OBC</v>
      </c>
    </row>
    <row r="599" spans="1:11" ht="30" customHeight="1" x14ac:dyDescent="0.25">
      <c r="A599" s="25">
        <f>IF(Table1[[#This Row],[Name of Student]]="","",ROWS($A$1:A595))</f>
        <v>595</v>
      </c>
      <c r="B599" s="26">
        <f>IF('Paste SD Data'!A596="","",'Paste SD Data'!A596)</f>
        <v>11</v>
      </c>
      <c r="C599" s="26" t="str">
        <f>IF('Paste SD Data'!B596="","",'Paste SD Data'!B596)</f>
        <v>D</v>
      </c>
      <c r="D599" s="26">
        <f>IF('Paste SD Data'!C596="","",'Paste SD Data'!C596)</f>
        <v>13893</v>
      </c>
      <c r="E599" s="27" t="str">
        <f>IF('Paste SD Data'!E596="","",UPPER('Paste SD Data'!E596))</f>
        <v>LATIKA TAILOR</v>
      </c>
      <c r="F599" s="27" t="str">
        <f>IF('Paste SD Data'!G596="","",UPPER('Paste SD Data'!G596))</f>
        <v>KANHAIYA LAL TAILOR</v>
      </c>
      <c r="G599" s="27" t="str">
        <f>IF('Paste SD Data'!H596="","",UPPER('Paste SD Data'!H596))</f>
        <v>KRISHNA DEVI</v>
      </c>
      <c r="H599" s="26" t="str">
        <f>IF('Paste SD Data'!I596="","",IF('Paste SD Data'!I596="M","BOY","GIRL"))</f>
        <v>GIRL</v>
      </c>
      <c r="I599" s="28">
        <f>IF('Paste SD Data'!J596="","",'Paste SD Data'!J596)</f>
        <v>38260</v>
      </c>
      <c r="J599" s="34">
        <f t="shared" si="9"/>
        <v>1025</v>
      </c>
      <c r="K599" s="29" t="str">
        <f>IF('Paste SD Data'!O596="","",'Paste SD Data'!O596)</f>
        <v>OBC</v>
      </c>
    </row>
    <row r="600" spans="1:11" ht="30" customHeight="1" x14ac:dyDescent="0.25">
      <c r="A600" s="25">
        <f>IF(Table1[[#This Row],[Name of Student]]="","",ROWS($A$1:A596))</f>
        <v>596</v>
      </c>
      <c r="B600" s="26">
        <f>IF('Paste SD Data'!A597="","",'Paste SD Data'!A597)</f>
        <v>11</v>
      </c>
      <c r="C600" s="26" t="str">
        <f>IF('Paste SD Data'!B597="","",'Paste SD Data'!B597)</f>
        <v>D</v>
      </c>
      <c r="D600" s="26">
        <f>IF('Paste SD Data'!C597="","",'Paste SD Data'!C597)</f>
        <v>13951</v>
      </c>
      <c r="E600" s="27" t="str">
        <f>IF('Paste SD Data'!E597="","",UPPER('Paste SD Data'!E597))</f>
        <v>MAHENDRA DHOLI</v>
      </c>
      <c r="F600" s="27" t="str">
        <f>IF('Paste SD Data'!G597="","",UPPER('Paste SD Data'!G597))</f>
        <v>SHIV LAL DHOLI</v>
      </c>
      <c r="G600" s="27" t="str">
        <f>IF('Paste SD Data'!H597="","",UPPER('Paste SD Data'!H597))</f>
        <v>LALI DEVI</v>
      </c>
      <c r="H600" s="26" t="str">
        <f>IF('Paste SD Data'!I597="","",IF('Paste SD Data'!I597="M","BOY","GIRL"))</f>
        <v>BOY</v>
      </c>
      <c r="I600" s="28">
        <f>IF('Paste SD Data'!J597="","",'Paste SD Data'!J597)</f>
        <v>38508</v>
      </c>
      <c r="J600" s="34">
        <f t="shared" si="9"/>
        <v>1026</v>
      </c>
      <c r="K600" s="29" t="str">
        <f>IF('Paste SD Data'!O597="","",'Paste SD Data'!O597)</f>
        <v>SC</v>
      </c>
    </row>
    <row r="601" spans="1:11" ht="30" customHeight="1" x14ac:dyDescent="0.25">
      <c r="A601" s="25">
        <f>IF(Table1[[#This Row],[Name of Student]]="","",ROWS($A$1:A597))</f>
        <v>597</v>
      </c>
      <c r="B601" s="26">
        <f>IF('Paste SD Data'!A598="","",'Paste SD Data'!A598)</f>
        <v>11</v>
      </c>
      <c r="C601" s="26" t="str">
        <f>IF('Paste SD Data'!B598="","",'Paste SD Data'!B598)</f>
        <v>D</v>
      </c>
      <c r="D601" s="26">
        <f>IF('Paste SD Data'!C598="","",'Paste SD Data'!C598)</f>
        <v>13758</v>
      </c>
      <c r="E601" s="27" t="str">
        <f>IF('Paste SD Data'!E598="","",UPPER('Paste SD Data'!E598))</f>
        <v>MAHENDRA KUMAR NAT</v>
      </c>
      <c r="F601" s="27" t="str">
        <f>IF('Paste SD Data'!G598="","",UPPER('Paste SD Data'!G598))</f>
        <v>MANGI LAL</v>
      </c>
      <c r="G601" s="27" t="str">
        <f>IF('Paste SD Data'!H598="","",UPPER('Paste SD Data'!H598))</f>
        <v>BHAGWANTI DEVI</v>
      </c>
      <c r="H601" s="26" t="str">
        <f>IF('Paste SD Data'!I598="","",IF('Paste SD Data'!I598="M","BOY","GIRL"))</f>
        <v>BOY</v>
      </c>
      <c r="I601" s="28">
        <f>IF('Paste SD Data'!J598="","",'Paste SD Data'!J598)</f>
        <v>38407</v>
      </c>
      <c r="J601" s="34">
        <f t="shared" si="9"/>
        <v>1027</v>
      </c>
      <c r="K601" s="29" t="str">
        <f>IF('Paste SD Data'!O598="","",'Paste SD Data'!O598)</f>
        <v>SC</v>
      </c>
    </row>
    <row r="602" spans="1:11" ht="30" customHeight="1" x14ac:dyDescent="0.25">
      <c r="A602" s="25">
        <f>IF(Table1[[#This Row],[Name of Student]]="","",ROWS($A$1:A598))</f>
        <v>598</v>
      </c>
      <c r="B602" s="26">
        <f>IF('Paste SD Data'!A599="","",'Paste SD Data'!A599)</f>
        <v>11</v>
      </c>
      <c r="C602" s="26" t="str">
        <f>IF('Paste SD Data'!B599="","",'Paste SD Data'!B599)</f>
        <v>D</v>
      </c>
      <c r="D602" s="26">
        <f>IF('Paste SD Data'!C599="","",'Paste SD Data'!C599)</f>
        <v>13837</v>
      </c>
      <c r="E602" s="27" t="str">
        <f>IF('Paste SD Data'!E599="","",UPPER('Paste SD Data'!E599))</f>
        <v>MANISHA KUMARI</v>
      </c>
      <c r="F602" s="27" t="str">
        <f>IF('Paste SD Data'!G599="","",UPPER('Paste SD Data'!G599))</f>
        <v>KAILASH KUMAR</v>
      </c>
      <c r="G602" s="27" t="str">
        <f>IF('Paste SD Data'!H599="","",UPPER('Paste SD Data'!H599))</f>
        <v>CHAMPA DEVI</v>
      </c>
      <c r="H602" s="26" t="str">
        <f>IF('Paste SD Data'!I599="","",IF('Paste SD Data'!I599="M","BOY","GIRL"))</f>
        <v>GIRL</v>
      </c>
      <c r="I602" s="28">
        <f>IF('Paste SD Data'!J599="","",'Paste SD Data'!J599)</f>
        <v>38264</v>
      </c>
      <c r="J602" s="34">
        <f t="shared" si="9"/>
        <v>1028</v>
      </c>
      <c r="K602" s="29" t="str">
        <f>IF('Paste SD Data'!O599="","",'Paste SD Data'!O599)</f>
        <v>SC</v>
      </c>
    </row>
    <row r="603" spans="1:11" ht="30" customHeight="1" x14ac:dyDescent="0.25">
      <c r="A603" s="25">
        <f>IF(Table1[[#This Row],[Name of Student]]="","",ROWS($A$1:A599))</f>
        <v>599</v>
      </c>
      <c r="B603" s="26">
        <f>IF('Paste SD Data'!A600="","",'Paste SD Data'!A600)</f>
        <v>11</v>
      </c>
      <c r="C603" s="26" t="str">
        <f>IF('Paste SD Data'!B600="","",'Paste SD Data'!B600)</f>
        <v>D</v>
      </c>
      <c r="D603" s="26">
        <f>IF('Paste SD Data'!C600="","",'Paste SD Data'!C600)</f>
        <v>13867</v>
      </c>
      <c r="E603" s="27" t="str">
        <f>IF('Paste SD Data'!E600="","",UPPER('Paste SD Data'!E600))</f>
        <v>MOHAMMAD KAIF</v>
      </c>
      <c r="F603" s="27" t="str">
        <f>IF('Paste SD Data'!G600="","",UPPER('Paste SD Data'!G600))</f>
        <v>RASHID MOHAMMAD SHEIKH</v>
      </c>
      <c r="G603" s="27" t="str">
        <f>IF('Paste SD Data'!H600="","",UPPER('Paste SD Data'!H600))</f>
        <v>GULJAR BANU</v>
      </c>
      <c r="H603" s="26" t="str">
        <f>IF('Paste SD Data'!I600="","",IF('Paste SD Data'!I600="M","BOY","GIRL"))</f>
        <v>BOY</v>
      </c>
      <c r="I603" s="28">
        <f>IF('Paste SD Data'!J600="","",'Paste SD Data'!J600)</f>
        <v>38202</v>
      </c>
      <c r="J603" s="34">
        <f t="shared" si="9"/>
        <v>1029</v>
      </c>
      <c r="K603" s="29" t="str">
        <f>IF('Paste SD Data'!O600="","",'Paste SD Data'!O600)</f>
        <v>GEN</v>
      </c>
    </row>
    <row r="604" spans="1:11" ht="30" customHeight="1" x14ac:dyDescent="0.25">
      <c r="A604" s="25">
        <f>IF(Table1[[#This Row],[Name of Student]]="","",ROWS($A$1:A600))</f>
        <v>600</v>
      </c>
      <c r="B604" s="26">
        <f>IF('Paste SD Data'!A601="","",'Paste SD Data'!A601)</f>
        <v>11</v>
      </c>
      <c r="C604" s="26" t="str">
        <f>IF('Paste SD Data'!B601="","",'Paste SD Data'!B601)</f>
        <v>D</v>
      </c>
      <c r="D604" s="26">
        <f>IF('Paste SD Data'!C601="","",'Paste SD Data'!C601)</f>
        <v>13212</v>
      </c>
      <c r="E604" s="27" t="str">
        <f>IF('Paste SD Data'!E601="","",UPPER('Paste SD Data'!E601))</f>
        <v>MOHAMMAD MUJAHID KHAN</v>
      </c>
      <c r="F604" s="27" t="str">
        <f>IF('Paste SD Data'!G601="","",UPPER('Paste SD Data'!G601))</f>
        <v>IRFAN MOHAMMAD</v>
      </c>
      <c r="G604" s="27" t="str">
        <f>IF('Paste SD Data'!H601="","",UPPER('Paste SD Data'!H601))</f>
        <v>FARJANA BANU</v>
      </c>
      <c r="H604" s="26" t="str">
        <f>IF('Paste SD Data'!I601="","",IF('Paste SD Data'!I601="M","BOY","GIRL"))</f>
        <v>BOY</v>
      </c>
      <c r="I604" s="28">
        <f>IF('Paste SD Data'!J601="","",'Paste SD Data'!J601)</f>
        <v>38673</v>
      </c>
      <c r="J604" s="34">
        <f t="shared" si="9"/>
        <v>1030</v>
      </c>
      <c r="K604" s="29" t="str">
        <f>IF('Paste SD Data'!O601="","",'Paste SD Data'!O601)</f>
        <v>GEN</v>
      </c>
    </row>
    <row r="605" spans="1:11" ht="30" customHeight="1" x14ac:dyDescent="0.25">
      <c r="A605" s="25">
        <f>IF(Table1[[#This Row],[Name of Student]]="","",ROWS($A$1:A601))</f>
        <v>601</v>
      </c>
      <c r="B605" s="26">
        <f>IF('Paste SD Data'!A602="","",'Paste SD Data'!A602)</f>
        <v>11</v>
      </c>
      <c r="C605" s="26" t="str">
        <f>IF('Paste SD Data'!B602="","",'Paste SD Data'!B602)</f>
        <v>D</v>
      </c>
      <c r="D605" s="26">
        <f>IF('Paste SD Data'!C602="","",'Paste SD Data'!C602)</f>
        <v>13427</v>
      </c>
      <c r="E605" s="27" t="str">
        <f>IF('Paste SD Data'!E602="","",UPPER('Paste SD Data'!E602))</f>
        <v>MOHAMMED REHAN RAZA</v>
      </c>
      <c r="F605" s="27" t="str">
        <f>IF('Paste SD Data'!G602="","",UPPER('Paste SD Data'!G602))</f>
        <v>FAYAZ MOHAMMED</v>
      </c>
      <c r="G605" s="27" t="str">
        <f>IF('Paste SD Data'!H602="","",UPPER('Paste SD Data'!H602))</f>
        <v>JAREENA BEGAM</v>
      </c>
      <c r="H605" s="26" t="str">
        <f>IF('Paste SD Data'!I602="","",IF('Paste SD Data'!I602="M","BOY","GIRL"))</f>
        <v>BOY</v>
      </c>
      <c r="I605" s="28">
        <f>IF('Paste SD Data'!J602="","",'Paste SD Data'!J602)</f>
        <v>38225</v>
      </c>
      <c r="J605" s="34">
        <f t="shared" si="9"/>
        <v>1031</v>
      </c>
      <c r="K605" s="29" t="str">
        <f>IF('Paste SD Data'!O602="","",'Paste SD Data'!O602)</f>
        <v>GEN</v>
      </c>
    </row>
    <row r="606" spans="1:11" ht="30" customHeight="1" x14ac:dyDescent="0.25">
      <c r="A606" s="25">
        <f>IF(Table1[[#This Row],[Name of Student]]="","",ROWS($A$1:A602))</f>
        <v>602</v>
      </c>
      <c r="B606" s="26">
        <f>IF('Paste SD Data'!A603="","",'Paste SD Data'!A603)</f>
        <v>11</v>
      </c>
      <c r="C606" s="26" t="str">
        <f>IF('Paste SD Data'!B603="","",'Paste SD Data'!B603)</f>
        <v>D</v>
      </c>
      <c r="D606" s="26">
        <f>IF('Paste SD Data'!C603="","",'Paste SD Data'!C603)</f>
        <v>13827</v>
      </c>
      <c r="E606" s="27" t="str">
        <f>IF('Paste SD Data'!E603="","",UPPER('Paste SD Data'!E603))</f>
        <v>MOHIT SARGRA</v>
      </c>
      <c r="F606" s="27" t="str">
        <f>IF('Paste SD Data'!G603="","",UPPER('Paste SD Data'!G603))</f>
        <v>PRAKASH CHANDRA SARGARA</v>
      </c>
      <c r="G606" s="27" t="str">
        <f>IF('Paste SD Data'!H603="","",UPPER('Paste SD Data'!H603))</f>
        <v>ANITA SARGARA</v>
      </c>
      <c r="H606" s="26" t="str">
        <f>IF('Paste SD Data'!I603="","",IF('Paste SD Data'!I603="M","BOY","GIRL"))</f>
        <v>BOY</v>
      </c>
      <c r="I606" s="28">
        <f>IF('Paste SD Data'!J603="","",'Paste SD Data'!J603)</f>
        <v>38591</v>
      </c>
      <c r="J606" s="34">
        <f t="shared" si="9"/>
        <v>1032</v>
      </c>
      <c r="K606" s="29" t="str">
        <f>IF('Paste SD Data'!O603="","",'Paste SD Data'!O603)</f>
        <v>SC</v>
      </c>
    </row>
    <row r="607" spans="1:11" ht="30" customHeight="1" x14ac:dyDescent="0.25">
      <c r="A607" s="25">
        <f>IF(Table1[[#This Row],[Name of Student]]="","",ROWS($A$1:A603))</f>
        <v>603</v>
      </c>
      <c r="B607" s="26">
        <f>IF('Paste SD Data'!A604="","",'Paste SD Data'!A604)</f>
        <v>11</v>
      </c>
      <c r="C607" s="26" t="str">
        <f>IF('Paste SD Data'!B604="","",'Paste SD Data'!B604)</f>
        <v>D</v>
      </c>
      <c r="D607" s="26">
        <f>IF('Paste SD Data'!C604="","",'Paste SD Data'!C604)</f>
        <v>13953</v>
      </c>
      <c r="E607" s="27" t="str">
        <f>IF('Paste SD Data'!E604="","",UPPER('Paste SD Data'!E604))</f>
        <v>MOHIT SEN</v>
      </c>
      <c r="F607" s="27" t="str">
        <f>IF('Paste SD Data'!G604="","",UPPER('Paste SD Data'!G604))</f>
        <v>CHANDRA PRAKASH SEN</v>
      </c>
      <c r="G607" s="27" t="str">
        <f>IF('Paste SD Data'!H604="","",UPPER('Paste SD Data'!H604))</f>
        <v>KRISHNA SEN</v>
      </c>
      <c r="H607" s="26" t="str">
        <f>IF('Paste SD Data'!I604="","",IF('Paste SD Data'!I604="M","BOY","GIRL"))</f>
        <v>BOY</v>
      </c>
      <c r="I607" s="28">
        <f>IF('Paste SD Data'!J604="","",'Paste SD Data'!J604)</f>
        <v>38460</v>
      </c>
      <c r="J607" s="34">
        <f t="shared" si="9"/>
        <v>1033</v>
      </c>
      <c r="K607" s="29" t="str">
        <f>IF('Paste SD Data'!O604="","",'Paste SD Data'!O604)</f>
        <v>OBC</v>
      </c>
    </row>
    <row r="608" spans="1:11" ht="30" customHeight="1" x14ac:dyDescent="0.25">
      <c r="A608" s="25">
        <f>IF(Table1[[#This Row],[Name of Student]]="","",ROWS($A$1:A604))</f>
        <v>604</v>
      </c>
      <c r="B608" s="26">
        <f>IF('Paste SD Data'!A605="","",'Paste SD Data'!A605)</f>
        <v>11</v>
      </c>
      <c r="C608" s="26" t="str">
        <f>IF('Paste SD Data'!B605="","",'Paste SD Data'!B605)</f>
        <v>D</v>
      </c>
      <c r="D608" s="26">
        <f>IF('Paste SD Data'!C605="","",'Paste SD Data'!C605)</f>
        <v>13259</v>
      </c>
      <c r="E608" s="27" t="str">
        <f>IF('Paste SD Data'!E605="","",UPPER('Paste SD Data'!E605))</f>
        <v>MUKESH SINGH</v>
      </c>
      <c r="F608" s="27" t="str">
        <f>IF('Paste SD Data'!G605="","",UPPER('Paste SD Data'!G605))</f>
        <v>AMAR SINGH</v>
      </c>
      <c r="G608" s="27" t="str">
        <f>IF('Paste SD Data'!H605="","",UPPER('Paste SD Data'!H605))</f>
        <v>SHANTA DEVI</v>
      </c>
      <c r="H608" s="26" t="str">
        <f>IF('Paste SD Data'!I605="","",IF('Paste SD Data'!I605="M","BOY","GIRL"))</f>
        <v>BOY</v>
      </c>
      <c r="I608" s="28">
        <f>IF('Paste SD Data'!J605="","",'Paste SD Data'!J605)</f>
        <v>38908</v>
      </c>
      <c r="J608" s="34">
        <f t="shared" si="9"/>
        <v>1034</v>
      </c>
      <c r="K608" s="29" t="str">
        <f>IF('Paste SD Data'!O605="","",'Paste SD Data'!O605)</f>
        <v>OBC</v>
      </c>
    </row>
    <row r="609" spans="1:11" ht="30" customHeight="1" x14ac:dyDescent="0.25">
      <c r="A609" s="25">
        <f>IF(Table1[[#This Row],[Name of Student]]="","",ROWS($A$1:A605))</f>
        <v>605</v>
      </c>
      <c r="B609" s="26">
        <f>IF('Paste SD Data'!A606="","",'Paste SD Data'!A606)</f>
        <v>11</v>
      </c>
      <c r="C609" s="26" t="str">
        <f>IF('Paste SD Data'!B606="","",'Paste SD Data'!B606)</f>
        <v>D</v>
      </c>
      <c r="D609" s="26">
        <f>IF('Paste SD Data'!C606="","",'Paste SD Data'!C606)</f>
        <v>13869</v>
      </c>
      <c r="E609" s="27" t="str">
        <f>IF('Paste SD Data'!E606="","",UPPER('Paste SD Data'!E606))</f>
        <v>MUZAHID RAZA SHEIKH</v>
      </c>
      <c r="F609" s="27" t="str">
        <f>IF('Paste SD Data'!G606="","",UPPER('Paste SD Data'!G606))</f>
        <v>SAMSHUDDIN SHEIKH</v>
      </c>
      <c r="G609" s="27" t="str">
        <f>IF('Paste SD Data'!H606="","",UPPER('Paste SD Data'!H606))</f>
        <v>MADINA BANU</v>
      </c>
      <c r="H609" s="26" t="str">
        <f>IF('Paste SD Data'!I606="","",IF('Paste SD Data'!I606="M","BOY","GIRL"))</f>
        <v>BOY</v>
      </c>
      <c r="I609" s="28">
        <f>IF('Paste SD Data'!J606="","",'Paste SD Data'!J606)</f>
        <v>38699</v>
      </c>
      <c r="J609" s="34">
        <f t="shared" si="9"/>
        <v>1035</v>
      </c>
      <c r="K609" s="29" t="str">
        <f>IF('Paste SD Data'!O606="","",'Paste SD Data'!O606)</f>
        <v>GEN</v>
      </c>
    </row>
    <row r="610" spans="1:11" ht="30" customHeight="1" x14ac:dyDescent="0.25">
      <c r="A610" s="25">
        <f>IF(Table1[[#This Row],[Name of Student]]="","",ROWS($A$1:A606))</f>
        <v>606</v>
      </c>
      <c r="B610" s="26">
        <f>IF('Paste SD Data'!A607="","",'Paste SD Data'!A607)</f>
        <v>11</v>
      </c>
      <c r="C610" s="26" t="str">
        <f>IF('Paste SD Data'!B607="","",'Paste SD Data'!B607)</f>
        <v>D</v>
      </c>
      <c r="D610" s="26">
        <f>IF('Paste SD Data'!C607="","",'Paste SD Data'!C607)</f>
        <v>13248</v>
      </c>
      <c r="E610" s="27" t="str">
        <f>IF('Paste SD Data'!E607="","",UPPER('Paste SD Data'!E607))</f>
        <v>NAHID RAJA</v>
      </c>
      <c r="F610" s="27" t="str">
        <f>IF('Paste SD Data'!G607="","",UPPER('Paste SD Data'!G607))</f>
        <v>AZAD MOHMMAD</v>
      </c>
      <c r="G610" s="27" t="str">
        <f>IF('Paste SD Data'!H607="","",UPPER('Paste SD Data'!H607))</f>
        <v>NASEEM BANU</v>
      </c>
      <c r="H610" s="26" t="str">
        <f>IF('Paste SD Data'!I607="","",IF('Paste SD Data'!I607="M","BOY","GIRL"))</f>
        <v>BOY</v>
      </c>
      <c r="I610" s="28">
        <f>IF('Paste SD Data'!J607="","",'Paste SD Data'!J607)</f>
        <v>38616</v>
      </c>
      <c r="J610" s="34">
        <f t="shared" si="9"/>
        <v>1036</v>
      </c>
      <c r="K610" s="29" t="str">
        <f>IF('Paste SD Data'!O607="","",'Paste SD Data'!O607)</f>
        <v>OBC</v>
      </c>
    </row>
    <row r="611" spans="1:11" ht="30" customHeight="1" x14ac:dyDescent="0.25">
      <c r="A611" s="25">
        <f>IF(Table1[[#This Row],[Name of Student]]="","",ROWS($A$1:A607))</f>
        <v>607</v>
      </c>
      <c r="B611" s="26">
        <f>IF('Paste SD Data'!A608="","",'Paste SD Data'!A608)</f>
        <v>11</v>
      </c>
      <c r="C611" s="26" t="str">
        <f>IF('Paste SD Data'!B608="","",'Paste SD Data'!B608)</f>
        <v>D</v>
      </c>
      <c r="D611" s="26">
        <f>IF('Paste SD Data'!C608="","",'Paste SD Data'!C608)</f>
        <v>13932</v>
      </c>
      <c r="E611" s="27" t="str">
        <f>IF('Paste SD Data'!E608="","",UPPER('Paste SD Data'!E608))</f>
        <v>NARAYAN SALVI</v>
      </c>
      <c r="F611" s="27" t="str">
        <f>IF('Paste SD Data'!G608="","",UPPER('Paste SD Data'!G608))</f>
        <v>PUNA RAM SALVI</v>
      </c>
      <c r="G611" s="27" t="str">
        <f>IF('Paste SD Data'!H608="","",UPPER('Paste SD Data'!H608))</f>
        <v>SUNDARI DEVI</v>
      </c>
      <c r="H611" s="26" t="str">
        <f>IF('Paste SD Data'!I608="","",IF('Paste SD Data'!I608="M","BOY","GIRL"))</f>
        <v>BOY</v>
      </c>
      <c r="I611" s="28">
        <f>IF('Paste SD Data'!J608="","",'Paste SD Data'!J608)</f>
        <v>37885</v>
      </c>
      <c r="J611" s="34">
        <f t="shared" si="9"/>
        <v>1037</v>
      </c>
      <c r="K611" s="29" t="str">
        <f>IF('Paste SD Data'!O608="","",'Paste SD Data'!O608)</f>
        <v>SC</v>
      </c>
    </row>
    <row r="612" spans="1:11" ht="30" customHeight="1" x14ac:dyDescent="0.25">
      <c r="A612" s="25">
        <f>IF(Table1[[#This Row],[Name of Student]]="","",ROWS($A$1:A608))</f>
        <v>608</v>
      </c>
      <c r="B612" s="26">
        <f>IF('Paste SD Data'!A609="","",'Paste SD Data'!A609)</f>
        <v>11</v>
      </c>
      <c r="C612" s="26" t="str">
        <f>IF('Paste SD Data'!B609="","",'Paste SD Data'!B609)</f>
        <v>D</v>
      </c>
      <c r="D612" s="26">
        <f>IF('Paste SD Data'!C609="","",'Paste SD Data'!C609)</f>
        <v>13198</v>
      </c>
      <c r="E612" s="27" t="str">
        <f>IF('Paste SD Data'!E609="","",UPPER('Paste SD Data'!E609))</f>
        <v>NARENDRA KUMAR SALVI</v>
      </c>
      <c r="F612" s="27" t="str">
        <f>IF('Paste SD Data'!G609="","",UPPER('Paste SD Data'!G609))</f>
        <v>KALU RAM SALVI</v>
      </c>
      <c r="G612" s="27" t="str">
        <f>IF('Paste SD Data'!H609="","",UPPER('Paste SD Data'!H609))</f>
        <v>KELI DEVI</v>
      </c>
      <c r="H612" s="26" t="str">
        <f>IF('Paste SD Data'!I609="","",IF('Paste SD Data'!I609="M","BOY","GIRL"))</f>
        <v>BOY</v>
      </c>
      <c r="I612" s="28">
        <f>IF('Paste SD Data'!J609="","",'Paste SD Data'!J609)</f>
        <v>38113</v>
      </c>
      <c r="J612" s="34">
        <f t="shared" si="9"/>
        <v>1038</v>
      </c>
      <c r="K612" s="29" t="str">
        <f>IF('Paste SD Data'!O609="","",'Paste SD Data'!O609)</f>
        <v>SC</v>
      </c>
    </row>
    <row r="613" spans="1:11" ht="30" customHeight="1" x14ac:dyDescent="0.25">
      <c r="A613" s="25">
        <f>IF(Table1[[#This Row],[Name of Student]]="","",ROWS($A$1:A609))</f>
        <v>609</v>
      </c>
      <c r="B613" s="26">
        <f>IF('Paste SD Data'!A610="","",'Paste SD Data'!A610)</f>
        <v>11</v>
      </c>
      <c r="C613" s="26" t="str">
        <f>IF('Paste SD Data'!B610="","",'Paste SD Data'!B610)</f>
        <v>D</v>
      </c>
      <c r="D613" s="26">
        <f>IF('Paste SD Data'!C610="","",'Paste SD Data'!C610)</f>
        <v>13992</v>
      </c>
      <c r="E613" s="27" t="str">
        <f>IF('Paste SD Data'!E610="","",UPPER('Paste SD Data'!E610))</f>
        <v>NITU KUMARI</v>
      </c>
      <c r="F613" s="27" t="str">
        <f>IF('Paste SD Data'!G610="","",UPPER('Paste SD Data'!G610))</f>
        <v>BHANWAR NATH</v>
      </c>
      <c r="G613" s="27" t="str">
        <f>IF('Paste SD Data'!H610="","",UPPER('Paste SD Data'!H610))</f>
        <v>MITHU DEVI</v>
      </c>
      <c r="H613" s="26" t="str">
        <f>IF('Paste SD Data'!I610="","",IF('Paste SD Data'!I610="M","BOY","GIRL"))</f>
        <v>GIRL</v>
      </c>
      <c r="I613" s="28">
        <f>IF('Paste SD Data'!J610="","",'Paste SD Data'!J610)</f>
        <v>39347</v>
      </c>
      <c r="J613" s="34">
        <f t="shared" si="9"/>
        <v>1039</v>
      </c>
      <c r="K613" s="29" t="str">
        <f>IF('Paste SD Data'!O610="","",'Paste SD Data'!O610)</f>
        <v>OBC</v>
      </c>
    </row>
    <row r="614" spans="1:11" ht="30" customHeight="1" x14ac:dyDescent="0.25">
      <c r="A614" s="25">
        <f>IF(Table1[[#This Row],[Name of Student]]="","",ROWS($A$1:A610))</f>
        <v>610</v>
      </c>
      <c r="B614" s="26">
        <f>IF('Paste SD Data'!A611="","",'Paste SD Data'!A611)</f>
        <v>11</v>
      </c>
      <c r="C614" s="26" t="str">
        <f>IF('Paste SD Data'!B611="","",'Paste SD Data'!B611)</f>
        <v>D</v>
      </c>
      <c r="D614" s="26">
        <f>IF('Paste SD Data'!C611="","",'Paste SD Data'!C611)</f>
        <v>13789</v>
      </c>
      <c r="E614" s="27" t="str">
        <f>IF('Paste SD Data'!E611="","",UPPER('Paste SD Data'!E611))</f>
        <v>PARAS NATRAJ</v>
      </c>
      <c r="F614" s="27" t="str">
        <f>IF('Paste SD Data'!G611="","",UPPER('Paste SD Data'!G611))</f>
        <v>HEMRAJ NATRAJ</v>
      </c>
      <c r="G614" s="27" t="str">
        <f>IF('Paste SD Data'!H611="","",UPPER('Paste SD Data'!H611))</f>
        <v>KANKU DEVI</v>
      </c>
      <c r="H614" s="26" t="str">
        <f>IF('Paste SD Data'!I611="","",IF('Paste SD Data'!I611="M","BOY","GIRL"))</f>
        <v>BOY</v>
      </c>
      <c r="I614" s="28">
        <f>IF('Paste SD Data'!J611="","",'Paste SD Data'!J611)</f>
        <v>38693</v>
      </c>
      <c r="J614" s="34">
        <f t="shared" si="9"/>
        <v>1040</v>
      </c>
      <c r="K614" s="29" t="str">
        <f>IF('Paste SD Data'!O611="","",'Paste SD Data'!O611)</f>
        <v>SC</v>
      </c>
    </row>
    <row r="615" spans="1:11" ht="30" customHeight="1" x14ac:dyDescent="0.25">
      <c r="A615" s="25">
        <f>IF(Table1[[#This Row],[Name of Student]]="","",ROWS($A$1:A611))</f>
        <v>611</v>
      </c>
      <c r="B615" s="26">
        <f>IF('Paste SD Data'!A612="","",'Paste SD Data'!A612)</f>
        <v>11</v>
      </c>
      <c r="C615" s="26" t="str">
        <f>IF('Paste SD Data'!B612="","",'Paste SD Data'!B612)</f>
        <v>D</v>
      </c>
      <c r="D615" s="26">
        <f>IF('Paste SD Data'!C612="","",'Paste SD Data'!C612)</f>
        <v>13258</v>
      </c>
      <c r="E615" s="27" t="str">
        <f>IF('Paste SD Data'!E612="","",UPPER('Paste SD Data'!E612))</f>
        <v>PRABHU LAL</v>
      </c>
      <c r="F615" s="27" t="str">
        <f>IF('Paste SD Data'!G612="","",UPPER('Paste SD Data'!G612))</f>
        <v>NARAYAN LAL</v>
      </c>
      <c r="G615" s="27" t="str">
        <f>IF('Paste SD Data'!H612="","",UPPER('Paste SD Data'!H612))</f>
        <v>DEU DEVI</v>
      </c>
      <c r="H615" s="26" t="str">
        <f>IF('Paste SD Data'!I612="","",IF('Paste SD Data'!I612="M","BOY","GIRL"))</f>
        <v>BOY</v>
      </c>
      <c r="I615" s="28">
        <f>IF('Paste SD Data'!J612="","",'Paste SD Data'!J612)</f>
        <v>38492</v>
      </c>
      <c r="J615" s="34">
        <f t="shared" si="9"/>
        <v>1041</v>
      </c>
      <c r="K615" s="29" t="str">
        <f>IF('Paste SD Data'!O612="","",'Paste SD Data'!O612)</f>
        <v>OBC</v>
      </c>
    </row>
    <row r="616" spans="1:11" ht="30" customHeight="1" x14ac:dyDescent="0.25">
      <c r="A616" s="25">
        <f>IF(Table1[[#This Row],[Name of Student]]="","",ROWS($A$1:A612))</f>
        <v>612</v>
      </c>
      <c r="B616" s="26">
        <f>IF('Paste SD Data'!A613="","",'Paste SD Data'!A613)</f>
        <v>11</v>
      </c>
      <c r="C616" s="26" t="str">
        <f>IF('Paste SD Data'!B613="","",'Paste SD Data'!B613)</f>
        <v>D</v>
      </c>
      <c r="D616" s="26">
        <f>IF('Paste SD Data'!C613="","",'Paste SD Data'!C613)</f>
        <v>13838</v>
      </c>
      <c r="E616" s="27" t="str">
        <f>IF('Paste SD Data'!E613="","",UPPER('Paste SD Data'!E613))</f>
        <v>PRANJAL SINGH</v>
      </c>
      <c r="F616" s="27" t="str">
        <f>IF('Paste SD Data'!G613="","",UPPER('Paste SD Data'!G613))</f>
        <v>LAL SINGH TANK</v>
      </c>
      <c r="G616" s="27" t="str">
        <f>IF('Paste SD Data'!H613="","",UPPER('Paste SD Data'!H613))</f>
        <v>HEMLATA</v>
      </c>
      <c r="H616" s="26" t="str">
        <f>IF('Paste SD Data'!I613="","",IF('Paste SD Data'!I613="M","BOY","GIRL"))</f>
        <v>GIRL</v>
      </c>
      <c r="I616" s="28">
        <f>IF('Paste SD Data'!J613="","",'Paste SD Data'!J613)</f>
        <v>38929</v>
      </c>
      <c r="J616" s="34">
        <f t="shared" si="9"/>
        <v>1042</v>
      </c>
      <c r="K616" s="29" t="str">
        <f>IF('Paste SD Data'!O613="","",'Paste SD Data'!O613)</f>
        <v>OBC</v>
      </c>
    </row>
    <row r="617" spans="1:11" ht="30" customHeight="1" x14ac:dyDescent="0.25">
      <c r="A617" s="25">
        <f>IF(Table1[[#This Row],[Name of Student]]="","",ROWS($A$1:A613))</f>
        <v>613</v>
      </c>
      <c r="B617" s="26">
        <f>IF('Paste SD Data'!A614="","",'Paste SD Data'!A614)</f>
        <v>11</v>
      </c>
      <c r="C617" s="26" t="str">
        <f>IF('Paste SD Data'!B614="","",'Paste SD Data'!B614)</f>
        <v>D</v>
      </c>
      <c r="D617" s="26">
        <f>IF('Paste SD Data'!C614="","",'Paste SD Data'!C614)</f>
        <v>13787</v>
      </c>
      <c r="E617" s="27" t="str">
        <f>IF('Paste SD Data'!E614="","",UPPER('Paste SD Data'!E614))</f>
        <v>PRIYANSHI JOSHI</v>
      </c>
      <c r="F617" s="27" t="str">
        <f>IF('Paste SD Data'!G614="","",UPPER('Paste SD Data'!G614))</f>
        <v>MADHUSUDAN JOSHI</v>
      </c>
      <c r="G617" s="27" t="str">
        <f>IF('Paste SD Data'!H614="","",UPPER('Paste SD Data'!H614))</f>
        <v>NAGINA JOSHI</v>
      </c>
      <c r="H617" s="26" t="str">
        <f>IF('Paste SD Data'!I614="","",IF('Paste SD Data'!I614="M","BOY","GIRL"))</f>
        <v>GIRL</v>
      </c>
      <c r="I617" s="28">
        <f>IF('Paste SD Data'!J614="","",'Paste SD Data'!J614)</f>
        <v>39320</v>
      </c>
      <c r="J617" s="34">
        <f t="shared" si="9"/>
        <v>1043</v>
      </c>
      <c r="K617" s="29" t="str">
        <f>IF('Paste SD Data'!O614="","",'Paste SD Data'!O614)</f>
        <v>GEN</v>
      </c>
    </row>
    <row r="618" spans="1:11" ht="30" customHeight="1" x14ac:dyDescent="0.25">
      <c r="A618" s="25">
        <f>IF(Table1[[#This Row],[Name of Student]]="","",ROWS($A$1:A614))</f>
        <v>614</v>
      </c>
      <c r="B618" s="26">
        <f>IF('Paste SD Data'!A615="","",'Paste SD Data'!A615)</f>
        <v>11</v>
      </c>
      <c r="C618" s="26" t="str">
        <f>IF('Paste SD Data'!B615="","",'Paste SD Data'!B615)</f>
        <v>D</v>
      </c>
      <c r="D618" s="26">
        <f>IF('Paste SD Data'!C615="","",'Paste SD Data'!C615)</f>
        <v>13189</v>
      </c>
      <c r="E618" s="27" t="str">
        <f>IF('Paste SD Data'!E615="","",UPPER('Paste SD Data'!E615))</f>
        <v>RAHUL GUVARIYA</v>
      </c>
      <c r="F618" s="27" t="str">
        <f>IF('Paste SD Data'!G615="","",UPPER('Paste SD Data'!G615))</f>
        <v>JAGDISH CHANDRA</v>
      </c>
      <c r="G618" s="27" t="str">
        <f>IF('Paste SD Data'!H615="","",UPPER('Paste SD Data'!H615))</f>
        <v>KELA DEVI</v>
      </c>
      <c r="H618" s="26" t="str">
        <f>IF('Paste SD Data'!I615="","",IF('Paste SD Data'!I615="M","BOY","GIRL"))</f>
        <v>BOY</v>
      </c>
      <c r="I618" s="28">
        <f>IF('Paste SD Data'!J615="","",'Paste SD Data'!J615)</f>
        <v>38791</v>
      </c>
      <c r="J618" s="34">
        <f t="shared" si="9"/>
        <v>1044</v>
      </c>
      <c r="K618" s="29" t="str">
        <f>IF('Paste SD Data'!O615="","",'Paste SD Data'!O615)</f>
        <v>SC</v>
      </c>
    </row>
    <row r="619" spans="1:11" ht="30" customHeight="1" x14ac:dyDescent="0.25">
      <c r="A619" s="25">
        <f>IF(Table1[[#This Row],[Name of Student]]="","",ROWS($A$1:A615))</f>
        <v>615</v>
      </c>
      <c r="B619" s="26">
        <f>IF('Paste SD Data'!A616="","",'Paste SD Data'!A616)</f>
        <v>11</v>
      </c>
      <c r="C619" s="26" t="str">
        <f>IF('Paste SD Data'!B616="","",'Paste SD Data'!B616)</f>
        <v>D</v>
      </c>
      <c r="D619" s="26">
        <f>IF('Paste SD Data'!C616="","",'Paste SD Data'!C616)</f>
        <v>12318</v>
      </c>
      <c r="E619" s="27" t="str">
        <f>IF('Paste SD Data'!E616="","",UPPER('Paste SD Data'!E616))</f>
        <v>RAJ MERUTHA</v>
      </c>
      <c r="F619" s="27" t="str">
        <f>IF('Paste SD Data'!G616="","",UPPER('Paste SD Data'!G616))</f>
        <v>BHERU LAL</v>
      </c>
      <c r="G619" s="27" t="str">
        <f>IF('Paste SD Data'!H616="","",UPPER('Paste SD Data'!H616))</f>
        <v>VIDHYA DEVI</v>
      </c>
      <c r="H619" s="26" t="str">
        <f>IF('Paste SD Data'!I616="","",IF('Paste SD Data'!I616="M","BOY","GIRL"))</f>
        <v>BOY</v>
      </c>
      <c r="I619" s="28">
        <f>IF('Paste SD Data'!J616="","",'Paste SD Data'!J616)</f>
        <v>38029</v>
      </c>
      <c r="J619" s="34">
        <f t="shared" si="9"/>
        <v>1045</v>
      </c>
      <c r="K619" s="29" t="str">
        <f>IF('Paste SD Data'!O616="","",'Paste SD Data'!O616)</f>
        <v>SC</v>
      </c>
    </row>
    <row r="620" spans="1:11" ht="30" customHeight="1" x14ac:dyDescent="0.25">
      <c r="A620" s="25">
        <f>IF(Table1[[#This Row],[Name of Student]]="","",ROWS($A$1:A616))</f>
        <v>616</v>
      </c>
      <c r="B620" s="26">
        <f>IF('Paste SD Data'!A617="","",'Paste SD Data'!A617)</f>
        <v>11</v>
      </c>
      <c r="C620" s="26" t="str">
        <f>IF('Paste SD Data'!B617="","",'Paste SD Data'!B617)</f>
        <v>D</v>
      </c>
      <c r="D620" s="26">
        <f>IF('Paste SD Data'!C617="","",'Paste SD Data'!C617)</f>
        <v>13312</v>
      </c>
      <c r="E620" s="27" t="str">
        <f>IF('Paste SD Data'!E617="","",UPPER('Paste SD Data'!E617))</f>
        <v>RAJENDRA SINGH</v>
      </c>
      <c r="F620" s="27" t="str">
        <f>IF('Paste SD Data'!G617="","",UPPER('Paste SD Data'!G617))</f>
        <v>LAXMAN SINGH</v>
      </c>
      <c r="G620" s="27" t="str">
        <f>IF('Paste SD Data'!H617="","",UPPER('Paste SD Data'!H617))</f>
        <v>KAMALA DEVI</v>
      </c>
      <c r="H620" s="26" t="str">
        <f>IF('Paste SD Data'!I617="","",IF('Paste SD Data'!I617="M","BOY","GIRL"))</f>
        <v>BOY</v>
      </c>
      <c r="I620" s="28">
        <f>IF('Paste SD Data'!J617="","",'Paste SD Data'!J617)</f>
        <v>38660</v>
      </c>
      <c r="J620" s="34">
        <f t="shared" si="9"/>
        <v>1046</v>
      </c>
      <c r="K620" s="29" t="str">
        <f>IF('Paste SD Data'!O617="","",'Paste SD Data'!O617)</f>
        <v>OBC</v>
      </c>
    </row>
    <row r="621" spans="1:11" ht="30" customHeight="1" x14ac:dyDescent="0.25">
      <c r="A621" s="25">
        <f>IF(Table1[[#This Row],[Name of Student]]="","",ROWS($A$1:A617))</f>
        <v>617</v>
      </c>
      <c r="B621" s="26">
        <f>IF('Paste SD Data'!A618="","",'Paste SD Data'!A618)</f>
        <v>11</v>
      </c>
      <c r="C621" s="26" t="str">
        <f>IF('Paste SD Data'!B618="","",'Paste SD Data'!B618)</f>
        <v>D</v>
      </c>
      <c r="D621" s="26">
        <f>IF('Paste SD Data'!C618="","",'Paste SD Data'!C618)</f>
        <v>13313</v>
      </c>
      <c r="E621" s="27" t="str">
        <f>IF('Paste SD Data'!E618="","",UPPER('Paste SD Data'!E618))</f>
        <v>RAJU SINGH</v>
      </c>
      <c r="F621" s="27" t="str">
        <f>IF('Paste SD Data'!G618="","",UPPER('Paste SD Data'!G618))</f>
        <v>HARI SINGH</v>
      </c>
      <c r="G621" s="27" t="str">
        <f>IF('Paste SD Data'!H618="","",UPPER('Paste SD Data'!H618))</f>
        <v>SHANTA DEVI</v>
      </c>
      <c r="H621" s="26" t="str">
        <f>IF('Paste SD Data'!I618="","",IF('Paste SD Data'!I618="M","BOY","GIRL"))</f>
        <v>BOY</v>
      </c>
      <c r="I621" s="28">
        <f>IF('Paste SD Data'!J618="","",'Paste SD Data'!J618)</f>
        <v>38575</v>
      </c>
      <c r="J621" s="34">
        <f t="shared" si="9"/>
        <v>1047</v>
      </c>
      <c r="K621" s="29" t="str">
        <f>IF('Paste SD Data'!O618="","",'Paste SD Data'!O618)</f>
        <v>OBC</v>
      </c>
    </row>
    <row r="622" spans="1:11" ht="30" customHeight="1" x14ac:dyDescent="0.25">
      <c r="A622" s="25">
        <f>IF(Table1[[#This Row],[Name of Student]]="","",ROWS($A$1:A618))</f>
        <v>618</v>
      </c>
      <c r="B622" s="26">
        <f>IF('Paste SD Data'!A619="","",'Paste SD Data'!A619)</f>
        <v>11</v>
      </c>
      <c r="C622" s="26" t="str">
        <f>IF('Paste SD Data'!B619="","",'Paste SD Data'!B619)</f>
        <v>D</v>
      </c>
      <c r="D622" s="26">
        <f>IF('Paste SD Data'!C619="","",'Paste SD Data'!C619)</f>
        <v>13979</v>
      </c>
      <c r="E622" s="27" t="str">
        <f>IF('Paste SD Data'!E619="","",UPPER('Paste SD Data'!E619))</f>
        <v>RAJVEER SINGH PANWAR</v>
      </c>
      <c r="F622" s="27" t="str">
        <f>IF('Paste SD Data'!G619="","",UPPER('Paste SD Data'!G619))</f>
        <v>GURUNAM SINGH PANWAR</v>
      </c>
      <c r="G622" s="27" t="str">
        <f>IF('Paste SD Data'!H619="","",UPPER('Paste SD Data'!H619))</f>
        <v>MAMTA KANWAR</v>
      </c>
      <c r="H622" s="26" t="str">
        <f>IF('Paste SD Data'!I619="","",IF('Paste SD Data'!I619="M","BOY","GIRL"))</f>
        <v>BOY</v>
      </c>
      <c r="I622" s="28">
        <f>IF('Paste SD Data'!J619="","",'Paste SD Data'!J619)</f>
        <v>38873</v>
      </c>
      <c r="J622" s="34">
        <f t="shared" si="9"/>
        <v>1048</v>
      </c>
      <c r="K622" s="29" t="str">
        <f>IF('Paste SD Data'!O619="","",'Paste SD Data'!O619)</f>
        <v>OBC</v>
      </c>
    </row>
    <row r="623" spans="1:11" ht="30" customHeight="1" x14ac:dyDescent="0.25">
      <c r="A623" s="25">
        <f>IF(Table1[[#This Row],[Name of Student]]="","",ROWS($A$1:A619))</f>
        <v>619</v>
      </c>
      <c r="B623" s="26">
        <f>IF('Paste SD Data'!A620="","",'Paste SD Data'!A620)</f>
        <v>11</v>
      </c>
      <c r="C623" s="26" t="str">
        <f>IF('Paste SD Data'!B620="","",'Paste SD Data'!B620)</f>
        <v>D</v>
      </c>
      <c r="D623" s="26">
        <f>IF('Paste SD Data'!C620="","",'Paste SD Data'!C620)</f>
        <v>13954</v>
      </c>
      <c r="E623" s="27" t="str">
        <f>IF('Paste SD Data'!E620="","",UPPER('Paste SD Data'!E620))</f>
        <v>RIDHIMA CHAUHAN</v>
      </c>
      <c r="F623" s="27" t="str">
        <f>IF('Paste SD Data'!G620="","",UPPER('Paste SD Data'!G620))</f>
        <v>HARI SINGH CHAUHAN</v>
      </c>
      <c r="G623" s="27" t="str">
        <f>IF('Paste SD Data'!H620="","",UPPER('Paste SD Data'!H620))</f>
        <v>SEEMA KANWAR</v>
      </c>
      <c r="H623" s="26" t="str">
        <f>IF('Paste SD Data'!I620="","",IF('Paste SD Data'!I620="M","BOY","GIRL"))</f>
        <v>GIRL</v>
      </c>
      <c r="I623" s="28">
        <f>IF('Paste SD Data'!J620="","",'Paste SD Data'!J620)</f>
        <v>39039</v>
      </c>
      <c r="J623" s="34">
        <f t="shared" si="9"/>
        <v>1049</v>
      </c>
      <c r="K623" s="29" t="str">
        <f>IF('Paste SD Data'!O620="","",'Paste SD Data'!O620)</f>
        <v>OBC</v>
      </c>
    </row>
    <row r="624" spans="1:11" ht="30" customHeight="1" x14ac:dyDescent="0.25">
      <c r="A624" s="25">
        <f>IF(Table1[[#This Row],[Name of Student]]="","",ROWS($A$1:A620))</f>
        <v>620</v>
      </c>
      <c r="B624" s="26">
        <f>IF('Paste SD Data'!A621="","",'Paste SD Data'!A621)</f>
        <v>11</v>
      </c>
      <c r="C624" s="26" t="str">
        <f>IF('Paste SD Data'!B621="","",'Paste SD Data'!B621)</f>
        <v>D</v>
      </c>
      <c r="D624" s="26">
        <f>IF('Paste SD Data'!C621="","",'Paste SD Data'!C621)</f>
        <v>13894</v>
      </c>
      <c r="E624" s="27" t="str">
        <f>IF('Paste SD Data'!E621="","",UPPER('Paste SD Data'!E621))</f>
        <v>RISHABH CHANDEL</v>
      </c>
      <c r="F624" s="27" t="str">
        <f>IF('Paste SD Data'!G621="","",UPPER('Paste SD Data'!G621))</f>
        <v>PARKASH CHAND CHANDEL</v>
      </c>
      <c r="G624" s="27" t="str">
        <f>IF('Paste SD Data'!H621="","",UPPER('Paste SD Data'!H621))</f>
        <v>TARA DEVI CHANDEL</v>
      </c>
      <c r="H624" s="26" t="str">
        <f>IF('Paste SD Data'!I621="","",IF('Paste SD Data'!I621="M","BOY","GIRL"))</f>
        <v>BOY</v>
      </c>
      <c r="I624" s="28">
        <f>IF('Paste SD Data'!J621="","",'Paste SD Data'!J621)</f>
        <v>38607</v>
      </c>
      <c r="J624" s="34">
        <f t="shared" si="9"/>
        <v>1050</v>
      </c>
      <c r="K624" s="29" t="str">
        <f>IF('Paste SD Data'!O621="","",'Paste SD Data'!O621)</f>
        <v>SC</v>
      </c>
    </row>
    <row r="625" spans="1:11" ht="30" customHeight="1" x14ac:dyDescent="0.25">
      <c r="A625" s="25">
        <f>IF(Table1[[#This Row],[Name of Student]]="","",ROWS($A$1:A621))</f>
        <v>621</v>
      </c>
      <c r="B625" s="26">
        <f>IF('Paste SD Data'!A622="","",'Paste SD Data'!A622)</f>
        <v>11</v>
      </c>
      <c r="C625" s="26" t="str">
        <f>IF('Paste SD Data'!B622="","",'Paste SD Data'!B622)</f>
        <v>D</v>
      </c>
      <c r="D625" s="26">
        <f>IF('Paste SD Data'!C622="","",'Paste SD Data'!C622)</f>
        <v>13542</v>
      </c>
      <c r="E625" s="27" t="str">
        <f>IF('Paste SD Data'!E622="","",UPPER('Paste SD Data'!E622))</f>
        <v>ROHIT SUTHAR</v>
      </c>
      <c r="F625" s="27" t="str">
        <f>IF('Paste SD Data'!G622="","",UPPER('Paste SD Data'!G622))</f>
        <v>LADU LAL</v>
      </c>
      <c r="G625" s="27" t="str">
        <f>IF('Paste SD Data'!H622="","",UPPER('Paste SD Data'!H622))</f>
        <v>PARAS DEVI</v>
      </c>
      <c r="H625" s="26" t="str">
        <f>IF('Paste SD Data'!I622="","",IF('Paste SD Data'!I622="M","BOY","GIRL"))</f>
        <v>BOY</v>
      </c>
      <c r="I625" s="28">
        <f>IF('Paste SD Data'!J622="","",'Paste SD Data'!J622)</f>
        <v>38718</v>
      </c>
      <c r="J625" s="34">
        <f t="shared" si="9"/>
        <v>1051</v>
      </c>
      <c r="K625" s="29" t="str">
        <f>IF('Paste SD Data'!O622="","",'Paste SD Data'!O622)</f>
        <v>OBC</v>
      </c>
    </row>
    <row r="626" spans="1:11" ht="30" customHeight="1" x14ac:dyDescent="0.25">
      <c r="A626" s="25">
        <f>IF(Table1[[#This Row],[Name of Student]]="","",ROWS($A$1:A622))</f>
        <v>622</v>
      </c>
      <c r="B626" s="26">
        <f>IF('Paste SD Data'!A623="","",'Paste SD Data'!A623)</f>
        <v>11</v>
      </c>
      <c r="C626" s="26" t="str">
        <f>IF('Paste SD Data'!B623="","",'Paste SD Data'!B623)</f>
        <v>D</v>
      </c>
      <c r="D626" s="26">
        <f>IF('Paste SD Data'!C623="","",'Paste SD Data'!C623)</f>
        <v>13281</v>
      </c>
      <c r="E626" s="27" t="str">
        <f>IF('Paste SD Data'!E623="","",UPPER('Paste SD Data'!E623))</f>
        <v>SARFARAJ KHAN</v>
      </c>
      <c r="F626" s="27" t="str">
        <f>IF('Paste SD Data'!G623="","",UPPER('Paste SD Data'!G623))</f>
        <v>RUSTAM KHAN</v>
      </c>
      <c r="G626" s="27" t="str">
        <f>IF('Paste SD Data'!H623="","",UPPER('Paste SD Data'!H623))</f>
        <v>RAJIYA BANU</v>
      </c>
      <c r="H626" s="26" t="str">
        <f>IF('Paste SD Data'!I623="","",IF('Paste SD Data'!I623="M","BOY","GIRL"))</f>
        <v>BOY</v>
      </c>
      <c r="I626" s="28">
        <f>IF('Paste SD Data'!J623="","",'Paste SD Data'!J623)</f>
        <v>38231</v>
      </c>
      <c r="J626" s="34">
        <f t="shared" si="9"/>
        <v>1052</v>
      </c>
      <c r="K626" s="29" t="str">
        <f>IF('Paste SD Data'!O623="","",'Paste SD Data'!O623)</f>
        <v>GEN</v>
      </c>
    </row>
    <row r="627" spans="1:11" ht="30" customHeight="1" x14ac:dyDescent="0.25">
      <c r="A627" s="25">
        <f>IF(Table1[[#This Row],[Name of Student]]="","",ROWS($A$1:A623))</f>
        <v>623</v>
      </c>
      <c r="B627" s="26">
        <f>IF('Paste SD Data'!A624="","",'Paste SD Data'!A624)</f>
        <v>11</v>
      </c>
      <c r="C627" s="26" t="str">
        <f>IF('Paste SD Data'!B624="","",'Paste SD Data'!B624)</f>
        <v>D</v>
      </c>
      <c r="D627" s="26">
        <f>IF('Paste SD Data'!C624="","",'Paste SD Data'!C624)</f>
        <v>13976</v>
      </c>
      <c r="E627" s="27" t="str">
        <f>IF('Paste SD Data'!E624="","",UPPER('Paste SD Data'!E624))</f>
        <v>SHOYAB MOHAMMAD</v>
      </c>
      <c r="F627" s="27" t="str">
        <f>IF('Paste SD Data'!G624="","",UPPER('Paste SD Data'!G624))</f>
        <v>IQBAL MOHAMMAD</v>
      </c>
      <c r="G627" s="27" t="str">
        <f>IF('Paste SD Data'!H624="","",UPPER('Paste SD Data'!H624))</f>
        <v>HASINA BANU</v>
      </c>
      <c r="H627" s="26" t="str">
        <f>IF('Paste SD Data'!I624="","",IF('Paste SD Data'!I624="M","BOY","GIRL"))</f>
        <v>BOY</v>
      </c>
      <c r="I627" s="28">
        <f>IF('Paste SD Data'!J624="","",'Paste SD Data'!J624)</f>
        <v>38029</v>
      </c>
      <c r="J627" s="34">
        <f t="shared" si="9"/>
        <v>1053</v>
      </c>
      <c r="K627" s="29" t="str">
        <f>IF('Paste SD Data'!O624="","",'Paste SD Data'!O624)</f>
        <v>OBC</v>
      </c>
    </row>
    <row r="628" spans="1:11" ht="30" customHeight="1" x14ac:dyDescent="0.25">
      <c r="A628" s="25">
        <f>IF(Table1[[#This Row],[Name of Student]]="","",ROWS($A$1:A624))</f>
        <v>624</v>
      </c>
      <c r="B628" s="26">
        <f>IF('Paste SD Data'!A625="","",'Paste SD Data'!A625)</f>
        <v>11</v>
      </c>
      <c r="C628" s="26" t="str">
        <f>IF('Paste SD Data'!B625="","",'Paste SD Data'!B625)</f>
        <v>D</v>
      </c>
      <c r="D628" s="26">
        <f>IF('Paste SD Data'!C625="","",'Paste SD Data'!C625)</f>
        <v>13187</v>
      </c>
      <c r="E628" s="27" t="str">
        <f>IF('Paste SD Data'!E625="","",UPPER('Paste SD Data'!E625))</f>
        <v>SUMIT KUMAR HARIJAN</v>
      </c>
      <c r="F628" s="27" t="str">
        <f>IF('Paste SD Data'!G625="","",UPPER('Paste SD Data'!G625))</f>
        <v>LALIT KUMAR</v>
      </c>
      <c r="G628" s="27" t="str">
        <f>IF('Paste SD Data'!H625="","",UPPER('Paste SD Data'!H625))</f>
        <v>GYANI DEVI</v>
      </c>
      <c r="H628" s="26" t="str">
        <f>IF('Paste SD Data'!I625="","",IF('Paste SD Data'!I625="M","BOY","GIRL"))</f>
        <v>BOY</v>
      </c>
      <c r="I628" s="28">
        <f>IF('Paste SD Data'!J625="","",'Paste SD Data'!J625)</f>
        <v>38012</v>
      </c>
      <c r="J628" s="34">
        <f t="shared" si="9"/>
        <v>1054</v>
      </c>
      <c r="K628" s="29" t="str">
        <f>IF('Paste SD Data'!O625="","",'Paste SD Data'!O625)</f>
        <v>SC</v>
      </c>
    </row>
    <row r="629" spans="1:11" ht="30" customHeight="1" x14ac:dyDescent="0.25">
      <c r="A629" s="25">
        <f>IF(Table1[[#This Row],[Name of Student]]="","",ROWS($A$1:A625))</f>
        <v>625</v>
      </c>
      <c r="B629" s="26">
        <f>IF('Paste SD Data'!A626="","",'Paste SD Data'!A626)</f>
        <v>11</v>
      </c>
      <c r="C629" s="26" t="str">
        <f>IF('Paste SD Data'!B626="","",'Paste SD Data'!B626)</f>
        <v>D</v>
      </c>
      <c r="D629" s="26">
        <f>IF('Paste SD Data'!C626="","",'Paste SD Data'!C626)</f>
        <v>13995</v>
      </c>
      <c r="E629" s="27" t="str">
        <f>IF('Paste SD Data'!E626="","",UPPER('Paste SD Data'!E626))</f>
        <v>SURENDRA SINGH SISODIYA</v>
      </c>
      <c r="F629" s="27" t="str">
        <f>IF('Paste SD Data'!G626="","",UPPER('Paste SD Data'!G626))</f>
        <v>CHHAGAN SINGH</v>
      </c>
      <c r="G629" s="27" t="str">
        <f>IF('Paste SD Data'!H626="","",UPPER('Paste SD Data'!H626))</f>
        <v>DURGA KANWAR</v>
      </c>
      <c r="H629" s="26" t="str">
        <f>IF('Paste SD Data'!I626="","",IF('Paste SD Data'!I626="M","BOY","GIRL"))</f>
        <v>BOY</v>
      </c>
      <c r="I629" s="28">
        <f>IF('Paste SD Data'!J626="","",'Paste SD Data'!J626)</f>
        <v>38444</v>
      </c>
      <c r="J629" s="34">
        <f t="shared" si="9"/>
        <v>1055</v>
      </c>
      <c r="K629" s="29" t="str">
        <f>IF('Paste SD Data'!O626="","",'Paste SD Data'!O626)</f>
        <v>OBC</v>
      </c>
    </row>
    <row r="630" spans="1:11" ht="30" customHeight="1" x14ac:dyDescent="0.25">
      <c r="A630" s="25">
        <f>IF(Table1[[#This Row],[Name of Student]]="","",ROWS($A$1:A626))</f>
        <v>626</v>
      </c>
      <c r="B630" s="26">
        <f>IF('Paste SD Data'!A627="","",'Paste SD Data'!A627)</f>
        <v>11</v>
      </c>
      <c r="C630" s="26" t="str">
        <f>IF('Paste SD Data'!B627="","",'Paste SD Data'!B627)</f>
        <v>D</v>
      </c>
      <c r="D630" s="26">
        <f>IF('Paste SD Data'!C627="","",'Paste SD Data'!C627)</f>
        <v>13364</v>
      </c>
      <c r="E630" s="27" t="str">
        <f>IF('Paste SD Data'!E627="","",UPPER('Paste SD Data'!E627))</f>
        <v>SURESH SINGH</v>
      </c>
      <c r="F630" s="27" t="str">
        <f>IF('Paste SD Data'!G627="","",UPPER('Paste SD Data'!G627))</f>
        <v>LAXMAN SINGH</v>
      </c>
      <c r="G630" s="27" t="str">
        <f>IF('Paste SD Data'!H627="","",UPPER('Paste SD Data'!H627))</f>
        <v>LAXMI DEVI</v>
      </c>
      <c r="H630" s="26" t="str">
        <f>IF('Paste SD Data'!I627="","",IF('Paste SD Data'!I627="M","BOY","GIRL"))</f>
        <v>BOY</v>
      </c>
      <c r="I630" s="28">
        <f>IF('Paste SD Data'!J627="","",'Paste SD Data'!J627)</f>
        <v>38523</v>
      </c>
      <c r="J630" s="34">
        <f t="shared" si="9"/>
        <v>1056</v>
      </c>
      <c r="K630" s="29" t="str">
        <f>IF('Paste SD Data'!O627="","",'Paste SD Data'!O627)</f>
        <v>OBC</v>
      </c>
    </row>
    <row r="631" spans="1:11" ht="30" customHeight="1" x14ac:dyDescent="0.25">
      <c r="A631" s="25">
        <f>IF(Table1[[#This Row],[Name of Student]]="","",ROWS($A$1:A627))</f>
        <v>627</v>
      </c>
      <c r="B631" s="26">
        <f>IF('Paste SD Data'!A628="","",'Paste SD Data'!A628)</f>
        <v>11</v>
      </c>
      <c r="C631" s="26" t="str">
        <f>IF('Paste SD Data'!B628="","",'Paste SD Data'!B628)</f>
        <v>D</v>
      </c>
      <c r="D631" s="26">
        <f>IF('Paste SD Data'!C628="","",'Paste SD Data'!C628)</f>
        <v>13711</v>
      </c>
      <c r="E631" s="27" t="str">
        <f>IF('Paste SD Data'!E628="","",UPPER('Paste SD Data'!E628))</f>
        <v>VIDHYA REGAR</v>
      </c>
      <c r="F631" s="27" t="str">
        <f>IF('Paste SD Data'!G628="","",UPPER('Paste SD Data'!G628))</f>
        <v>RAM LAL REGAR</v>
      </c>
      <c r="G631" s="27" t="str">
        <f>IF('Paste SD Data'!H628="","",UPPER('Paste SD Data'!H628))</f>
        <v>SHANTA DEVI</v>
      </c>
      <c r="H631" s="26" t="str">
        <f>IF('Paste SD Data'!I628="","",IF('Paste SD Data'!I628="M","BOY","GIRL"))</f>
        <v>GIRL</v>
      </c>
      <c r="I631" s="28">
        <f>IF('Paste SD Data'!J628="","",'Paste SD Data'!J628)</f>
        <v>38272</v>
      </c>
      <c r="J631" s="34">
        <f t="shared" si="9"/>
        <v>1057</v>
      </c>
      <c r="K631" s="29" t="str">
        <f>IF('Paste SD Data'!O628="","",'Paste SD Data'!O628)</f>
        <v>SC</v>
      </c>
    </row>
    <row r="632" spans="1:11" ht="30" customHeight="1" x14ac:dyDescent="0.25">
      <c r="A632" s="25">
        <f>IF(Table1[[#This Row],[Name of Student]]="","",ROWS($A$1:A628))</f>
        <v>628</v>
      </c>
      <c r="B632" s="26">
        <f>IF('Paste SD Data'!A629="","",'Paste SD Data'!A629)</f>
        <v>11</v>
      </c>
      <c r="C632" s="26" t="str">
        <f>IF('Paste SD Data'!B629="","",'Paste SD Data'!B629)</f>
        <v>D</v>
      </c>
      <c r="D632" s="26">
        <f>IF('Paste SD Data'!C629="","",'Paste SD Data'!C629)</f>
        <v>13646</v>
      </c>
      <c r="E632" s="27" t="str">
        <f>IF('Paste SD Data'!E629="","",UPPER('Paste SD Data'!E629))</f>
        <v>VIJAY NARANIYA</v>
      </c>
      <c r="F632" s="27" t="str">
        <f>IF('Paste SD Data'!G629="","",UPPER('Paste SD Data'!G629))</f>
        <v>GOPAL NARANIYA</v>
      </c>
      <c r="G632" s="27" t="str">
        <f>IF('Paste SD Data'!H629="","",UPPER('Paste SD Data'!H629))</f>
        <v>LAXMI NARANIYA</v>
      </c>
      <c r="H632" s="26" t="str">
        <f>IF('Paste SD Data'!I629="","",IF('Paste SD Data'!I629="M","BOY","GIRL"))</f>
        <v>BOY</v>
      </c>
      <c r="I632" s="28">
        <f>IF('Paste SD Data'!J629="","",'Paste SD Data'!J629)</f>
        <v>38564</v>
      </c>
      <c r="J632" s="34">
        <f t="shared" si="9"/>
        <v>1058</v>
      </c>
      <c r="K632" s="29" t="str">
        <f>IF('Paste SD Data'!O629="","",'Paste SD Data'!O629)</f>
        <v>GEN</v>
      </c>
    </row>
    <row r="633" spans="1:11" ht="30" customHeight="1" x14ac:dyDescent="0.25">
      <c r="A633" s="25">
        <f>IF(Table1[[#This Row],[Name of Student]]="","",ROWS($A$1:A629))</f>
        <v>629</v>
      </c>
      <c r="B633" s="26">
        <f>IF('Paste SD Data'!A630="","",'Paste SD Data'!A630)</f>
        <v>11</v>
      </c>
      <c r="C633" s="26" t="str">
        <f>IF('Paste SD Data'!B630="","",'Paste SD Data'!B630)</f>
        <v>D</v>
      </c>
      <c r="D633" s="26">
        <f>IF('Paste SD Data'!C630="","",'Paste SD Data'!C630)</f>
        <v>13975</v>
      </c>
      <c r="E633" s="27" t="str">
        <f>IF('Paste SD Data'!E630="","",UPPER('Paste SD Data'!E630))</f>
        <v>VIRENDRA HARIJAN</v>
      </c>
      <c r="F633" s="27" t="str">
        <f>IF('Paste SD Data'!G630="","",UPPER('Paste SD Data'!G630))</f>
        <v>ASHOK KUMAR</v>
      </c>
      <c r="G633" s="27" t="str">
        <f>IF('Paste SD Data'!H630="","",UPPER('Paste SD Data'!H630))</f>
        <v>LALI DEVI</v>
      </c>
      <c r="H633" s="26" t="str">
        <f>IF('Paste SD Data'!I630="","",IF('Paste SD Data'!I630="M","BOY","GIRL"))</f>
        <v>BOY</v>
      </c>
      <c r="I633" s="28">
        <f>IF('Paste SD Data'!J630="","",'Paste SD Data'!J630)</f>
        <v>37285</v>
      </c>
      <c r="J633" s="34">
        <f t="shared" si="9"/>
        <v>1059</v>
      </c>
      <c r="K633" s="29" t="str">
        <f>IF('Paste SD Data'!O630="","",'Paste SD Data'!O630)</f>
        <v>SC</v>
      </c>
    </row>
    <row r="634" spans="1:11" ht="30" customHeight="1" x14ac:dyDescent="0.25">
      <c r="A634" s="25">
        <f>IF(Table1[[#This Row],[Name of Student]]="","",ROWS($A$1:A630))</f>
        <v>630</v>
      </c>
      <c r="B634" s="26">
        <f>IF('Paste SD Data'!A631="","",'Paste SD Data'!A631)</f>
        <v>11</v>
      </c>
      <c r="C634" s="26" t="str">
        <f>IF('Paste SD Data'!B631="","",'Paste SD Data'!B631)</f>
        <v>D</v>
      </c>
      <c r="D634" s="26">
        <f>IF('Paste SD Data'!C631="","",'Paste SD Data'!C631)</f>
        <v>13895</v>
      </c>
      <c r="E634" s="27" t="str">
        <f>IF('Paste SD Data'!E631="","",UPPER('Paste SD Data'!E631))</f>
        <v>VIRENDRA RAJVEER SINGH</v>
      </c>
      <c r="F634" s="27" t="str">
        <f>IF('Paste SD Data'!G631="","",UPPER('Paste SD Data'!G631))</f>
        <v>BHAGWAT SINGH</v>
      </c>
      <c r="G634" s="27" t="str">
        <f>IF('Paste SD Data'!H631="","",UPPER('Paste SD Data'!H631))</f>
        <v>GULAB KANWAR</v>
      </c>
      <c r="H634" s="26" t="str">
        <f>IF('Paste SD Data'!I631="","",IF('Paste SD Data'!I631="M","BOY","GIRL"))</f>
        <v>BOY</v>
      </c>
      <c r="I634" s="28">
        <f>IF('Paste SD Data'!J631="","",'Paste SD Data'!J631)</f>
        <v>38801</v>
      </c>
      <c r="J634" s="34">
        <f t="shared" si="9"/>
        <v>1060</v>
      </c>
      <c r="K634" s="29" t="str">
        <f>IF('Paste SD Data'!O631="","",'Paste SD Data'!O631)</f>
        <v>OBC</v>
      </c>
    </row>
    <row r="635" spans="1:11" ht="30" customHeight="1" x14ac:dyDescent="0.25">
      <c r="A635" s="25">
        <f>IF(Table1[[#This Row],[Name of Student]]="","",ROWS($A$1:A631))</f>
        <v>631</v>
      </c>
      <c r="B635" s="26">
        <f>IF('Paste SD Data'!A632="","",'Paste SD Data'!A632)</f>
        <v>11</v>
      </c>
      <c r="C635" s="26" t="str">
        <f>IF('Paste SD Data'!B632="","",'Paste SD Data'!B632)</f>
        <v>D</v>
      </c>
      <c r="D635" s="26">
        <f>IF('Paste SD Data'!C632="","",'Paste SD Data'!C632)</f>
        <v>13190</v>
      </c>
      <c r="E635" s="27" t="str">
        <f>IF('Paste SD Data'!E632="","",UPPER('Paste SD Data'!E632))</f>
        <v>VISHAL KUMAR</v>
      </c>
      <c r="F635" s="27" t="str">
        <f>IF('Paste SD Data'!G632="","",UPPER('Paste SD Data'!G632))</f>
        <v>NEMI CHAND</v>
      </c>
      <c r="G635" s="27" t="str">
        <f>IF('Paste SD Data'!H632="","",UPPER('Paste SD Data'!H632))</f>
        <v>KAMLA DEVI</v>
      </c>
      <c r="H635" s="26" t="str">
        <f>IF('Paste SD Data'!I632="","",IF('Paste SD Data'!I632="M","BOY","GIRL"))</f>
        <v>BOY</v>
      </c>
      <c r="I635" s="28">
        <f>IF('Paste SD Data'!J632="","",'Paste SD Data'!J632)</f>
        <v>38462</v>
      </c>
      <c r="J635" s="34">
        <f t="shared" si="9"/>
        <v>1061</v>
      </c>
      <c r="K635" s="29" t="str">
        <f>IF('Paste SD Data'!O632="","",'Paste SD Data'!O632)</f>
        <v>OBC</v>
      </c>
    </row>
    <row r="636" spans="1:11" ht="30" customHeight="1" x14ac:dyDescent="0.25">
      <c r="A636" s="25">
        <f>IF(Table1[[#This Row],[Name of Student]]="","",ROWS($A$1:A632))</f>
        <v>632</v>
      </c>
      <c r="B636" s="26">
        <f>IF('Paste SD Data'!A633="","",'Paste SD Data'!A633)</f>
        <v>11</v>
      </c>
      <c r="C636" s="26" t="str">
        <f>IF('Paste SD Data'!B633="","",'Paste SD Data'!B633)</f>
        <v>D</v>
      </c>
      <c r="D636" s="26">
        <f>IF('Paste SD Data'!C633="","",'Paste SD Data'!C633)</f>
        <v>13366</v>
      </c>
      <c r="E636" s="27" t="str">
        <f>IF('Paste SD Data'!E633="","",UPPER('Paste SD Data'!E633))</f>
        <v>VISHNU LOHAR</v>
      </c>
      <c r="F636" s="27" t="str">
        <f>IF('Paste SD Data'!G633="","",UPPER('Paste SD Data'!G633))</f>
        <v>SURESH CHANDRA LOHAR</v>
      </c>
      <c r="G636" s="27" t="str">
        <f>IF('Paste SD Data'!H633="","",UPPER('Paste SD Data'!H633))</f>
        <v>LEELA DEVI</v>
      </c>
      <c r="H636" s="26" t="str">
        <f>IF('Paste SD Data'!I633="","",IF('Paste SD Data'!I633="M","BOY","GIRL"))</f>
        <v>BOY</v>
      </c>
      <c r="I636" s="28">
        <f>IF('Paste SD Data'!J633="","",'Paste SD Data'!J633)</f>
        <v>38711</v>
      </c>
      <c r="J636" s="34">
        <f t="shared" si="9"/>
        <v>1062</v>
      </c>
      <c r="K636" s="29" t="str">
        <f>IF('Paste SD Data'!O633="","",'Paste SD Data'!O633)</f>
        <v>OBC</v>
      </c>
    </row>
    <row r="637" spans="1:11" ht="30" customHeight="1" x14ac:dyDescent="0.25">
      <c r="A637" s="25">
        <f>IF(Table1[[#This Row],[Name of Student]]="","",ROWS($A$1:A633))</f>
        <v>633</v>
      </c>
      <c r="B637" s="26">
        <f>IF('Paste SD Data'!A634="","",'Paste SD Data'!A634)</f>
        <v>12</v>
      </c>
      <c r="C637" s="26" t="str">
        <f>IF('Paste SD Data'!B634="","",'Paste SD Data'!B634)</f>
        <v>A</v>
      </c>
      <c r="D637" s="26">
        <f>IF('Paste SD Data'!C634="","",'Paste SD Data'!C634)</f>
        <v>13621</v>
      </c>
      <c r="E637" s="27" t="str">
        <f>IF('Paste SD Data'!E634="","",UPPER('Paste SD Data'!E634))</f>
        <v>ADITYA SHARMA</v>
      </c>
      <c r="F637" s="27" t="str">
        <f>IF('Paste SD Data'!G634="","",UPPER('Paste SD Data'!G634))</f>
        <v>KAMAL SHARMA</v>
      </c>
      <c r="G637" s="27" t="str">
        <f>IF('Paste SD Data'!H634="","",UPPER('Paste SD Data'!H634))</f>
        <v>SUNITA SHARMA</v>
      </c>
      <c r="H637" s="26" t="str">
        <f>IF('Paste SD Data'!I634="","",IF('Paste SD Data'!I634="M","BOY","GIRL"))</f>
        <v>BOY</v>
      </c>
      <c r="I637" s="28">
        <f>IF('Paste SD Data'!J634="","",'Paste SD Data'!J634)</f>
        <v>38365</v>
      </c>
      <c r="J637" s="34">
        <f t="shared" si="9"/>
        <v>1063</v>
      </c>
      <c r="K637" s="29" t="str">
        <f>IF('Paste SD Data'!O634="","",'Paste SD Data'!O634)</f>
        <v>GEN</v>
      </c>
    </row>
    <row r="638" spans="1:11" ht="30" customHeight="1" x14ac:dyDescent="0.25">
      <c r="A638" s="25">
        <f>IF(Table1[[#This Row],[Name of Student]]="","",ROWS($A$1:A634))</f>
        <v>634</v>
      </c>
      <c r="B638" s="26">
        <f>IF('Paste SD Data'!A635="","",'Paste SD Data'!A635)</f>
        <v>12</v>
      </c>
      <c r="C638" s="26" t="str">
        <f>IF('Paste SD Data'!B635="","",'Paste SD Data'!B635)</f>
        <v>A</v>
      </c>
      <c r="D638" s="26">
        <f>IF('Paste SD Data'!C635="","",'Paste SD Data'!C635)</f>
        <v>12819</v>
      </c>
      <c r="E638" s="27" t="str">
        <f>IF('Paste SD Data'!E635="","",UPPER('Paste SD Data'!E635))</f>
        <v>ARPIT MEWARA</v>
      </c>
      <c r="F638" s="27" t="str">
        <f>IF('Paste SD Data'!G635="","",UPPER('Paste SD Data'!G635))</f>
        <v>VIJAY KUMAR MEWARA</v>
      </c>
      <c r="G638" s="27" t="str">
        <f>IF('Paste SD Data'!H635="","",UPPER('Paste SD Data'!H635))</f>
        <v>DEEPIKA DEVI</v>
      </c>
      <c r="H638" s="26" t="str">
        <f>IF('Paste SD Data'!I635="","",IF('Paste SD Data'!I635="M","BOY","GIRL"))</f>
        <v>BOY</v>
      </c>
      <c r="I638" s="28">
        <f>IF('Paste SD Data'!J635="","",'Paste SD Data'!J635)</f>
        <v>38682</v>
      </c>
      <c r="J638" s="34">
        <f t="shared" si="9"/>
        <v>1064</v>
      </c>
      <c r="K638" s="29" t="str">
        <f>IF('Paste SD Data'!O635="","",'Paste SD Data'!O635)</f>
        <v>OBC</v>
      </c>
    </row>
    <row r="639" spans="1:11" ht="30" customHeight="1" x14ac:dyDescent="0.25">
      <c r="A639" s="25">
        <f>IF(Table1[[#This Row],[Name of Student]]="","",ROWS($A$1:A635))</f>
        <v>635</v>
      </c>
      <c r="B639" s="26">
        <f>IF('Paste SD Data'!A636="","",'Paste SD Data'!A636)</f>
        <v>12</v>
      </c>
      <c r="C639" s="26" t="str">
        <f>IF('Paste SD Data'!B636="","",'Paste SD Data'!B636)</f>
        <v>A</v>
      </c>
      <c r="D639" s="26">
        <f>IF('Paste SD Data'!C636="","",'Paste SD Data'!C636)</f>
        <v>12936</v>
      </c>
      <c r="E639" s="27" t="str">
        <f>IF('Paste SD Data'!E636="","",UPPER('Paste SD Data'!E636))</f>
        <v>ASHOK KUMAR GANWARIYA</v>
      </c>
      <c r="F639" s="27" t="str">
        <f>IF('Paste SD Data'!G636="","",UPPER('Paste SD Data'!G636))</f>
        <v>MISHRI LAL</v>
      </c>
      <c r="G639" s="27" t="str">
        <f>IF('Paste SD Data'!H636="","",UPPER('Paste SD Data'!H636))</f>
        <v>SAVITA DEVI</v>
      </c>
      <c r="H639" s="26" t="str">
        <f>IF('Paste SD Data'!I636="","",IF('Paste SD Data'!I636="M","BOY","GIRL"))</f>
        <v>BOY</v>
      </c>
      <c r="I639" s="28">
        <f>IF('Paste SD Data'!J636="","",'Paste SD Data'!J636)</f>
        <v>38249</v>
      </c>
      <c r="J639" s="34">
        <f t="shared" si="9"/>
        <v>1065</v>
      </c>
      <c r="K639" s="29" t="str">
        <f>IF('Paste SD Data'!O636="","",'Paste SD Data'!O636)</f>
        <v>SC</v>
      </c>
    </row>
    <row r="640" spans="1:11" ht="30" customHeight="1" x14ac:dyDescent="0.25">
      <c r="A640" s="25">
        <f>IF(Table1[[#This Row],[Name of Student]]="","",ROWS($A$1:A636))</f>
        <v>636</v>
      </c>
      <c r="B640" s="26">
        <f>IF('Paste SD Data'!A637="","",'Paste SD Data'!A637)</f>
        <v>12</v>
      </c>
      <c r="C640" s="26" t="str">
        <f>IF('Paste SD Data'!B637="","",'Paste SD Data'!B637)</f>
        <v>A</v>
      </c>
      <c r="D640" s="26">
        <f>IF('Paste SD Data'!C637="","",'Paste SD Data'!C637)</f>
        <v>13636</v>
      </c>
      <c r="E640" s="27" t="str">
        <f>IF('Paste SD Data'!E637="","",UPPER('Paste SD Data'!E637))</f>
        <v>BHARAT SINGH</v>
      </c>
      <c r="F640" s="27" t="str">
        <f>IF('Paste SD Data'!G637="","",UPPER('Paste SD Data'!G637))</f>
        <v>MAHENDRA SINGH CHUNDAWAT</v>
      </c>
      <c r="G640" s="27" t="str">
        <f>IF('Paste SD Data'!H637="","",UPPER('Paste SD Data'!H637))</f>
        <v>KAILASH KANWAR</v>
      </c>
      <c r="H640" s="26" t="str">
        <f>IF('Paste SD Data'!I637="","",IF('Paste SD Data'!I637="M","BOY","GIRL"))</f>
        <v>BOY</v>
      </c>
      <c r="I640" s="28">
        <f>IF('Paste SD Data'!J637="","",'Paste SD Data'!J637)</f>
        <v>37660</v>
      </c>
      <c r="J640" s="34">
        <f t="shared" si="9"/>
        <v>1066</v>
      </c>
      <c r="K640" s="29" t="str">
        <f>IF('Paste SD Data'!O637="","",'Paste SD Data'!O637)</f>
        <v>GEN</v>
      </c>
    </row>
    <row r="641" spans="1:11" ht="30" customHeight="1" x14ac:dyDescent="0.25">
      <c r="A641" s="25">
        <f>IF(Table1[[#This Row],[Name of Student]]="","",ROWS($A$1:A637))</f>
        <v>637</v>
      </c>
      <c r="B641" s="26">
        <f>IF('Paste SD Data'!A638="","",'Paste SD Data'!A638)</f>
        <v>12</v>
      </c>
      <c r="C641" s="26" t="str">
        <f>IF('Paste SD Data'!B638="","",'Paste SD Data'!B638)</f>
        <v>A</v>
      </c>
      <c r="D641" s="26">
        <f>IF('Paste SD Data'!C638="","",'Paste SD Data'!C638)</f>
        <v>12892</v>
      </c>
      <c r="E641" s="27" t="str">
        <f>IF('Paste SD Data'!E638="","",UPPER('Paste SD Data'!E638))</f>
        <v>BHARATENDU HARISHCHANDRA VAISHNAV</v>
      </c>
      <c r="F641" s="27" t="str">
        <f>IF('Paste SD Data'!G638="","",UPPER('Paste SD Data'!G638))</f>
        <v>SHANKAR DAS VAISHNAV</v>
      </c>
      <c r="G641" s="27" t="str">
        <f>IF('Paste SD Data'!H638="","",UPPER('Paste SD Data'!H638))</f>
        <v>PUSHPA DEVI VAISHNAV</v>
      </c>
      <c r="H641" s="26" t="str">
        <f>IF('Paste SD Data'!I638="","",IF('Paste SD Data'!I638="M","BOY","GIRL"))</f>
        <v>BOY</v>
      </c>
      <c r="I641" s="28">
        <f>IF('Paste SD Data'!J638="","",'Paste SD Data'!J638)</f>
        <v>37733</v>
      </c>
      <c r="J641" s="34">
        <f t="shared" si="9"/>
        <v>1067</v>
      </c>
      <c r="K641" s="29" t="str">
        <f>IF('Paste SD Data'!O638="","",'Paste SD Data'!O638)</f>
        <v>OBC</v>
      </c>
    </row>
    <row r="642" spans="1:11" ht="30" customHeight="1" x14ac:dyDescent="0.25">
      <c r="A642" s="25">
        <f>IF(Table1[[#This Row],[Name of Student]]="","",ROWS($A$1:A638))</f>
        <v>638</v>
      </c>
      <c r="B642" s="26">
        <f>IF('Paste SD Data'!A639="","",'Paste SD Data'!A639)</f>
        <v>12</v>
      </c>
      <c r="C642" s="26" t="str">
        <f>IF('Paste SD Data'!B639="","",'Paste SD Data'!B639)</f>
        <v>A</v>
      </c>
      <c r="D642" s="26">
        <f>IF('Paste SD Data'!C639="","",'Paste SD Data'!C639)</f>
        <v>12947</v>
      </c>
      <c r="E642" s="27" t="str">
        <f>IF('Paste SD Data'!E639="","",UPPER('Paste SD Data'!E639))</f>
        <v>CHANDAN SINGH CHUNDAWAT</v>
      </c>
      <c r="F642" s="27" t="str">
        <f>IF('Paste SD Data'!G639="","",UPPER('Paste SD Data'!G639))</f>
        <v>SURENDRA SINGH</v>
      </c>
      <c r="G642" s="27" t="str">
        <f>IF('Paste SD Data'!H639="","",UPPER('Paste SD Data'!H639))</f>
        <v>RATAN KANWAR</v>
      </c>
      <c r="H642" s="26" t="str">
        <f>IF('Paste SD Data'!I639="","",IF('Paste SD Data'!I639="M","BOY","GIRL"))</f>
        <v>BOY</v>
      </c>
      <c r="I642" s="28">
        <f>IF('Paste SD Data'!J639="","",'Paste SD Data'!J639)</f>
        <v>37768</v>
      </c>
      <c r="J642" s="34">
        <f t="shared" si="9"/>
        <v>1068</v>
      </c>
      <c r="K642" s="29" t="str">
        <f>IF('Paste SD Data'!O639="","",'Paste SD Data'!O639)</f>
        <v>GEN</v>
      </c>
    </row>
    <row r="643" spans="1:11" ht="30" customHeight="1" x14ac:dyDescent="0.25">
      <c r="A643" s="25">
        <f>IF(Table1[[#This Row],[Name of Student]]="","",ROWS($A$1:A639))</f>
        <v>639</v>
      </c>
      <c r="B643" s="26">
        <f>IF('Paste SD Data'!A640="","",'Paste SD Data'!A640)</f>
        <v>12</v>
      </c>
      <c r="C643" s="26" t="str">
        <f>IF('Paste SD Data'!B640="","",'Paste SD Data'!B640)</f>
        <v>A</v>
      </c>
      <c r="D643" s="26">
        <f>IF('Paste SD Data'!C640="","",'Paste SD Data'!C640)</f>
        <v>13461</v>
      </c>
      <c r="E643" s="27" t="str">
        <f>IF('Paste SD Data'!E640="","",UPPER('Paste SD Data'!E640))</f>
        <v>DASHARATH SINGH</v>
      </c>
      <c r="F643" s="27" t="str">
        <f>IF('Paste SD Data'!G640="","",UPPER('Paste SD Data'!G640))</f>
        <v>KAN SINGH</v>
      </c>
      <c r="G643" s="27" t="str">
        <f>IF('Paste SD Data'!H640="","",UPPER('Paste SD Data'!H640))</f>
        <v>SITA DEVI</v>
      </c>
      <c r="H643" s="26" t="str">
        <f>IF('Paste SD Data'!I640="","",IF('Paste SD Data'!I640="M","BOY","GIRL"))</f>
        <v>BOY</v>
      </c>
      <c r="I643" s="28">
        <f>IF('Paste SD Data'!J640="","",'Paste SD Data'!J640)</f>
        <v>37484</v>
      </c>
      <c r="J643" s="34">
        <f t="shared" si="9"/>
        <v>1069</v>
      </c>
      <c r="K643" s="29" t="str">
        <f>IF('Paste SD Data'!O640="","",'Paste SD Data'!O640)</f>
        <v>OBC</v>
      </c>
    </row>
    <row r="644" spans="1:11" ht="30" customHeight="1" x14ac:dyDescent="0.25">
      <c r="A644" s="25">
        <f>IF(Table1[[#This Row],[Name of Student]]="","",ROWS($A$1:A640))</f>
        <v>640</v>
      </c>
      <c r="B644" s="26">
        <f>IF('Paste SD Data'!A641="","",'Paste SD Data'!A641)</f>
        <v>12</v>
      </c>
      <c r="C644" s="26" t="str">
        <f>IF('Paste SD Data'!B641="","",'Paste SD Data'!B641)</f>
        <v>A</v>
      </c>
      <c r="D644" s="26">
        <f>IF('Paste SD Data'!C641="","",'Paste SD Data'!C641)</f>
        <v>13530</v>
      </c>
      <c r="E644" s="27" t="str">
        <f>IF('Paste SD Data'!E641="","",UPPER('Paste SD Data'!E641))</f>
        <v>DHARMA RAM GURJAR</v>
      </c>
      <c r="F644" s="27" t="str">
        <f>IF('Paste SD Data'!G641="","",UPPER('Paste SD Data'!G641))</f>
        <v>SUKH LAL GURJAR</v>
      </c>
      <c r="G644" s="27" t="str">
        <f>IF('Paste SD Data'!H641="","",UPPER('Paste SD Data'!H641))</f>
        <v>RAMI DEVI</v>
      </c>
      <c r="H644" s="26" t="str">
        <f>IF('Paste SD Data'!I641="","",IF('Paste SD Data'!I641="M","BOY","GIRL"))</f>
        <v>BOY</v>
      </c>
      <c r="I644" s="28">
        <f>IF('Paste SD Data'!J641="","",'Paste SD Data'!J641)</f>
        <v>37440</v>
      </c>
      <c r="J644" s="34">
        <f t="shared" si="9"/>
        <v>1070</v>
      </c>
      <c r="K644" s="29" t="str">
        <f>IF('Paste SD Data'!O641="","",'Paste SD Data'!O641)</f>
        <v>SBC</v>
      </c>
    </row>
    <row r="645" spans="1:11" ht="30" customHeight="1" x14ac:dyDescent="0.25">
      <c r="A645" s="25">
        <f>IF(Table1[[#This Row],[Name of Student]]="","",ROWS($A$1:A641))</f>
        <v>641</v>
      </c>
      <c r="B645" s="26">
        <f>IF('Paste SD Data'!A642="","",'Paste SD Data'!A642)</f>
        <v>12</v>
      </c>
      <c r="C645" s="26" t="str">
        <f>IF('Paste SD Data'!B642="","",'Paste SD Data'!B642)</f>
        <v>A</v>
      </c>
      <c r="D645" s="26">
        <f>IF('Paste SD Data'!C642="","",'Paste SD Data'!C642)</f>
        <v>13907</v>
      </c>
      <c r="E645" s="27" t="str">
        <f>IF('Paste SD Data'!E642="","",UPPER('Paste SD Data'!E642))</f>
        <v>GOPAL</v>
      </c>
      <c r="F645" s="27" t="str">
        <f>IF('Paste SD Data'!G642="","",UPPER('Paste SD Data'!G642))</f>
        <v>AMAR SINGH</v>
      </c>
      <c r="G645" s="27" t="str">
        <f>IF('Paste SD Data'!H642="","",UPPER('Paste SD Data'!H642))</f>
        <v>SUNITA</v>
      </c>
      <c r="H645" s="26" t="str">
        <f>IF('Paste SD Data'!I642="","",IF('Paste SD Data'!I642="M","BOY","GIRL"))</f>
        <v>BOY</v>
      </c>
      <c r="I645" s="28">
        <f>IF('Paste SD Data'!J642="","",'Paste SD Data'!J642)</f>
        <v>38505</v>
      </c>
      <c r="J645" s="34">
        <f t="shared" si="9"/>
        <v>1071</v>
      </c>
      <c r="K645" s="29" t="str">
        <f>IF('Paste SD Data'!O642="","",'Paste SD Data'!O642)</f>
        <v>ST</v>
      </c>
    </row>
    <row r="646" spans="1:11" ht="30" customHeight="1" x14ac:dyDescent="0.25">
      <c r="A646" s="25">
        <f>IF(Table1[[#This Row],[Name of Student]]="","",ROWS($A$1:A642))</f>
        <v>642</v>
      </c>
      <c r="B646" s="26">
        <f>IF('Paste SD Data'!A643="","",'Paste SD Data'!A643)</f>
        <v>12</v>
      </c>
      <c r="C646" s="26" t="str">
        <f>IF('Paste SD Data'!B643="","",'Paste SD Data'!B643)</f>
        <v>A</v>
      </c>
      <c r="D646" s="26">
        <f>IF('Paste SD Data'!C643="","",'Paste SD Data'!C643)</f>
        <v>13578</v>
      </c>
      <c r="E646" s="27" t="str">
        <f>IF('Paste SD Data'!E643="","",UPPER('Paste SD Data'!E643))</f>
        <v>HANSRAJ SINGH</v>
      </c>
      <c r="F646" s="27" t="str">
        <f>IF('Paste SD Data'!G643="","",UPPER('Paste SD Data'!G643))</f>
        <v>PRAKASH SINGH</v>
      </c>
      <c r="G646" s="27" t="str">
        <f>IF('Paste SD Data'!H643="","",UPPER('Paste SD Data'!H643))</f>
        <v>KAVITA DEVI</v>
      </c>
      <c r="H646" s="26" t="str">
        <f>IF('Paste SD Data'!I643="","",IF('Paste SD Data'!I643="M","BOY","GIRL"))</f>
        <v>BOY</v>
      </c>
      <c r="I646" s="28">
        <f>IF('Paste SD Data'!J643="","",'Paste SD Data'!J643)</f>
        <v>38706</v>
      </c>
      <c r="J646" s="34">
        <f t="shared" si="9"/>
        <v>1072</v>
      </c>
      <c r="K646" s="29" t="str">
        <f>IF('Paste SD Data'!O643="","",'Paste SD Data'!O643)</f>
        <v>OBC</v>
      </c>
    </row>
    <row r="647" spans="1:11" ht="30" customHeight="1" x14ac:dyDescent="0.25">
      <c r="A647" s="25">
        <f>IF(Table1[[#This Row],[Name of Student]]="","",ROWS($A$1:A643))</f>
        <v>643</v>
      </c>
      <c r="B647" s="26">
        <f>IF('Paste SD Data'!A644="","",'Paste SD Data'!A644)</f>
        <v>12</v>
      </c>
      <c r="C647" s="26" t="str">
        <f>IF('Paste SD Data'!B644="","",'Paste SD Data'!B644)</f>
        <v>A</v>
      </c>
      <c r="D647" s="26">
        <f>IF('Paste SD Data'!C644="","",'Paste SD Data'!C644)</f>
        <v>13574</v>
      </c>
      <c r="E647" s="27" t="str">
        <f>IF('Paste SD Data'!E644="","",UPPER('Paste SD Data'!E644))</f>
        <v>HEENA MEWARA</v>
      </c>
      <c r="F647" s="27" t="str">
        <f>IF('Paste SD Data'!G644="","",UPPER('Paste SD Data'!G644))</f>
        <v>SHANKAR LAL</v>
      </c>
      <c r="G647" s="27" t="str">
        <f>IF('Paste SD Data'!H644="","",UPPER('Paste SD Data'!H644))</f>
        <v>INDRA DEVI</v>
      </c>
      <c r="H647" s="26" t="str">
        <f>IF('Paste SD Data'!I644="","",IF('Paste SD Data'!I644="M","BOY","GIRL"))</f>
        <v>GIRL</v>
      </c>
      <c r="I647" s="28">
        <f>IF('Paste SD Data'!J644="","",'Paste SD Data'!J644)</f>
        <v>38806</v>
      </c>
      <c r="J647" s="34">
        <f t="shared" ref="J647:J710" si="10">J646+1</f>
        <v>1073</v>
      </c>
      <c r="K647" s="29" t="str">
        <f>IF('Paste SD Data'!O644="","",'Paste SD Data'!O644)</f>
        <v>OBC</v>
      </c>
    </row>
    <row r="648" spans="1:11" ht="30" customHeight="1" x14ac:dyDescent="0.25">
      <c r="A648" s="25">
        <f>IF(Table1[[#This Row],[Name of Student]]="","",ROWS($A$1:A644))</f>
        <v>644</v>
      </c>
      <c r="B648" s="26">
        <f>IF('Paste SD Data'!A645="","",'Paste SD Data'!A645)</f>
        <v>12</v>
      </c>
      <c r="C648" s="26" t="str">
        <f>IF('Paste SD Data'!B645="","",'Paste SD Data'!B645)</f>
        <v>A</v>
      </c>
      <c r="D648" s="26">
        <f>IF('Paste SD Data'!C645="","",'Paste SD Data'!C645)</f>
        <v>13495</v>
      </c>
      <c r="E648" s="27" t="str">
        <f>IF('Paste SD Data'!E645="","",UPPER('Paste SD Data'!E645))</f>
        <v>HEMANT SINGH</v>
      </c>
      <c r="F648" s="27" t="str">
        <f>IF('Paste SD Data'!G645="","",UPPER('Paste SD Data'!G645))</f>
        <v>VINOD SINGH</v>
      </c>
      <c r="G648" s="27" t="str">
        <f>IF('Paste SD Data'!H645="","",UPPER('Paste SD Data'!H645))</f>
        <v>LALITA DEVI</v>
      </c>
      <c r="H648" s="26" t="str">
        <f>IF('Paste SD Data'!I645="","",IF('Paste SD Data'!I645="M","BOY","GIRL"))</f>
        <v>BOY</v>
      </c>
      <c r="I648" s="28">
        <f>IF('Paste SD Data'!J645="","",'Paste SD Data'!J645)</f>
        <v>38498</v>
      </c>
      <c r="J648" s="34">
        <f t="shared" si="10"/>
        <v>1074</v>
      </c>
      <c r="K648" s="29" t="str">
        <f>IF('Paste SD Data'!O645="","",'Paste SD Data'!O645)</f>
        <v>OBC</v>
      </c>
    </row>
    <row r="649" spans="1:11" ht="30" customHeight="1" x14ac:dyDescent="0.25">
      <c r="A649" s="25">
        <f>IF(Table1[[#This Row],[Name of Student]]="","",ROWS($A$1:A645))</f>
        <v>645</v>
      </c>
      <c r="B649" s="26">
        <f>IF('Paste SD Data'!A646="","",'Paste SD Data'!A646)</f>
        <v>12</v>
      </c>
      <c r="C649" s="26" t="str">
        <f>IF('Paste SD Data'!B646="","",'Paste SD Data'!B646)</f>
        <v>A</v>
      </c>
      <c r="D649" s="26">
        <f>IF('Paste SD Data'!C646="","",'Paste SD Data'!C646)</f>
        <v>13465</v>
      </c>
      <c r="E649" s="27" t="str">
        <f>IF('Paste SD Data'!E646="","",UPPER('Paste SD Data'!E646))</f>
        <v>HEMENDRA SINGH</v>
      </c>
      <c r="F649" s="27" t="str">
        <f>IF('Paste SD Data'!G646="","",UPPER('Paste SD Data'!G646))</f>
        <v>BHANWAR SINGH</v>
      </c>
      <c r="G649" s="27" t="str">
        <f>IF('Paste SD Data'!H646="","",UPPER('Paste SD Data'!H646))</f>
        <v>SEETA DEVI</v>
      </c>
      <c r="H649" s="26" t="str">
        <f>IF('Paste SD Data'!I646="","",IF('Paste SD Data'!I646="M","BOY","GIRL"))</f>
        <v>BOY</v>
      </c>
      <c r="I649" s="28">
        <f>IF('Paste SD Data'!J646="","",'Paste SD Data'!J646)</f>
        <v>38253</v>
      </c>
      <c r="J649" s="34">
        <f t="shared" si="10"/>
        <v>1075</v>
      </c>
      <c r="K649" s="29" t="str">
        <f>IF('Paste SD Data'!O646="","",'Paste SD Data'!O646)</f>
        <v>OBC</v>
      </c>
    </row>
    <row r="650" spans="1:11" ht="30" customHeight="1" x14ac:dyDescent="0.25">
      <c r="A650" s="25">
        <f>IF(Table1[[#This Row],[Name of Student]]="","",ROWS($A$1:A646))</f>
        <v>646</v>
      </c>
      <c r="B650" s="26">
        <f>IF('Paste SD Data'!A647="","",'Paste SD Data'!A647)</f>
        <v>12</v>
      </c>
      <c r="C650" s="26" t="str">
        <f>IF('Paste SD Data'!B647="","",'Paste SD Data'!B647)</f>
        <v>A</v>
      </c>
      <c r="D650" s="26">
        <f>IF('Paste SD Data'!C647="","",'Paste SD Data'!C647)</f>
        <v>13459</v>
      </c>
      <c r="E650" s="27" t="str">
        <f>IF('Paste SD Data'!E647="","",UPPER('Paste SD Data'!E647))</f>
        <v>HEMENDRA SINGH</v>
      </c>
      <c r="F650" s="27" t="str">
        <f>IF('Paste SD Data'!G647="","",UPPER('Paste SD Data'!G647))</f>
        <v>GIRDHARI SINGH</v>
      </c>
      <c r="G650" s="27" t="str">
        <f>IF('Paste SD Data'!H647="","",UPPER('Paste SD Data'!H647))</f>
        <v>LEELA DEVI</v>
      </c>
      <c r="H650" s="26" t="str">
        <f>IF('Paste SD Data'!I647="","",IF('Paste SD Data'!I647="M","BOY","GIRL"))</f>
        <v>BOY</v>
      </c>
      <c r="I650" s="28">
        <f>IF('Paste SD Data'!J647="","",'Paste SD Data'!J647)</f>
        <v>38401</v>
      </c>
      <c r="J650" s="34">
        <f t="shared" si="10"/>
        <v>1076</v>
      </c>
      <c r="K650" s="29" t="str">
        <f>IF('Paste SD Data'!O647="","",'Paste SD Data'!O647)</f>
        <v>OBC</v>
      </c>
    </row>
    <row r="651" spans="1:11" ht="30" customHeight="1" x14ac:dyDescent="0.25">
      <c r="A651" s="25">
        <f>IF(Table1[[#This Row],[Name of Student]]="","",ROWS($A$1:A647))</f>
        <v>647</v>
      </c>
      <c r="B651" s="26">
        <f>IF('Paste SD Data'!A648="","",'Paste SD Data'!A648)</f>
        <v>12</v>
      </c>
      <c r="C651" s="26" t="str">
        <f>IF('Paste SD Data'!B648="","",'Paste SD Data'!B648)</f>
        <v>A</v>
      </c>
      <c r="D651" s="26">
        <f>IF('Paste SD Data'!C648="","",'Paste SD Data'!C648)</f>
        <v>13456</v>
      </c>
      <c r="E651" s="27" t="str">
        <f>IF('Paste SD Data'!E648="","",UPPER('Paste SD Data'!E648))</f>
        <v>JITENDRA KUMAR</v>
      </c>
      <c r="F651" s="27" t="str">
        <f>IF('Paste SD Data'!G648="","",UPPER('Paste SD Data'!G648))</f>
        <v>RAMESH CHANDRA</v>
      </c>
      <c r="G651" s="27" t="str">
        <f>IF('Paste SD Data'!H648="","",UPPER('Paste SD Data'!H648))</f>
        <v>UMA DEVI</v>
      </c>
      <c r="H651" s="26" t="str">
        <f>IF('Paste SD Data'!I648="","",IF('Paste SD Data'!I648="M","BOY","GIRL"))</f>
        <v>BOY</v>
      </c>
      <c r="I651" s="28">
        <f>IF('Paste SD Data'!J648="","",'Paste SD Data'!J648)</f>
        <v>38058</v>
      </c>
      <c r="J651" s="34">
        <f t="shared" si="10"/>
        <v>1077</v>
      </c>
      <c r="K651" s="29" t="str">
        <f>IF('Paste SD Data'!O648="","",'Paste SD Data'!O648)</f>
        <v>SC</v>
      </c>
    </row>
    <row r="652" spans="1:11" ht="30" customHeight="1" x14ac:dyDescent="0.25">
      <c r="A652" s="25">
        <f>IF(Table1[[#This Row],[Name of Student]]="","",ROWS($A$1:A648))</f>
        <v>648</v>
      </c>
      <c r="B652" s="26">
        <f>IF('Paste SD Data'!A649="","",'Paste SD Data'!A649)</f>
        <v>12</v>
      </c>
      <c r="C652" s="26" t="str">
        <f>IF('Paste SD Data'!B649="","",'Paste SD Data'!B649)</f>
        <v>A</v>
      </c>
      <c r="D652" s="26">
        <f>IF('Paste SD Data'!C649="","",'Paste SD Data'!C649)</f>
        <v>13490</v>
      </c>
      <c r="E652" s="27" t="str">
        <f>IF('Paste SD Data'!E649="","",UPPER('Paste SD Data'!E649))</f>
        <v>JYOTI REGAR</v>
      </c>
      <c r="F652" s="27" t="str">
        <f>IF('Paste SD Data'!G649="","",UPPER('Paste SD Data'!G649))</f>
        <v>KAMLESH REGAR</v>
      </c>
      <c r="G652" s="27" t="str">
        <f>IF('Paste SD Data'!H649="","",UPPER('Paste SD Data'!H649))</f>
        <v>LEELA REGAR</v>
      </c>
      <c r="H652" s="26" t="str">
        <f>IF('Paste SD Data'!I649="","",IF('Paste SD Data'!I649="M","BOY","GIRL"))</f>
        <v>GIRL</v>
      </c>
      <c r="I652" s="28">
        <f>IF('Paste SD Data'!J649="","",'Paste SD Data'!J649)</f>
        <v>38828</v>
      </c>
      <c r="J652" s="34">
        <f t="shared" si="10"/>
        <v>1078</v>
      </c>
      <c r="K652" s="29" t="str">
        <f>IF('Paste SD Data'!O649="","",'Paste SD Data'!O649)</f>
        <v>SC</v>
      </c>
    </row>
    <row r="653" spans="1:11" ht="30" customHeight="1" x14ac:dyDescent="0.25">
      <c r="A653" s="25">
        <f>IF(Table1[[#This Row],[Name of Student]]="","",ROWS($A$1:A649))</f>
        <v>649</v>
      </c>
      <c r="B653" s="26">
        <f>IF('Paste SD Data'!A650="","",'Paste SD Data'!A650)</f>
        <v>12</v>
      </c>
      <c r="C653" s="26" t="str">
        <f>IF('Paste SD Data'!B650="","",'Paste SD Data'!B650)</f>
        <v>A</v>
      </c>
      <c r="D653" s="26">
        <f>IF('Paste SD Data'!C650="","",'Paste SD Data'!C650)</f>
        <v>13533</v>
      </c>
      <c r="E653" s="27" t="str">
        <f>IF('Paste SD Data'!E650="","",UPPER('Paste SD Data'!E650))</f>
        <v>KRISHNA KUMARI</v>
      </c>
      <c r="F653" s="27" t="str">
        <f>IF('Paste SD Data'!G650="","",UPPER('Paste SD Data'!G650))</f>
        <v>LAXMAN SINGH</v>
      </c>
      <c r="G653" s="27" t="str">
        <f>IF('Paste SD Data'!H650="","",UPPER('Paste SD Data'!H650))</f>
        <v>REKHA DEVI</v>
      </c>
      <c r="H653" s="26" t="str">
        <f>IF('Paste SD Data'!I650="","",IF('Paste SD Data'!I650="M","BOY","GIRL"))</f>
        <v>GIRL</v>
      </c>
      <c r="I653" s="28">
        <f>IF('Paste SD Data'!J650="","",'Paste SD Data'!J650)</f>
        <v>37775</v>
      </c>
      <c r="J653" s="34">
        <f t="shared" si="10"/>
        <v>1079</v>
      </c>
      <c r="K653" s="29" t="str">
        <f>IF('Paste SD Data'!O650="","",'Paste SD Data'!O650)</f>
        <v>OBC</v>
      </c>
    </row>
    <row r="654" spans="1:11" ht="30" customHeight="1" x14ac:dyDescent="0.25">
      <c r="A654" s="25">
        <f>IF(Table1[[#This Row],[Name of Student]]="","",ROWS($A$1:A650))</f>
        <v>650</v>
      </c>
      <c r="B654" s="26">
        <f>IF('Paste SD Data'!A651="","",'Paste SD Data'!A651)</f>
        <v>12</v>
      </c>
      <c r="C654" s="26" t="str">
        <f>IF('Paste SD Data'!B651="","",'Paste SD Data'!B651)</f>
        <v>A</v>
      </c>
      <c r="D654" s="26">
        <f>IF('Paste SD Data'!C651="","",'Paste SD Data'!C651)</f>
        <v>13458</v>
      </c>
      <c r="E654" s="27" t="str">
        <f>IF('Paste SD Data'!E651="","",UPPER('Paste SD Data'!E651))</f>
        <v>LABHDATT SINGH</v>
      </c>
      <c r="F654" s="27" t="str">
        <f>IF('Paste SD Data'!G651="","",UPPER('Paste SD Data'!G651))</f>
        <v>BHAGWAN SINGH</v>
      </c>
      <c r="G654" s="27" t="str">
        <f>IF('Paste SD Data'!H651="","",UPPER('Paste SD Data'!H651))</f>
        <v>KANCHAN DEVI</v>
      </c>
      <c r="H654" s="26" t="str">
        <f>IF('Paste SD Data'!I651="","",IF('Paste SD Data'!I651="M","BOY","GIRL"))</f>
        <v>BOY</v>
      </c>
      <c r="I654" s="28">
        <f>IF('Paste SD Data'!J651="","",'Paste SD Data'!J651)</f>
        <v>38436</v>
      </c>
      <c r="J654" s="34">
        <f t="shared" si="10"/>
        <v>1080</v>
      </c>
      <c r="K654" s="29" t="str">
        <f>IF('Paste SD Data'!O651="","",'Paste SD Data'!O651)</f>
        <v>OBC</v>
      </c>
    </row>
    <row r="655" spans="1:11" ht="30" customHeight="1" x14ac:dyDescent="0.25">
      <c r="A655" s="25">
        <f>IF(Table1[[#This Row],[Name of Student]]="","",ROWS($A$1:A651))</f>
        <v>651</v>
      </c>
      <c r="B655" s="26">
        <f>IF('Paste SD Data'!A652="","",'Paste SD Data'!A652)</f>
        <v>12</v>
      </c>
      <c r="C655" s="26" t="str">
        <f>IF('Paste SD Data'!B652="","",'Paste SD Data'!B652)</f>
        <v>A</v>
      </c>
      <c r="D655" s="26">
        <f>IF('Paste SD Data'!C652="","",'Paste SD Data'!C652)</f>
        <v>13492</v>
      </c>
      <c r="E655" s="27" t="str">
        <f>IF('Paste SD Data'!E652="","",UPPER('Paste SD Data'!E652))</f>
        <v>LAVINA SEVANI</v>
      </c>
      <c r="F655" s="27" t="str">
        <f>IF('Paste SD Data'!G652="","",UPPER('Paste SD Data'!G652))</f>
        <v>DAULAT RAM SEVANI</v>
      </c>
      <c r="G655" s="27" t="str">
        <f>IF('Paste SD Data'!H652="","",UPPER('Paste SD Data'!H652))</f>
        <v>HEENA SEVANI</v>
      </c>
      <c r="H655" s="26" t="str">
        <f>IF('Paste SD Data'!I652="","",IF('Paste SD Data'!I652="M","BOY","GIRL"))</f>
        <v>GIRL</v>
      </c>
      <c r="I655" s="28">
        <f>IF('Paste SD Data'!J652="","",'Paste SD Data'!J652)</f>
        <v>38070</v>
      </c>
      <c r="J655" s="34">
        <f t="shared" si="10"/>
        <v>1081</v>
      </c>
      <c r="K655" s="29" t="str">
        <f>IF('Paste SD Data'!O652="","",'Paste SD Data'!O652)</f>
        <v>OBC</v>
      </c>
    </row>
    <row r="656" spans="1:11" ht="30" customHeight="1" x14ac:dyDescent="0.25">
      <c r="A656" s="25">
        <f>IF(Table1[[#This Row],[Name of Student]]="","",ROWS($A$1:A652))</f>
        <v>652</v>
      </c>
      <c r="B656" s="26">
        <f>IF('Paste SD Data'!A653="","",'Paste SD Data'!A653)</f>
        <v>12</v>
      </c>
      <c r="C656" s="26" t="str">
        <f>IF('Paste SD Data'!B653="","",'Paste SD Data'!B653)</f>
        <v>A</v>
      </c>
      <c r="D656" s="26">
        <f>IF('Paste SD Data'!C653="","",'Paste SD Data'!C653)</f>
        <v>13609</v>
      </c>
      <c r="E656" s="27" t="str">
        <f>IF('Paste SD Data'!E653="","",UPPER('Paste SD Data'!E653))</f>
        <v>LAXMAN LAL</v>
      </c>
      <c r="F656" s="27" t="str">
        <f>IF('Paste SD Data'!G653="","",UPPER('Paste SD Data'!G653))</f>
        <v>JAMNA LAL</v>
      </c>
      <c r="G656" s="27" t="str">
        <f>IF('Paste SD Data'!H653="","",UPPER('Paste SD Data'!H653))</f>
        <v>GEETA DEVI</v>
      </c>
      <c r="H656" s="26" t="str">
        <f>IF('Paste SD Data'!I653="","",IF('Paste SD Data'!I653="M","BOY","GIRL"))</f>
        <v>BOY</v>
      </c>
      <c r="I656" s="28">
        <f>IF('Paste SD Data'!J653="","",'Paste SD Data'!J653)</f>
        <v>38580</v>
      </c>
      <c r="J656" s="34">
        <f t="shared" si="10"/>
        <v>1082</v>
      </c>
      <c r="K656" s="29" t="str">
        <f>IF('Paste SD Data'!O653="","",'Paste SD Data'!O653)</f>
        <v>OBC</v>
      </c>
    </row>
    <row r="657" spans="1:11" ht="30" customHeight="1" x14ac:dyDescent="0.25">
      <c r="A657" s="25">
        <f>IF(Table1[[#This Row],[Name of Student]]="","",ROWS($A$1:A653))</f>
        <v>653</v>
      </c>
      <c r="B657" s="26">
        <f>IF('Paste SD Data'!A654="","",'Paste SD Data'!A654)</f>
        <v>12</v>
      </c>
      <c r="C657" s="26" t="str">
        <f>IF('Paste SD Data'!B654="","",'Paste SD Data'!B654)</f>
        <v>A</v>
      </c>
      <c r="D657" s="26">
        <f>IF('Paste SD Data'!C654="","",'Paste SD Data'!C654)</f>
        <v>13464</v>
      </c>
      <c r="E657" s="27" t="str">
        <f>IF('Paste SD Data'!E654="","",UPPER('Paste SD Data'!E654))</f>
        <v>MAMTA RAV</v>
      </c>
      <c r="F657" s="27" t="str">
        <f>IF('Paste SD Data'!G654="","",UPPER('Paste SD Data'!G654))</f>
        <v>SATYANARAYAN RAV</v>
      </c>
      <c r="G657" s="27" t="str">
        <f>IF('Paste SD Data'!H654="","",UPPER('Paste SD Data'!H654))</f>
        <v>MEERA DEVI</v>
      </c>
      <c r="H657" s="26" t="str">
        <f>IF('Paste SD Data'!I654="","",IF('Paste SD Data'!I654="M","BOY","GIRL"))</f>
        <v>GIRL</v>
      </c>
      <c r="I657" s="28">
        <f>IF('Paste SD Data'!J654="","",'Paste SD Data'!J654)</f>
        <v>38536</v>
      </c>
      <c r="J657" s="34">
        <f t="shared" si="10"/>
        <v>1083</v>
      </c>
      <c r="K657" s="29" t="str">
        <f>IF('Paste SD Data'!O654="","",'Paste SD Data'!O654)</f>
        <v>OBC</v>
      </c>
    </row>
    <row r="658" spans="1:11" ht="30" customHeight="1" x14ac:dyDescent="0.25">
      <c r="A658" s="25">
        <f>IF(Table1[[#This Row],[Name of Student]]="","",ROWS($A$1:A654))</f>
        <v>654</v>
      </c>
      <c r="B658" s="26">
        <f>IF('Paste SD Data'!A655="","",'Paste SD Data'!A655)</f>
        <v>12</v>
      </c>
      <c r="C658" s="26" t="str">
        <f>IF('Paste SD Data'!B655="","",'Paste SD Data'!B655)</f>
        <v>A</v>
      </c>
      <c r="D658" s="26">
        <f>IF('Paste SD Data'!C655="","",'Paste SD Data'!C655)</f>
        <v>13493</v>
      </c>
      <c r="E658" s="27" t="str">
        <f>IF('Paste SD Data'!E655="","",UPPER('Paste SD Data'!E655))</f>
        <v>MANA RAM MALI</v>
      </c>
      <c r="F658" s="27" t="str">
        <f>IF('Paste SD Data'!G655="","",UPPER('Paste SD Data'!G655))</f>
        <v>TILOK MALI</v>
      </c>
      <c r="G658" s="27" t="str">
        <f>IF('Paste SD Data'!H655="","",UPPER('Paste SD Data'!H655))</f>
        <v>MANGI DEVI</v>
      </c>
      <c r="H658" s="26" t="str">
        <f>IF('Paste SD Data'!I655="","",IF('Paste SD Data'!I655="M","BOY","GIRL"))</f>
        <v>BOY</v>
      </c>
      <c r="I658" s="28">
        <f>IF('Paste SD Data'!J655="","",'Paste SD Data'!J655)</f>
        <v>38488</v>
      </c>
      <c r="J658" s="34">
        <f t="shared" si="10"/>
        <v>1084</v>
      </c>
      <c r="K658" s="29" t="str">
        <f>IF('Paste SD Data'!O655="","",'Paste SD Data'!O655)</f>
        <v>OBC</v>
      </c>
    </row>
    <row r="659" spans="1:11" ht="30" customHeight="1" x14ac:dyDescent="0.25">
      <c r="A659" s="25">
        <f>IF(Table1[[#This Row],[Name of Student]]="","",ROWS($A$1:A655))</f>
        <v>655</v>
      </c>
      <c r="B659" s="26">
        <f>IF('Paste SD Data'!A656="","",'Paste SD Data'!A656)</f>
        <v>12</v>
      </c>
      <c r="C659" s="26" t="str">
        <f>IF('Paste SD Data'!B656="","",'Paste SD Data'!B656)</f>
        <v>A</v>
      </c>
      <c r="D659" s="26">
        <f>IF('Paste SD Data'!C656="","",'Paste SD Data'!C656)</f>
        <v>13529</v>
      </c>
      <c r="E659" s="27" t="str">
        <f>IF('Paste SD Data'!E656="","",UPPER('Paste SD Data'!E656))</f>
        <v>MANSI CHAUHAN</v>
      </c>
      <c r="F659" s="27" t="str">
        <f>IF('Paste SD Data'!G656="","",UPPER('Paste SD Data'!G656))</f>
        <v>KULWANT SINGH CHAUHAN</v>
      </c>
      <c r="G659" s="27" t="str">
        <f>IF('Paste SD Data'!H656="","",UPPER('Paste SD Data'!H656))</f>
        <v>ASHA CHAUHAN</v>
      </c>
      <c r="H659" s="26" t="str">
        <f>IF('Paste SD Data'!I656="","",IF('Paste SD Data'!I656="M","BOY","GIRL"))</f>
        <v>GIRL</v>
      </c>
      <c r="I659" s="28">
        <f>IF('Paste SD Data'!J656="","",'Paste SD Data'!J656)</f>
        <v>38764</v>
      </c>
      <c r="J659" s="34">
        <f t="shared" si="10"/>
        <v>1085</v>
      </c>
      <c r="K659" s="29" t="str">
        <f>IF('Paste SD Data'!O656="","",'Paste SD Data'!O656)</f>
        <v>OBC</v>
      </c>
    </row>
    <row r="660" spans="1:11" ht="30" customHeight="1" x14ac:dyDescent="0.25">
      <c r="A660" s="25">
        <f>IF(Table1[[#This Row],[Name of Student]]="","",ROWS($A$1:A656))</f>
        <v>656</v>
      </c>
      <c r="B660" s="26">
        <f>IF('Paste SD Data'!A657="","",'Paste SD Data'!A657)</f>
        <v>12</v>
      </c>
      <c r="C660" s="26" t="str">
        <f>IF('Paste SD Data'!B657="","",'Paste SD Data'!B657)</f>
        <v>A</v>
      </c>
      <c r="D660" s="26">
        <f>IF('Paste SD Data'!C657="","",'Paste SD Data'!C657)</f>
        <v>13532</v>
      </c>
      <c r="E660" s="27" t="str">
        <f>IF('Paste SD Data'!E657="","",UPPER('Paste SD Data'!E657))</f>
        <v>MAYA REGAR</v>
      </c>
      <c r="F660" s="27" t="str">
        <f>IF('Paste SD Data'!G657="","",UPPER('Paste SD Data'!G657))</f>
        <v>SAWAI RAM</v>
      </c>
      <c r="G660" s="27" t="str">
        <f>IF('Paste SD Data'!H657="","",UPPER('Paste SD Data'!H657))</f>
        <v>CHANDA DEVI</v>
      </c>
      <c r="H660" s="26" t="str">
        <f>IF('Paste SD Data'!I657="","",IF('Paste SD Data'!I657="M","BOY","GIRL"))</f>
        <v>GIRL</v>
      </c>
      <c r="I660" s="28">
        <f>IF('Paste SD Data'!J657="","",'Paste SD Data'!J657)</f>
        <v>38585</v>
      </c>
      <c r="J660" s="34">
        <f t="shared" si="10"/>
        <v>1086</v>
      </c>
      <c r="K660" s="29" t="str">
        <f>IF('Paste SD Data'!O657="","",'Paste SD Data'!O657)</f>
        <v>SC</v>
      </c>
    </row>
    <row r="661" spans="1:11" ht="30" customHeight="1" x14ac:dyDescent="0.25">
      <c r="A661" s="25">
        <f>IF(Table1[[#This Row],[Name of Student]]="","",ROWS($A$1:A657))</f>
        <v>657</v>
      </c>
      <c r="B661" s="26">
        <f>IF('Paste SD Data'!A658="","",'Paste SD Data'!A658)</f>
        <v>12</v>
      </c>
      <c r="C661" s="26" t="str">
        <f>IF('Paste SD Data'!B658="","",'Paste SD Data'!B658)</f>
        <v>A</v>
      </c>
      <c r="D661" s="26">
        <f>IF('Paste SD Data'!C658="","",'Paste SD Data'!C658)</f>
        <v>13776</v>
      </c>
      <c r="E661" s="27" t="str">
        <f>IF('Paste SD Data'!E658="","",UPPER('Paste SD Data'!E658))</f>
        <v>NARESH VAISHNAV</v>
      </c>
      <c r="F661" s="27" t="str">
        <f>IF('Paste SD Data'!G658="","",UPPER('Paste SD Data'!G658))</f>
        <v>JAGDISH VAISHNAV</v>
      </c>
      <c r="G661" s="27" t="str">
        <f>IF('Paste SD Data'!H658="","",UPPER('Paste SD Data'!H658))</f>
        <v>MEENA VAISHNAV</v>
      </c>
      <c r="H661" s="26" t="str">
        <f>IF('Paste SD Data'!I658="","",IF('Paste SD Data'!I658="M","BOY","GIRL"))</f>
        <v>BOY</v>
      </c>
      <c r="I661" s="28">
        <f>IF('Paste SD Data'!J658="","",'Paste SD Data'!J658)</f>
        <v>37757</v>
      </c>
      <c r="J661" s="34">
        <f t="shared" si="10"/>
        <v>1087</v>
      </c>
      <c r="K661" s="29" t="str">
        <f>IF('Paste SD Data'!O658="","",'Paste SD Data'!O658)</f>
        <v>OBC</v>
      </c>
    </row>
    <row r="662" spans="1:11" ht="30" customHeight="1" x14ac:dyDescent="0.25">
      <c r="A662" s="25">
        <f>IF(Table1[[#This Row],[Name of Student]]="","",ROWS($A$1:A658))</f>
        <v>658</v>
      </c>
      <c r="B662" s="26">
        <f>IF('Paste SD Data'!A659="","",'Paste SD Data'!A659)</f>
        <v>12</v>
      </c>
      <c r="C662" s="26" t="str">
        <f>IF('Paste SD Data'!B659="","",'Paste SD Data'!B659)</f>
        <v>A</v>
      </c>
      <c r="D662" s="26">
        <f>IF('Paste SD Data'!C659="","",'Paste SD Data'!C659)</f>
        <v>13579</v>
      </c>
      <c r="E662" s="27" t="str">
        <f>IF('Paste SD Data'!E659="","",UPPER('Paste SD Data'!E659))</f>
        <v>NAVEEN PRAKASH SINGH</v>
      </c>
      <c r="F662" s="27" t="str">
        <f>IF('Paste SD Data'!G659="","",UPPER('Paste SD Data'!G659))</f>
        <v>PANNA SINGH</v>
      </c>
      <c r="G662" s="27" t="str">
        <f>IF('Paste SD Data'!H659="","",UPPER('Paste SD Data'!H659))</f>
        <v>MOHINI DEVI</v>
      </c>
      <c r="H662" s="26" t="str">
        <f>IF('Paste SD Data'!I659="","",IF('Paste SD Data'!I659="M","BOY","GIRL"))</f>
        <v>BOY</v>
      </c>
      <c r="I662" s="28">
        <f>IF('Paste SD Data'!J659="","",'Paste SD Data'!J659)</f>
        <v>38690</v>
      </c>
      <c r="J662" s="34">
        <f t="shared" si="10"/>
        <v>1088</v>
      </c>
      <c r="K662" s="29" t="str">
        <f>IF('Paste SD Data'!O659="","",'Paste SD Data'!O659)</f>
        <v>OBC</v>
      </c>
    </row>
    <row r="663" spans="1:11" ht="30" customHeight="1" x14ac:dyDescent="0.25">
      <c r="A663" s="25">
        <f>IF(Table1[[#This Row],[Name of Student]]="","",ROWS($A$1:A659))</f>
        <v>659</v>
      </c>
      <c r="B663" s="26">
        <f>IF('Paste SD Data'!A660="","",'Paste SD Data'!A660)</f>
        <v>12</v>
      </c>
      <c r="C663" s="26" t="str">
        <f>IF('Paste SD Data'!B660="","",'Paste SD Data'!B660)</f>
        <v>A</v>
      </c>
      <c r="D663" s="26">
        <f>IF('Paste SD Data'!C660="","",'Paste SD Data'!C660)</f>
        <v>13491</v>
      </c>
      <c r="E663" s="27" t="str">
        <f>IF('Paste SD Data'!E660="","",UPPER('Paste SD Data'!E660))</f>
        <v>NEELU KANWAR</v>
      </c>
      <c r="F663" s="27" t="str">
        <f>IF('Paste SD Data'!G660="","",UPPER('Paste SD Data'!G660))</f>
        <v>LAHAR SINGH</v>
      </c>
      <c r="G663" s="27" t="str">
        <f>IF('Paste SD Data'!H660="","",UPPER('Paste SD Data'!H660))</f>
        <v>PARAS KANWAR</v>
      </c>
      <c r="H663" s="26" t="str">
        <f>IF('Paste SD Data'!I660="","",IF('Paste SD Data'!I660="M","BOY","GIRL"))</f>
        <v>GIRL</v>
      </c>
      <c r="I663" s="28">
        <f>IF('Paste SD Data'!J660="","",'Paste SD Data'!J660)</f>
        <v>38718</v>
      </c>
      <c r="J663" s="34">
        <f t="shared" si="10"/>
        <v>1089</v>
      </c>
      <c r="K663" s="29" t="str">
        <f>IF('Paste SD Data'!O660="","",'Paste SD Data'!O660)</f>
        <v>GEN</v>
      </c>
    </row>
    <row r="664" spans="1:11" ht="30" customHeight="1" x14ac:dyDescent="0.25">
      <c r="A664" s="25">
        <f>IF(Table1[[#This Row],[Name of Student]]="","",ROWS($A$1:A660))</f>
        <v>660</v>
      </c>
      <c r="B664" s="26">
        <f>IF('Paste SD Data'!A661="","",'Paste SD Data'!A661)</f>
        <v>12</v>
      </c>
      <c r="C664" s="26" t="str">
        <f>IF('Paste SD Data'!B661="","",'Paste SD Data'!B661)</f>
        <v>A</v>
      </c>
      <c r="D664" s="26">
        <f>IF('Paste SD Data'!C661="","",'Paste SD Data'!C661)</f>
        <v>13462</v>
      </c>
      <c r="E664" s="27" t="str">
        <f>IF('Paste SD Data'!E661="","",UPPER('Paste SD Data'!E661))</f>
        <v>PAWAN KUMAR REGAR</v>
      </c>
      <c r="F664" s="27" t="str">
        <f>IF('Paste SD Data'!G661="","",UPPER('Paste SD Data'!G661))</f>
        <v>SURESH RAM REGAR</v>
      </c>
      <c r="G664" s="27" t="str">
        <f>IF('Paste SD Data'!H661="","",UPPER('Paste SD Data'!H661))</f>
        <v>KAILASH DEVI</v>
      </c>
      <c r="H664" s="26" t="str">
        <f>IF('Paste SD Data'!I661="","",IF('Paste SD Data'!I661="M","BOY","GIRL"))</f>
        <v>BOY</v>
      </c>
      <c r="I664" s="28">
        <f>IF('Paste SD Data'!J661="","",'Paste SD Data'!J661)</f>
        <v>38464</v>
      </c>
      <c r="J664" s="34">
        <f t="shared" si="10"/>
        <v>1090</v>
      </c>
      <c r="K664" s="29" t="str">
        <f>IF('Paste SD Data'!O661="","",'Paste SD Data'!O661)</f>
        <v>SC</v>
      </c>
    </row>
    <row r="665" spans="1:11" ht="30" customHeight="1" x14ac:dyDescent="0.25">
      <c r="A665" s="25">
        <f>IF(Table1[[#This Row],[Name of Student]]="","",ROWS($A$1:A661))</f>
        <v>661</v>
      </c>
      <c r="B665" s="26">
        <f>IF('Paste SD Data'!A662="","",'Paste SD Data'!A662)</f>
        <v>12</v>
      </c>
      <c r="C665" s="26" t="str">
        <f>IF('Paste SD Data'!B662="","",'Paste SD Data'!B662)</f>
        <v>A</v>
      </c>
      <c r="D665" s="26">
        <f>IF('Paste SD Data'!C662="","",'Paste SD Data'!C662)</f>
        <v>13983</v>
      </c>
      <c r="E665" s="27" t="str">
        <f>IF('Paste SD Data'!E662="","",UPPER('Paste SD Data'!E662))</f>
        <v>PRAKASH CHAND GURJAR</v>
      </c>
      <c r="F665" s="27" t="str">
        <f>IF('Paste SD Data'!G662="","",UPPER('Paste SD Data'!G662))</f>
        <v>KANA LAL GURJAR</v>
      </c>
      <c r="G665" s="27" t="str">
        <f>IF('Paste SD Data'!H662="","",UPPER('Paste SD Data'!H662))</f>
        <v>LACCHI DEVI GURJAR</v>
      </c>
      <c r="H665" s="26" t="str">
        <f>IF('Paste SD Data'!I662="","",IF('Paste SD Data'!I662="M","BOY","GIRL"))</f>
        <v>BOY</v>
      </c>
      <c r="I665" s="28">
        <f>IF('Paste SD Data'!J662="","",'Paste SD Data'!J662)</f>
        <v>38214</v>
      </c>
      <c r="J665" s="34">
        <f t="shared" si="10"/>
        <v>1091</v>
      </c>
      <c r="K665" s="29" t="str">
        <f>IF('Paste SD Data'!O662="","",'Paste SD Data'!O662)</f>
        <v>SBC</v>
      </c>
    </row>
    <row r="666" spans="1:11" ht="30" customHeight="1" x14ac:dyDescent="0.25">
      <c r="A666" s="25">
        <f>IF(Table1[[#This Row],[Name of Student]]="","",ROWS($A$1:A662))</f>
        <v>662</v>
      </c>
      <c r="B666" s="26">
        <f>IF('Paste SD Data'!A663="","",'Paste SD Data'!A663)</f>
        <v>12</v>
      </c>
      <c r="C666" s="26" t="str">
        <f>IF('Paste SD Data'!B663="","",'Paste SD Data'!B663)</f>
        <v>A</v>
      </c>
      <c r="D666" s="26">
        <f>IF('Paste SD Data'!C663="","",'Paste SD Data'!C663)</f>
        <v>13567</v>
      </c>
      <c r="E666" s="27" t="str">
        <f>IF('Paste SD Data'!E663="","",UPPER('Paste SD Data'!E663))</f>
        <v>PRAKASH CHANDRA KALAL</v>
      </c>
      <c r="F666" s="27" t="str">
        <f>IF('Paste SD Data'!G663="","",UPPER('Paste SD Data'!G663))</f>
        <v>DALCHAND KALAL</v>
      </c>
      <c r="G666" s="27" t="str">
        <f>IF('Paste SD Data'!H663="","",UPPER('Paste SD Data'!H663))</f>
        <v>DEVI</v>
      </c>
      <c r="H666" s="26" t="str">
        <f>IF('Paste SD Data'!I663="","",IF('Paste SD Data'!I663="M","BOY","GIRL"))</f>
        <v>BOY</v>
      </c>
      <c r="I666" s="28">
        <f>IF('Paste SD Data'!J663="","",'Paste SD Data'!J663)</f>
        <v>37569</v>
      </c>
      <c r="J666" s="34">
        <f t="shared" si="10"/>
        <v>1092</v>
      </c>
      <c r="K666" s="29" t="str">
        <f>IF('Paste SD Data'!O663="","",'Paste SD Data'!O663)</f>
        <v>OBC</v>
      </c>
    </row>
    <row r="667" spans="1:11" ht="30" customHeight="1" x14ac:dyDescent="0.25">
      <c r="A667" s="25">
        <f>IF(Table1[[#This Row],[Name of Student]]="","",ROWS($A$1:A663))</f>
        <v>663</v>
      </c>
      <c r="B667" s="26">
        <f>IF('Paste SD Data'!A664="","",'Paste SD Data'!A664)</f>
        <v>12</v>
      </c>
      <c r="C667" s="26" t="str">
        <f>IF('Paste SD Data'!B664="","",'Paste SD Data'!B664)</f>
        <v>A</v>
      </c>
      <c r="D667" s="26">
        <f>IF('Paste SD Data'!C664="","",'Paste SD Data'!C664)</f>
        <v>13916</v>
      </c>
      <c r="E667" s="27" t="str">
        <f>IF('Paste SD Data'!E664="","",UPPER('Paste SD Data'!E664))</f>
        <v>PRAKASH NATH</v>
      </c>
      <c r="F667" s="27" t="str">
        <f>IF('Paste SD Data'!G664="","",UPPER('Paste SD Data'!G664))</f>
        <v>MOOL NATH</v>
      </c>
      <c r="G667" s="27" t="str">
        <f>IF('Paste SD Data'!H664="","",UPPER('Paste SD Data'!H664))</f>
        <v>KAUSHALYA</v>
      </c>
      <c r="H667" s="26" t="str">
        <f>IF('Paste SD Data'!I664="","",IF('Paste SD Data'!I664="M","BOY","GIRL"))</f>
        <v>BOY</v>
      </c>
      <c r="I667" s="28">
        <f>IF('Paste SD Data'!J664="","",'Paste SD Data'!J664)</f>
        <v>37993</v>
      </c>
      <c r="J667" s="34">
        <f t="shared" si="10"/>
        <v>1093</v>
      </c>
      <c r="K667" s="29" t="str">
        <f>IF('Paste SD Data'!O664="","",'Paste SD Data'!O664)</f>
        <v>OBC</v>
      </c>
    </row>
    <row r="668" spans="1:11" ht="30" customHeight="1" x14ac:dyDescent="0.25">
      <c r="A668" s="25">
        <f>IF(Table1[[#This Row],[Name of Student]]="","",ROWS($A$1:A664))</f>
        <v>664</v>
      </c>
      <c r="B668" s="26">
        <f>IF('Paste SD Data'!A665="","",'Paste SD Data'!A665)</f>
        <v>12</v>
      </c>
      <c r="C668" s="26" t="str">
        <f>IF('Paste SD Data'!B665="","",'Paste SD Data'!B665)</f>
        <v>A</v>
      </c>
      <c r="D668" s="26">
        <f>IF('Paste SD Data'!C665="","",'Paste SD Data'!C665)</f>
        <v>13672</v>
      </c>
      <c r="E668" s="27" t="str">
        <f>IF('Paste SD Data'!E665="","",UPPER('Paste SD Data'!E665))</f>
        <v>PRATHVIRAJ SINGH</v>
      </c>
      <c r="F668" s="27" t="str">
        <f>IF('Paste SD Data'!G665="","",UPPER('Paste SD Data'!G665))</f>
        <v>SURENDRA SINGH</v>
      </c>
      <c r="G668" s="27" t="str">
        <f>IF('Paste SD Data'!H665="","",UPPER('Paste SD Data'!H665))</f>
        <v>RAJKANVARI DEVI</v>
      </c>
      <c r="H668" s="26" t="str">
        <f>IF('Paste SD Data'!I665="","",IF('Paste SD Data'!I665="M","BOY","GIRL"))</f>
        <v>BOY</v>
      </c>
      <c r="I668" s="28">
        <f>IF('Paste SD Data'!J665="","",'Paste SD Data'!J665)</f>
        <v>38748</v>
      </c>
      <c r="J668" s="34">
        <f t="shared" si="10"/>
        <v>1094</v>
      </c>
      <c r="K668" s="29" t="str">
        <f>IF('Paste SD Data'!O665="","",'Paste SD Data'!O665)</f>
        <v>OBC</v>
      </c>
    </row>
    <row r="669" spans="1:11" ht="30" customHeight="1" x14ac:dyDescent="0.25">
      <c r="A669" s="25">
        <f>IF(Table1[[#This Row],[Name of Student]]="","",ROWS($A$1:A665))</f>
        <v>665</v>
      </c>
      <c r="B669" s="26">
        <f>IF('Paste SD Data'!A666="","",'Paste SD Data'!A666)</f>
        <v>12</v>
      </c>
      <c r="C669" s="26" t="str">
        <f>IF('Paste SD Data'!B666="","",'Paste SD Data'!B666)</f>
        <v>A</v>
      </c>
      <c r="D669" s="26">
        <f>IF('Paste SD Data'!C666="","",'Paste SD Data'!C666)</f>
        <v>13528</v>
      </c>
      <c r="E669" s="27" t="str">
        <f>IF('Paste SD Data'!E666="","",UPPER('Paste SD Data'!E666))</f>
        <v>RADHESHYAM SUTHAR</v>
      </c>
      <c r="F669" s="27" t="str">
        <f>IF('Paste SD Data'!G666="","",UPPER('Paste SD Data'!G666))</f>
        <v>SHANTI LAL SUTHAR</v>
      </c>
      <c r="G669" s="27" t="str">
        <f>IF('Paste SD Data'!H666="","",UPPER('Paste SD Data'!H666))</f>
        <v>KAMLA DEVI</v>
      </c>
      <c r="H669" s="26" t="str">
        <f>IF('Paste SD Data'!I666="","",IF('Paste SD Data'!I666="M","BOY","GIRL"))</f>
        <v>BOY</v>
      </c>
      <c r="I669" s="28">
        <f>IF('Paste SD Data'!J666="","",'Paste SD Data'!J666)</f>
        <v>38153</v>
      </c>
      <c r="J669" s="34">
        <f t="shared" si="10"/>
        <v>1095</v>
      </c>
      <c r="K669" s="29" t="str">
        <f>IF('Paste SD Data'!O666="","",'Paste SD Data'!O666)</f>
        <v>OBC</v>
      </c>
    </row>
    <row r="670" spans="1:11" ht="30" customHeight="1" x14ac:dyDescent="0.25">
      <c r="A670" s="25">
        <f>IF(Table1[[#This Row],[Name of Student]]="","",ROWS($A$1:A666))</f>
        <v>666</v>
      </c>
      <c r="B670" s="26">
        <f>IF('Paste SD Data'!A667="","",'Paste SD Data'!A667)</f>
        <v>12</v>
      </c>
      <c r="C670" s="26" t="str">
        <f>IF('Paste SD Data'!B667="","",'Paste SD Data'!B667)</f>
        <v>A</v>
      </c>
      <c r="D670" s="26">
        <f>IF('Paste SD Data'!C667="","",'Paste SD Data'!C667)</f>
        <v>13716</v>
      </c>
      <c r="E670" s="27" t="str">
        <f>IF('Paste SD Data'!E667="","",UPPER('Paste SD Data'!E667))</f>
        <v>RAHNUMA PARVIN</v>
      </c>
      <c r="F670" s="27" t="str">
        <f>IF('Paste SD Data'!G667="","",UPPER('Paste SD Data'!G667))</f>
        <v>AHSAN MOHMMAD CHHIPA</v>
      </c>
      <c r="G670" s="27" t="str">
        <f>IF('Paste SD Data'!H667="","",UPPER('Paste SD Data'!H667))</f>
        <v>RUKSANA BANU</v>
      </c>
      <c r="H670" s="26" t="str">
        <f>IF('Paste SD Data'!I667="","",IF('Paste SD Data'!I667="M","BOY","GIRL"))</f>
        <v>GIRL</v>
      </c>
      <c r="I670" s="28">
        <f>IF('Paste SD Data'!J667="","",'Paste SD Data'!J667)</f>
        <v>38964</v>
      </c>
      <c r="J670" s="34">
        <f t="shared" si="10"/>
        <v>1096</v>
      </c>
      <c r="K670" s="29" t="str">
        <f>IF('Paste SD Data'!O667="","",'Paste SD Data'!O667)</f>
        <v>OBC</v>
      </c>
    </row>
    <row r="671" spans="1:11" ht="30" customHeight="1" x14ac:dyDescent="0.25">
      <c r="A671" s="25">
        <f>IF(Table1[[#This Row],[Name of Student]]="","",ROWS($A$1:A667))</f>
        <v>667</v>
      </c>
      <c r="B671" s="26">
        <f>IF('Paste SD Data'!A668="","",'Paste SD Data'!A668)</f>
        <v>12</v>
      </c>
      <c r="C671" s="26" t="str">
        <f>IF('Paste SD Data'!B668="","",'Paste SD Data'!B668)</f>
        <v>A</v>
      </c>
      <c r="D671" s="26">
        <f>IF('Paste SD Data'!C668="","",'Paste SD Data'!C668)</f>
        <v>13463</v>
      </c>
      <c r="E671" s="27" t="str">
        <f>IF('Paste SD Data'!E668="","",UPPER('Paste SD Data'!E668))</f>
        <v>RAHUL KUMAR</v>
      </c>
      <c r="F671" s="27" t="str">
        <f>IF('Paste SD Data'!G668="","",UPPER('Paste SD Data'!G668))</f>
        <v>BHERU LAL</v>
      </c>
      <c r="G671" s="27" t="str">
        <f>IF('Paste SD Data'!H668="","",UPPER('Paste SD Data'!H668))</f>
        <v>PUSHPA DEVI</v>
      </c>
      <c r="H671" s="26" t="str">
        <f>IF('Paste SD Data'!I668="","",IF('Paste SD Data'!I668="M","BOY","GIRL"))</f>
        <v>BOY</v>
      </c>
      <c r="I671" s="28">
        <f>IF('Paste SD Data'!J668="","",'Paste SD Data'!J668)</f>
        <v>38603</v>
      </c>
      <c r="J671" s="34">
        <f t="shared" si="10"/>
        <v>1097</v>
      </c>
      <c r="K671" s="29" t="str">
        <f>IF('Paste SD Data'!O668="","",'Paste SD Data'!O668)</f>
        <v>SC</v>
      </c>
    </row>
    <row r="672" spans="1:11" ht="30" customHeight="1" x14ac:dyDescent="0.25">
      <c r="A672" s="25">
        <f>IF(Table1[[#This Row],[Name of Student]]="","",ROWS($A$1:A668))</f>
        <v>668</v>
      </c>
      <c r="B672" s="26">
        <f>IF('Paste SD Data'!A669="","",'Paste SD Data'!A669)</f>
        <v>12</v>
      </c>
      <c r="C672" s="26" t="str">
        <f>IF('Paste SD Data'!B669="","",'Paste SD Data'!B669)</f>
        <v>A</v>
      </c>
      <c r="D672" s="26">
        <f>IF('Paste SD Data'!C669="","",'Paste SD Data'!C669)</f>
        <v>13494</v>
      </c>
      <c r="E672" s="27" t="str">
        <f>IF('Paste SD Data'!E669="","",UPPER('Paste SD Data'!E669))</f>
        <v>RAHUL LOHAR</v>
      </c>
      <c r="F672" s="27" t="str">
        <f>IF('Paste SD Data'!G669="","",UPPER('Paste SD Data'!G669))</f>
        <v>BANSI LAL LOHAR</v>
      </c>
      <c r="G672" s="27" t="str">
        <f>IF('Paste SD Data'!H669="","",UPPER('Paste SD Data'!H669))</f>
        <v>SHANTA DEVI</v>
      </c>
      <c r="H672" s="26" t="str">
        <f>IF('Paste SD Data'!I669="","",IF('Paste SD Data'!I669="M","BOY","GIRL"))</f>
        <v>BOY</v>
      </c>
      <c r="I672" s="28">
        <f>IF('Paste SD Data'!J669="","",'Paste SD Data'!J669)</f>
        <v>38457</v>
      </c>
      <c r="J672" s="34">
        <f t="shared" si="10"/>
        <v>1098</v>
      </c>
      <c r="K672" s="29" t="str">
        <f>IF('Paste SD Data'!O669="","",'Paste SD Data'!O669)</f>
        <v>OBC</v>
      </c>
    </row>
    <row r="673" spans="1:11" ht="30" customHeight="1" x14ac:dyDescent="0.25">
      <c r="A673" s="25">
        <f>IF(Table1[[#This Row],[Name of Student]]="","",ROWS($A$1:A669))</f>
        <v>669</v>
      </c>
      <c r="B673" s="26">
        <f>IF('Paste SD Data'!A670="","",'Paste SD Data'!A670)</f>
        <v>12</v>
      </c>
      <c r="C673" s="26" t="str">
        <f>IF('Paste SD Data'!B670="","",'Paste SD Data'!B670)</f>
        <v>A</v>
      </c>
      <c r="D673" s="26">
        <f>IF('Paste SD Data'!C670="","",'Paste SD Data'!C670)</f>
        <v>13460</v>
      </c>
      <c r="E673" s="27" t="str">
        <f>IF('Paste SD Data'!E670="","",UPPER('Paste SD Data'!E670))</f>
        <v>RAHUL SINGH</v>
      </c>
      <c r="F673" s="27" t="str">
        <f>IF('Paste SD Data'!G670="","",UPPER('Paste SD Data'!G670))</f>
        <v>KAN SINGH</v>
      </c>
      <c r="G673" s="27" t="str">
        <f>IF('Paste SD Data'!H670="","",UPPER('Paste SD Data'!H670))</f>
        <v>SITA DEVI</v>
      </c>
      <c r="H673" s="26" t="str">
        <f>IF('Paste SD Data'!I670="","",IF('Paste SD Data'!I670="M","BOY","GIRL"))</f>
        <v>BOY</v>
      </c>
      <c r="I673" s="28">
        <f>IF('Paste SD Data'!J670="","",'Paste SD Data'!J670)</f>
        <v>38274</v>
      </c>
      <c r="J673" s="34">
        <f t="shared" si="10"/>
        <v>1099</v>
      </c>
      <c r="K673" s="29" t="str">
        <f>IF('Paste SD Data'!O670="","",'Paste SD Data'!O670)</f>
        <v>OBC</v>
      </c>
    </row>
    <row r="674" spans="1:11" ht="30" customHeight="1" x14ac:dyDescent="0.25">
      <c r="A674" s="25">
        <f>IF(Table1[[#This Row],[Name of Student]]="","",ROWS($A$1:A670))</f>
        <v>670</v>
      </c>
      <c r="B674" s="26">
        <f>IF('Paste SD Data'!A671="","",'Paste SD Data'!A671)</f>
        <v>12</v>
      </c>
      <c r="C674" s="26" t="str">
        <f>IF('Paste SD Data'!B671="","",'Paste SD Data'!B671)</f>
        <v>A</v>
      </c>
      <c r="D674" s="26">
        <f>IF('Paste SD Data'!C671="","",'Paste SD Data'!C671)</f>
        <v>13469</v>
      </c>
      <c r="E674" s="27" t="str">
        <f>IF('Paste SD Data'!E671="","",UPPER('Paste SD Data'!E671))</f>
        <v>RAKESH SINGH</v>
      </c>
      <c r="F674" s="27" t="str">
        <f>IF('Paste SD Data'!G671="","",UPPER('Paste SD Data'!G671))</f>
        <v>KESHAR SINGH</v>
      </c>
      <c r="G674" s="27" t="str">
        <f>IF('Paste SD Data'!H671="","",UPPER('Paste SD Data'!H671))</f>
        <v>SHANTA DEVI</v>
      </c>
      <c r="H674" s="26" t="str">
        <f>IF('Paste SD Data'!I671="","",IF('Paste SD Data'!I671="M","BOY","GIRL"))</f>
        <v>BOY</v>
      </c>
      <c r="I674" s="28">
        <f>IF('Paste SD Data'!J671="","",'Paste SD Data'!J671)</f>
        <v>38496</v>
      </c>
      <c r="J674" s="34">
        <f t="shared" si="10"/>
        <v>1100</v>
      </c>
      <c r="K674" s="29" t="str">
        <f>IF('Paste SD Data'!O671="","",'Paste SD Data'!O671)</f>
        <v>OBC</v>
      </c>
    </row>
    <row r="675" spans="1:11" ht="30" customHeight="1" x14ac:dyDescent="0.25">
      <c r="A675" s="25">
        <f>IF(Table1[[#This Row],[Name of Student]]="","",ROWS($A$1:A671))</f>
        <v>671</v>
      </c>
      <c r="B675" s="26">
        <f>IF('Paste SD Data'!A672="","",'Paste SD Data'!A672)</f>
        <v>12</v>
      </c>
      <c r="C675" s="26" t="str">
        <f>IF('Paste SD Data'!B672="","",'Paste SD Data'!B672)</f>
        <v>A</v>
      </c>
      <c r="D675" s="26">
        <f>IF('Paste SD Data'!C672="","",'Paste SD Data'!C672)</f>
        <v>13482</v>
      </c>
      <c r="E675" s="27" t="str">
        <f>IF('Paste SD Data'!E672="","",UPPER('Paste SD Data'!E672))</f>
        <v>RAVINDRA SINGH</v>
      </c>
      <c r="F675" s="27" t="str">
        <f>IF('Paste SD Data'!G672="","",UPPER('Paste SD Data'!G672))</f>
        <v>SULTAN SINGH CHAUHAN</v>
      </c>
      <c r="G675" s="27" t="str">
        <f>IF('Paste SD Data'!H672="","",UPPER('Paste SD Data'!H672))</f>
        <v>CHANDRA KANWAR</v>
      </c>
      <c r="H675" s="26" t="str">
        <f>IF('Paste SD Data'!I672="","",IF('Paste SD Data'!I672="M","BOY","GIRL"))</f>
        <v>BOY</v>
      </c>
      <c r="I675" s="28">
        <f>IF('Paste SD Data'!J672="","",'Paste SD Data'!J672)</f>
        <v>38384</v>
      </c>
      <c r="J675" s="34">
        <f t="shared" si="10"/>
        <v>1101</v>
      </c>
      <c r="K675" s="29" t="str">
        <f>IF('Paste SD Data'!O672="","",'Paste SD Data'!O672)</f>
        <v>OBC</v>
      </c>
    </row>
    <row r="676" spans="1:11" ht="30" customHeight="1" x14ac:dyDescent="0.25">
      <c r="A676" s="25">
        <f>IF(Table1[[#This Row],[Name of Student]]="","",ROWS($A$1:A672))</f>
        <v>672</v>
      </c>
      <c r="B676" s="26">
        <f>IF('Paste SD Data'!A673="","",'Paste SD Data'!A673)</f>
        <v>12</v>
      </c>
      <c r="C676" s="26" t="str">
        <f>IF('Paste SD Data'!B673="","",'Paste SD Data'!B673)</f>
        <v>A</v>
      </c>
      <c r="D676" s="26">
        <f>IF('Paste SD Data'!C673="","",'Paste SD Data'!C673)</f>
        <v>13665</v>
      </c>
      <c r="E676" s="27" t="str">
        <f>IF('Paste SD Data'!E673="","",UPPER('Paste SD Data'!E673))</f>
        <v>SATISH LOHAR</v>
      </c>
      <c r="F676" s="27" t="str">
        <f>IF('Paste SD Data'!G673="","",UPPER('Paste SD Data'!G673))</f>
        <v>GOVIND LAL</v>
      </c>
      <c r="G676" s="27" t="str">
        <f>IF('Paste SD Data'!H673="","",UPPER('Paste SD Data'!H673))</f>
        <v>TEENA DEVI</v>
      </c>
      <c r="H676" s="26" t="str">
        <f>IF('Paste SD Data'!I673="","",IF('Paste SD Data'!I673="M","BOY","GIRL"))</f>
        <v>BOY</v>
      </c>
      <c r="I676" s="28">
        <f>IF('Paste SD Data'!J673="","",'Paste SD Data'!J673)</f>
        <v>38334</v>
      </c>
      <c r="J676" s="34">
        <f t="shared" si="10"/>
        <v>1102</v>
      </c>
      <c r="K676" s="29" t="str">
        <f>IF('Paste SD Data'!O673="","",'Paste SD Data'!O673)</f>
        <v>OBC</v>
      </c>
    </row>
    <row r="677" spans="1:11" ht="30" customHeight="1" x14ac:dyDescent="0.25">
      <c r="A677" s="25">
        <f>IF(Table1[[#This Row],[Name of Student]]="","",ROWS($A$1:A673))</f>
        <v>673</v>
      </c>
      <c r="B677" s="26">
        <f>IF('Paste SD Data'!A674="","",'Paste SD Data'!A674)</f>
        <v>12</v>
      </c>
      <c r="C677" s="26" t="str">
        <f>IF('Paste SD Data'!B674="","",'Paste SD Data'!B674)</f>
        <v>A</v>
      </c>
      <c r="D677" s="26">
        <f>IF('Paste SD Data'!C674="","",'Paste SD Data'!C674)</f>
        <v>13229</v>
      </c>
      <c r="E677" s="27" t="str">
        <f>IF('Paste SD Data'!E674="","",UPPER('Paste SD Data'!E674))</f>
        <v>SHRVAN LAL REGAR</v>
      </c>
      <c r="F677" s="27" t="str">
        <f>IF('Paste SD Data'!G674="","",UPPER('Paste SD Data'!G674))</f>
        <v>RATAN LAL REGAR</v>
      </c>
      <c r="G677" s="27" t="str">
        <f>IF('Paste SD Data'!H674="","",UPPER('Paste SD Data'!H674))</f>
        <v>SHANTA DEVI</v>
      </c>
      <c r="H677" s="26" t="str">
        <f>IF('Paste SD Data'!I674="","",IF('Paste SD Data'!I674="M","BOY","GIRL"))</f>
        <v>BOY</v>
      </c>
      <c r="I677" s="28">
        <f>IF('Paste SD Data'!J674="","",'Paste SD Data'!J674)</f>
        <v>38195</v>
      </c>
      <c r="J677" s="34">
        <f t="shared" si="10"/>
        <v>1103</v>
      </c>
      <c r="K677" s="29" t="str">
        <f>IF('Paste SD Data'!O674="","",'Paste SD Data'!O674)</f>
        <v>SC</v>
      </c>
    </row>
    <row r="678" spans="1:11" ht="30" customHeight="1" x14ac:dyDescent="0.25">
      <c r="A678" s="25">
        <f>IF(Table1[[#This Row],[Name of Student]]="","",ROWS($A$1:A674))</f>
        <v>674</v>
      </c>
      <c r="B678" s="26">
        <f>IF('Paste SD Data'!A675="","",'Paste SD Data'!A675)</f>
        <v>12</v>
      </c>
      <c r="C678" s="26" t="str">
        <f>IF('Paste SD Data'!B675="","",'Paste SD Data'!B675)</f>
        <v>A</v>
      </c>
      <c r="D678" s="26">
        <f>IF('Paste SD Data'!C675="","",'Paste SD Data'!C675)</f>
        <v>13619</v>
      </c>
      <c r="E678" s="27" t="str">
        <f>IF('Paste SD Data'!E675="","",UPPER('Paste SD Data'!E675))</f>
        <v>SWATI CHOUHAN</v>
      </c>
      <c r="F678" s="27" t="str">
        <f>IF('Paste SD Data'!G675="","",UPPER('Paste SD Data'!G675))</f>
        <v>AJAB SINGH</v>
      </c>
      <c r="G678" s="27" t="str">
        <f>IF('Paste SD Data'!H675="","",UPPER('Paste SD Data'!H675))</f>
        <v>CHANMPELI</v>
      </c>
      <c r="H678" s="26" t="str">
        <f>IF('Paste SD Data'!I675="","",IF('Paste SD Data'!I675="M","BOY","GIRL"))</f>
        <v>GIRL</v>
      </c>
      <c r="I678" s="28">
        <f>IF('Paste SD Data'!J675="","",'Paste SD Data'!J675)</f>
        <v>38259</v>
      </c>
      <c r="J678" s="34">
        <f t="shared" si="10"/>
        <v>1104</v>
      </c>
      <c r="K678" s="29" t="str">
        <f>IF('Paste SD Data'!O675="","",'Paste SD Data'!O675)</f>
        <v>OBC</v>
      </c>
    </row>
    <row r="679" spans="1:11" ht="30" customHeight="1" x14ac:dyDescent="0.25">
      <c r="A679" s="25">
        <f>IF(Table1[[#This Row],[Name of Student]]="","",ROWS($A$1:A675))</f>
        <v>675</v>
      </c>
      <c r="B679" s="26">
        <f>IF('Paste SD Data'!A676="","",'Paste SD Data'!A676)</f>
        <v>12</v>
      </c>
      <c r="C679" s="26" t="str">
        <f>IF('Paste SD Data'!B676="","",'Paste SD Data'!B676)</f>
        <v>A</v>
      </c>
      <c r="D679" s="26">
        <f>IF('Paste SD Data'!C676="","",'Paste SD Data'!C676)</f>
        <v>13496</v>
      </c>
      <c r="E679" s="27" t="str">
        <f>IF('Paste SD Data'!E676="","",UPPER('Paste SD Data'!E676))</f>
        <v>YASH SONI</v>
      </c>
      <c r="F679" s="27" t="str">
        <f>IF('Paste SD Data'!G676="","",UPPER('Paste SD Data'!G676))</f>
        <v>NARENDRA KUMAR</v>
      </c>
      <c r="G679" s="27" t="str">
        <f>IF('Paste SD Data'!H676="","",UPPER('Paste SD Data'!H676))</f>
        <v>SEEMA SONI</v>
      </c>
      <c r="H679" s="26" t="str">
        <f>IF('Paste SD Data'!I676="","",IF('Paste SD Data'!I676="M","BOY","GIRL"))</f>
        <v>BOY</v>
      </c>
      <c r="I679" s="28">
        <f>IF('Paste SD Data'!J676="","",'Paste SD Data'!J676)</f>
        <v>38278</v>
      </c>
      <c r="J679" s="34">
        <f t="shared" si="10"/>
        <v>1105</v>
      </c>
      <c r="K679" s="29" t="str">
        <f>IF('Paste SD Data'!O676="","",'Paste SD Data'!O676)</f>
        <v>OBC</v>
      </c>
    </row>
    <row r="680" spans="1:11" ht="30" customHeight="1" x14ac:dyDescent="0.25">
      <c r="A680" s="25">
        <f>IF(Table1[[#This Row],[Name of Student]]="","",ROWS($A$1:A676))</f>
        <v>676</v>
      </c>
      <c r="B680" s="26">
        <f>IF('Paste SD Data'!A677="","",'Paste SD Data'!A677)</f>
        <v>12</v>
      </c>
      <c r="C680" s="26" t="str">
        <f>IF('Paste SD Data'!B677="","",'Paste SD Data'!B677)</f>
        <v>A</v>
      </c>
      <c r="D680" s="26">
        <f>IF('Paste SD Data'!C677="","",'Paste SD Data'!C677)</f>
        <v>13466</v>
      </c>
      <c r="E680" s="27" t="str">
        <f>IF('Paste SD Data'!E677="","",UPPER('Paste SD Data'!E677))</f>
        <v>YUDDHVEER SINGH</v>
      </c>
      <c r="F680" s="27" t="str">
        <f>IF('Paste SD Data'!G677="","",UPPER('Paste SD Data'!G677))</f>
        <v>KISHAN SINGH</v>
      </c>
      <c r="G680" s="27" t="str">
        <f>IF('Paste SD Data'!H677="","",UPPER('Paste SD Data'!H677))</f>
        <v>KOYAL DEVI</v>
      </c>
      <c r="H680" s="26" t="str">
        <f>IF('Paste SD Data'!I677="","",IF('Paste SD Data'!I677="M","BOY","GIRL"))</f>
        <v>BOY</v>
      </c>
      <c r="I680" s="28">
        <f>IF('Paste SD Data'!J677="","",'Paste SD Data'!J677)</f>
        <v>38939</v>
      </c>
      <c r="J680" s="34">
        <f t="shared" si="10"/>
        <v>1106</v>
      </c>
      <c r="K680" s="29" t="str">
        <f>IF('Paste SD Data'!O677="","",'Paste SD Data'!O677)</f>
        <v>OBC</v>
      </c>
    </row>
    <row r="681" spans="1:11" ht="30" customHeight="1" x14ac:dyDescent="0.25">
      <c r="A681" s="25">
        <f>IF(Table1[[#This Row],[Name of Student]]="","",ROWS($A$1:A677))</f>
        <v>677</v>
      </c>
      <c r="B681" s="26">
        <f>IF('Paste SD Data'!A678="","",'Paste SD Data'!A678)</f>
        <v>12</v>
      </c>
      <c r="C681" s="26" t="str">
        <f>IF('Paste SD Data'!B678="","",'Paste SD Data'!B678)</f>
        <v>B</v>
      </c>
      <c r="D681" s="26">
        <f>IF('Paste SD Data'!C678="","",'Paste SD Data'!C678)</f>
        <v>13613</v>
      </c>
      <c r="E681" s="27" t="str">
        <f>IF('Paste SD Data'!E678="","",UPPER('Paste SD Data'!E678))</f>
        <v>MEWADA RAHUL UDAY LAL</v>
      </c>
      <c r="F681" s="27" t="str">
        <f>IF('Paste SD Data'!G678="","",UPPER('Paste SD Data'!G678))</f>
        <v>MEWADA UDAY LAL</v>
      </c>
      <c r="G681" s="27" t="str">
        <f>IF('Paste SD Data'!H678="","",UPPER('Paste SD Data'!H678))</f>
        <v>SHANTI DEVI</v>
      </c>
      <c r="H681" s="26" t="str">
        <f>IF('Paste SD Data'!I678="","",IF('Paste SD Data'!I678="M","BOY","GIRL"))</f>
        <v>BOY</v>
      </c>
      <c r="I681" s="28">
        <f>IF('Paste SD Data'!J678="","",'Paste SD Data'!J678)</f>
        <v>38500</v>
      </c>
      <c r="J681" s="34">
        <f t="shared" si="10"/>
        <v>1107</v>
      </c>
      <c r="K681" s="29" t="str">
        <f>IF('Paste SD Data'!O678="","",'Paste SD Data'!O678)</f>
        <v>OBC</v>
      </c>
    </row>
    <row r="682" spans="1:11" ht="30" customHeight="1" x14ac:dyDescent="0.25">
      <c r="A682" s="25">
        <f>IF(Table1[[#This Row],[Name of Student]]="","",ROWS($A$1:A678))</f>
        <v>678</v>
      </c>
      <c r="B682" s="26">
        <f>IF('Paste SD Data'!A679="","",'Paste SD Data'!A679)</f>
        <v>12</v>
      </c>
      <c r="C682" s="26" t="str">
        <f>IF('Paste SD Data'!B679="","",'Paste SD Data'!B679)</f>
        <v>C</v>
      </c>
      <c r="D682" s="26">
        <f>IF('Paste SD Data'!C679="","",'Paste SD Data'!C679)</f>
        <v>12943</v>
      </c>
      <c r="E682" s="27" t="str">
        <f>IF('Paste SD Data'!E679="","",UPPER('Paste SD Data'!E679))</f>
        <v>ANIL REGAR</v>
      </c>
      <c r="F682" s="27" t="str">
        <f>IF('Paste SD Data'!G679="","",UPPER('Paste SD Data'!G679))</f>
        <v>CHUNNI LAL REGAR</v>
      </c>
      <c r="G682" s="27" t="str">
        <f>IF('Paste SD Data'!H679="","",UPPER('Paste SD Data'!H679))</f>
        <v>LAADI REGAR</v>
      </c>
      <c r="H682" s="26" t="str">
        <f>IF('Paste SD Data'!I679="","",IF('Paste SD Data'!I679="M","BOY","GIRL"))</f>
        <v>BOY</v>
      </c>
      <c r="I682" s="28">
        <f>IF('Paste SD Data'!J679="","",'Paste SD Data'!J679)</f>
        <v>37867</v>
      </c>
      <c r="J682" s="34">
        <f t="shared" si="10"/>
        <v>1108</v>
      </c>
      <c r="K682" s="29" t="str">
        <f>IF('Paste SD Data'!O679="","",'Paste SD Data'!O679)</f>
        <v>SC</v>
      </c>
    </row>
    <row r="683" spans="1:11" ht="30" customHeight="1" x14ac:dyDescent="0.25">
      <c r="A683" s="25">
        <f>IF(Table1[[#This Row],[Name of Student]]="","",ROWS($A$1:A679))</f>
        <v>679</v>
      </c>
      <c r="B683" s="26">
        <f>IF('Paste SD Data'!A680="","",'Paste SD Data'!A680)</f>
        <v>12</v>
      </c>
      <c r="C683" s="26" t="str">
        <f>IF('Paste SD Data'!B680="","",'Paste SD Data'!B680)</f>
        <v>C</v>
      </c>
      <c r="D683" s="26">
        <f>IF('Paste SD Data'!C680="","",'Paste SD Data'!C680)</f>
        <v>13644</v>
      </c>
      <c r="E683" s="27" t="str">
        <f>IF('Paste SD Data'!E680="","",UPPER('Paste SD Data'!E680))</f>
        <v>ANKIT RODIWAL</v>
      </c>
      <c r="F683" s="27" t="str">
        <f>IF('Paste SD Data'!G680="","",UPPER('Paste SD Data'!G680))</f>
        <v>JAGDISH PRASAD</v>
      </c>
      <c r="G683" s="27" t="str">
        <f>IF('Paste SD Data'!H680="","",UPPER('Paste SD Data'!H680))</f>
        <v>BHAGWANI DEVI</v>
      </c>
      <c r="H683" s="26" t="str">
        <f>IF('Paste SD Data'!I680="","",IF('Paste SD Data'!I680="M","BOY","GIRL"))</f>
        <v>BOY</v>
      </c>
      <c r="I683" s="28">
        <f>IF('Paste SD Data'!J680="","",'Paste SD Data'!J680)</f>
        <v>38220</v>
      </c>
      <c r="J683" s="34">
        <f t="shared" si="10"/>
        <v>1109</v>
      </c>
      <c r="K683" s="29" t="str">
        <f>IF('Paste SD Data'!O680="","",'Paste SD Data'!O680)</f>
        <v>OBC</v>
      </c>
    </row>
    <row r="684" spans="1:11" ht="30" customHeight="1" x14ac:dyDescent="0.25">
      <c r="A684" s="25">
        <f>IF(Table1[[#This Row],[Name of Student]]="","",ROWS($A$1:A680))</f>
        <v>680</v>
      </c>
      <c r="B684" s="26">
        <f>IF('Paste SD Data'!A681="","",'Paste SD Data'!A681)</f>
        <v>12</v>
      </c>
      <c r="C684" s="26" t="str">
        <f>IF('Paste SD Data'!B681="","",'Paste SD Data'!B681)</f>
        <v>C</v>
      </c>
      <c r="D684" s="26">
        <f>IF('Paste SD Data'!C681="","",'Paste SD Data'!C681)</f>
        <v>12887</v>
      </c>
      <c r="E684" s="27" t="str">
        <f>IF('Paste SD Data'!E681="","",UPPER('Paste SD Data'!E681))</f>
        <v>ARJUN SINGH</v>
      </c>
      <c r="F684" s="27" t="str">
        <f>IF('Paste SD Data'!G681="","",UPPER('Paste SD Data'!G681))</f>
        <v>MITHU SINGH</v>
      </c>
      <c r="G684" s="27" t="str">
        <f>IF('Paste SD Data'!H681="","",UPPER('Paste SD Data'!H681))</f>
        <v>SHANTA DEVI</v>
      </c>
      <c r="H684" s="26" t="str">
        <f>IF('Paste SD Data'!I681="","",IF('Paste SD Data'!I681="M","BOY","GIRL"))</f>
        <v>BOY</v>
      </c>
      <c r="I684" s="28">
        <f>IF('Paste SD Data'!J681="","",'Paste SD Data'!J681)</f>
        <v>38469</v>
      </c>
      <c r="J684" s="34">
        <f t="shared" si="10"/>
        <v>1110</v>
      </c>
      <c r="K684" s="29" t="str">
        <f>IF('Paste SD Data'!O681="","",'Paste SD Data'!O681)</f>
        <v>OBC</v>
      </c>
    </row>
    <row r="685" spans="1:11" ht="30" customHeight="1" x14ac:dyDescent="0.25">
      <c r="A685" s="25">
        <f>IF(Table1[[#This Row],[Name of Student]]="","",ROWS($A$1:A681))</f>
        <v>681</v>
      </c>
      <c r="B685" s="26">
        <f>IF('Paste SD Data'!A682="","",'Paste SD Data'!A682)</f>
        <v>12</v>
      </c>
      <c r="C685" s="26" t="str">
        <f>IF('Paste SD Data'!B682="","",'Paste SD Data'!B682)</f>
        <v>C</v>
      </c>
      <c r="D685" s="26">
        <f>IF('Paste SD Data'!C682="","",'Paste SD Data'!C682)</f>
        <v>13618</v>
      </c>
      <c r="E685" s="27" t="str">
        <f>IF('Paste SD Data'!E682="","",UPPER('Paste SD Data'!E682))</f>
        <v>ARUN BABEL</v>
      </c>
      <c r="F685" s="27" t="str">
        <f>IF('Paste SD Data'!G682="","",UPPER('Paste SD Data'!G682))</f>
        <v>LADU LAL BABEL</v>
      </c>
      <c r="G685" s="27" t="str">
        <f>IF('Paste SD Data'!H682="","",UPPER('Paste SD Data'!H682))</f>
        <v>BHARTI DEVI</v>
      </c>
      <c r="H685" s="26" t="str">
        <f>IF('Paste SD Data'!I682="","",IF('Paste SD Data'!I682="M","BOY","GIRL"))</f>
        <v>BOY</v>
      </c>
      <c r="I685" s="28">
        <f>IF('Paste SD Data'!J682="","",'Paste SD Data'!J682)</f>
        <v>38109</v>
      </c>
      <c r="J685" s="34">
        <f t="shared" si="10"/>
        <v>1111</v>
      </c>
      <c r="K685" s="29" t="str">
        <f>IF('Paste SD Data'!O682="","",'Paste SD Data'!O682)</f>
        <v>GEN</v>
      </c>
    </row>
    <row r="686" spans="1:11" ht="30" customHeight="1" x14ac:dyDescent="0.25">
      <c r="A686" s="25">
        <f>IF(Table1[[#This Row],[Name of Student]]="","",ROWS($A$1:A682))</f>
        <v>682</v>
      </c>
      <c r="B686" s="26">
        <f>IF('Paste SD Data'!A683="","",'Paste SD Data'!A683)</f>
        <v>12</v>
      </c>
      <c r="C686" s="26" t="str">
        <f>IF('Paste SD Data'!B683="","",'Paste SD Data'!B683)</f>
        <v>C</v>
      </c>
      <c r="D686" s="26">
        <f>IF('Paste SD Data'!C683="","",'Paste SD Data'!C683)</f>
        <v>12888</v>
      </c>
      <c r="E686" s="27" t="str">
        <f>IF('Paste SD Data'!E683="","",UPPER('Paste SD Data'!E683))</f>
        <v>ASHOK SINGH</v>
      </c>
      <c r="F686" s="27" t="str">
        <f>IF('Paste SD Data'!G683="","",UPPER('Paste SD Data'!G683))</f>
        <v>MITHU SINGH</v>
      </c>
      <c r="G686" s="27" t="str">
        <f>IF('Paste SD Data'!H683="","",UPPER('Paste SD Data'!H683))</f>
        <v>SHANTA DEVI</v>
      </c>
      <c r="H686" s="26" t="str">
        <f>IF('Paste SD Data'!I683="","",IF('Paste SD Data'!I683="M","BOY","GIRL"))</f>
        <v>BOY</v>
      </c>
      <c r="I686" s="28">
        <f>IF('Paste SD Data'!J683="","",'Paste SD Data'!J683)</f>
        <v>38469</v>
      </c>
      <c r="J686" s="34">
        <f t="shared" si="10"/>
        <v>1112</v>
      </c>
      <c r="K686" s="29" t="str">
        <f>IF('Paste SD Data'!O683="","",'Paste SD Data'!O683)</f>
        <v>OBC</v>
      </c>
    </row>
    <row r="687" spans="1:11" ht="30" customHeight="1" x14ac:dyDescent="0.25">
      <c r="A687" s="25">
        <f>IF(Table1[[#This Row],[Name of Student]]="","",ROWS($A$1:A683))</f>
        <v>683</v>
      </c>
      <c r="B687" s="26">
        <f>IF('Paste SD Data'!A684="","",'Paste SD Data'!A684)</f>
        <v>12</v>
      </c>
      <c r="C687" s="26" t="str">
        <f>IF('Paste SD Data'!B684="","",'Paste SD Data'!B684)</f>
        <v>C</v>
      </c>
      <c r="D687" s="26">
        <f>IF('Paste SD Data'!C684="","",'Paste SD Data'!C684)</f>
        <v>13262</v>
      </c>
      <c r="E687" s="27" t="str">
        <f>IF('Paste SD Data'!E684="","",UPPER('Paste SD Data'!E684))</f>
        <v>BHARAT KUMAR</v>
      </c>
      <c r="F687" s="27" t="str">
        <f>IF('Paste SD Data'!G684="","",UPPER('Paste SD Data'!G684))</f>
        <v>KISHAN LAL</v>
      </c>
      <c r="G687" s="27" t="str">
        <f>IF('Paste SD Data'!H684="","",UPPER('Paste SD Data'!H684))</f>
        <v>REKHA DEVI</v>
      </c>
      <c r="H687" s="26" t="str">
        <f>IF('Paste SD Data'!I684="","",IF('Paste SD Data'!I684="M","BOY","GIRL"))</f>
        <v>BOY</v>
      </c>
      <c r="I687" s="28">
        <f>IF('Paste SD Data'!J684="","",'Paste SD Data'!J684)</f>
        <v>37104</v>
      </c>
      <c r="J687" s="34">
        <f t="shared" si="10"/>
        <v>1113</v>
      </c>
      <c r="K687" s="29" t="str">
        <f>IF('Paste SD Data'!O684="","",'Paste SD Data'!O684)</f>
        <v>SC</v>
      </c>
    </row>
    <row r="688" spans="1:11" ht="30" customHeight="1" x14ac:dyDescent="0.25">
      <c r="A688" s="25">
        <f>IF(Table1[[#This Row],[Name of Student]]="","",ROWS($A$1:A684))</f>
        <v>684</v>
      </c>
      <c r="B688" s="26">
        <f>IF('Paste SD Data'!A685="","",'Paste SD Data'!A685)</f>
        <v>12</v>
      </c>
      <c r="C688" s="26" t="str">
        <f>IF('Paste SD Data'!B685="","",'Paste SD Data'!B685)</f>
        <v>C</v>
      </c>
      <c r="D688" s="26">
        <f>IF('Paste SD Data'!C685="","",'Paste SD Data'!C685)</f>
        <v>13823</v>
      </c>
      <c r="E688" s="27" t="str">
        <f>IF('Paste SD Data'!E685="","",UPPER('Paste SD Data'!E685))</f>
        <v>BHAVESH GEHLOT</v>
      </c>
      <c r="F688" s="27" t="str">
        <f>IF('Paste SD Data'!G685="","",UPPER('Paste SD Data'!G685))</f>
        <v>KESHAR SINGH</v>
      </c>
      <c r="G688" s="27" t="str">
        <f>IF('Paste SD Data'!H685="","",UPPER('Paste SD Data'!H685))</f>
        <v>RADHA DEVI</v>
      </c>
      <c r="H688" s="26" t="str">
        <f>IF('Paste SD Data'!I685="","",IF('Paste SD Data'!I685="M","BOY","GIRL"))</f>
        <v>BOY</v>
      </c>
      <c r="I688" s="28">
        <f>IF('Paste SD Data'!J685="","",'Paste SD Data'!J685)</f>
        <v>38598</v>
      </c>
      <c r="J688" s="34">
        <f t="shared" si="10"/>
        <v>1114</v>
      </c>
      <c r="K688" s="29" t="str">
        <f>IF('Paste SD Data'!O685="","",'Paste SD Data'!O685)</f>
        <v>OBC</v>
      </c>
    </row>
    <row r="689" spans="1:11" ht="30" customHeight="1" x14ac:dyDescent="0.25">
      <c r="A689" s="25">
        <f>IF(Table1[[#This Row],[Name of Student]]="","",ROWS($A$1:A685))</f>
        <v>685</v>
      </c>
      <c r="B689" s="26">
        <f>IF('Paste SD Data'!A686="","",'Paste SD Data'!A686)</f>
        <v>12</v>
      </c>
      <c r="C689" s="26" t="str">
        <f>IF('Paste SD Data'!B686="","",'Paste SD Data'!B686)</f>
        <v>C</v>
      </c>
      <c r="D689" s="26">
        <f>IF('Paste SD Data'!C686="","",'Paste SD Data'!C686)</f>
        <v>13581</v>
      </c>
      <c r="E689" s="27" t="str">
        <f>IF('Paste SD Data'!E686="","",UPPER('Paste SD Data'!E686))</f>
        <v>BHUPENDRA BHAT</v>
      </c>
      <c r="F689" s="27" t="str">
        <f>IF('Paste SD Data'!G686="","",UPPER('Paste SD Data'!G686))</f>
        <v>SHANKAR LAL BHAT</v>
      </c>
      <c r="G689" s="27" t="str">
        <f>IF('Paste SD Data'!H686="","",UPPER('Paste SD Data'!H686))</f>
        <v>GULAB DEVI</v>
      </c>
      <c r="H689" s="26" t="str">
        <f>IF('Paste SD Data'!I686="","",IF('Paste SD Data'!I686="M","BOY","GIRL"))</f>
        <v>BOY</v>
      </c>
      <c r="I689" s="28">
        <f>IF('Paste SD Data'!J686="","",'Paste SD Data'!J686)</f>
        <v>37736</v>
      </c>
      <c r="J689" s="34">
        <f t="shared" si="10"/>
        <v>1115</v>
      </c>
      <c r="K689" s="29" t="str">
        <f>IF('Paste SD Data'!O686="","",'Paste SD Data'!O686)</f>
        <v>OBC</v>
      </c>
    </row>
    <row r="690" spans="1:11" ht="30" customHeight="1" x14ac:dyDescent="0.25">
      <c r="A690" s="25">
        <f>IF(Table1[[#This Row],[Name of Student]]="","",ROWS($A$1:A686))</f>
        <v>686</v>
      </c>
      <c r="B690" s="26">
        <f>IF('Paste SD Data'!A687="","",'Paste SD Data'!A687)</f>
        <v>12</v>
      </c>
      <c r="C690" s="26" t="str">
        <f>IF('Paste SD Data'!B687="","",'Paste SD Data'!B687)</f>
        <v>C</v>
      </c>
      <c r="D690" s="26">
        <f>IF('Paste SD Data'!C687="","",'Paste SD Data'!C687)</f>
        <v>13615</v>
      </c>
      <c r="E690" s="27" t="str">
        <f>IF('Paste SD Data'!E687="","",UPPER('Paste SD Data'!E687))</f>
        <v>CHANDRESH MEWARA</v>
      </c>
      <c r="F690" s="27" t="str">
        <f>IF('Paste SD Data'!G687="","",UPPER('Paste SD Data'!G687))</f>
        <v>NAVRATAN MEWARA</v>
      </c>
      <c r="G690" s="27" t="str">
        <f>IF('Paste SD Data'!H687="","",UPPER('Paste SD Data'!H687))</f>
        <v>LAXMI MEWARA</v>
      </c>
      <c r="H690" s="26" t="str">
        <f>IF('Paste SD Data'!I687="","",IF('Paste SD Data'!I687="M","BOY","GIRL"))</f>
        <v>BOY</v>
      </c>
      <c r="I690" s="28">
        <f>IF('Paste SD Data'!J687="","",'Paste SD Data'!J687)</f>
        <v>38288</v>
      </c>
      <c r="J690" s="34">
        <f t="shared" si="10"/>
        <v>1116</v>
      </c>
      <c r="K690" s="29" t="str">
        <f>IF('Paste SD Data'!O687="","",'Paste SD Data'!O687)</f>
        <v>OBC</v>
      </c>
    </row>
    <row r="691" spans="1:11" ht="30" customHeight="1" x14ac:dyDescent="0.25">
      <c r="A691" s="25">
        <f>IF(Table1[[#This Row],[Name of Student]]="","",ROWS($A$1:A687))</f>
        <v>687</v>
      </c>
      <c r="B691" s="26">
        <f>IF('Paste SD Data'!A688="","",'Paste SD Data'!A688)</f>
        <v>12</v>
      </c>
      <c r="C691" s="26" t="str">
        <f>IF('Paste SD Data'!B688="","",'Paste SD Data'!B688)</f>
        <v>C</v>
      </c>
      <c r="D691" s="26">
        <f>IF('Paste SD Data'!C688="","",'Paste SD Data'!C688)</f>
        <v>12942</v>
      </c>
      <c r="E691" s="27" t="str">
        <f>IF('Paste SD Data'!E688="","",UPPER('Paste SD Data'!E688))</f>
        <v>DEEPAK KUMAR KHATIK</v>
      </c>
      <c r="F691" s="27" t="str">
        <f>IF('Paste SD Data'!G688="","",UPPER('Paste SD Data'!G688))</f>
        <v>KAILASH CHANDRA</v>
      </c>
      <c r="G691" s="27" t="str">
        <f>IF('Paste SD Data'!H688="","",UPPER('Paste SD Data'!H688))</f>
        <v>PUSHPA DEVI</v>
      </c>
      <c r="H691" s="26" t="str">
        <f>IF('Paste SD Data'!I688="","",IF('Paste SD Data'!I688="M","BOY","GIRL"))</f>
        <v>BOY</v>
      </c>
      <c r="I691" s="28">
        <f>IF('Paste SD Data'!J688="","",'Paste SD Data'!J688)</f>
        <v>38067</v>
      </c>
      <c r="J691" s="34">
        <f t="shared" si="10"/>
        <v>1117</v>
      </c>
      <c r="K691" s="29" t="str">
        <f>IF('Paste SD Data'!O688="","",'Paste SD Data'!O688)</f>
        <v>SC</v>
      </c>
    </row>
    <row r="692" spans="1:11" ht="30" customHeight="1" x14ac:dyDescent="0.25">
      <c r="A692" s="25">
        <f>IF(Table1[[#This Row],[Name of Student]]="","",ROWS($A$1:A688))</f>
        <v>688</v>
      </c>
      <c r="B692" s="26">
        <f>IF('Paste SD Data'!A689="","",'Paste SD Data'!A689)</f>
        <v>12</v>
      </c>
      <c r="C692" s="26" t="str">
        <f>IF('Paste SD Data'!B689="","",'Paste SD Data'!B689)</f>
        <v>C</v>
      </c>
      <c r="D692" s="26">
        <f>IF('Paste SD Data'!C689="","",'Paste SD Data'!C689)</f>
        <v>13480</v>
      </c>
      <c r="E692" s="27" t="str">
        <f>IF('Paste SD Data'!E689="","",UPPER('Paste SD Data'!E689))</f>
        <v>DEVENDRA REGAR</v>
      </c>
      <c r="F692" s="27" t="str">
        <f>IF('Paste SD Data'!G689="","",UPPER('Paste SD Data'!G689))</f>
        <v>CHHAGAN LAL</v>
      </c>
      <c r="G692" s="27" t="str">
        <f>IF('Paste SD Data'!H689="","",UPPER('Paste SD Data'!H689))</f>
        <v>KHAMANI BAI</v>
      </c>
      <c r="H692" s="26" t="str">
        <f>IF('Paste SD Data'!I689="","",IF('Paste SD Data'!I689="M","BOY","GIRL"))</f>
        <v>BOY</v>
      </c>
      <c r="I692" s="28">
        <f>IF('Paste SD Data'!J689="","",'Paste SD Data'!J689)</f>
        <v>37538</v>
      </c>
      <c r="J692" s="34">
        <f t="shared" si="10"/>
        <v>1118</v>
      </c>
      <c r="K692" s="29" t="str">
        <f>IF('Paste SD Data'!O689="","",'Paste SD Data'!O689)</f>
        <v>SC</v>
      </c>
    </row>
    <row r="693" spans="1:11" ht="30" customHeight="1" x14ac:dyDescent="0.25">
      <c r="A693" s="25">
        <f>IF(Table1[[#This Row],[Name of Student]]="","",ROWS($A$1:A689))</f>
        <v>689</v>
      </c>
      <c r="B693" s="26">
        <f>IF('Paste SD Data'!A690="","",'Paste SD Data'!A690)</f>
        <v>12</v>
      </c>
      <c r="C693" s="26" t="str">
        <f>IF('Paste SD Data'!B690="","",'Paste SD Data'!B690)</f>
        <v>C</v>
      </c>
      <c r="D693" s="26">
        <f>IF('Paste SD Data'!C690="","",'Paste SD Data'!C690)</f>
        <v>12885</v>
      </c>
      <c r="E693" s="27" t="str">
        <f>IF('Paste SD Data'!E690="","",UPPER('Paste SD Data'!E690))</f>
        <v>DHARMA NATH</v>
      </c>
      <c r="F693" s="27" t="str">
        <f>IF('Paste SD Data'!G690="","",UPPER('Paste SD Data'!G690))</f>
        <v>SOHAN NATH</v>
      </c>
      <c r="G693" s="27" t="str">
        <f>IF('Paste SD Data'!H690="","",UPPER('Paste SD Data'!H690))</f>
        <v>MANGI DEVI</v>
      </c>
      <c r="H693" s="26" t="str">
        <f>IF('Paste SD Data'!I690="","",IF('Paste SD Data'!I690="M","BOY","GIRL"))</f>
        <v>BOY</v>
      </c>
      <c r="I693" s="28">
        <f>IF('Paste SD Data'!J690="","",'Paste SD Data'!J690)</f>
        <v>37495</v>
      </c>
      <c r="J693" s="34">
        <f t="shared" si="10"/>
        <v>1119</v>
      </c>
      <c r="K693" s="29" t="str">
        <f>IF('Paste SD Data'!O690="","",'Paste SD Data'!O690)</f>
        <v>OBC</v>
      </c>
    </row>
    <row r="694" spans="1:11" ht="30" customHeight="1" x14ac:dyDescent="0.25">
      <c r="A694" s="25">
        <f>IF(Table1[[#This Row],[Name of Student]]="","",ROWS($A$1:A690))</f>
        <v>690</v>
      </c>
      <c r="B694" s="26">
        <f>IF('Paste SD Data'!A691="","",'Paste SD Data'!A691)</f>
        <v>12</v>
      </c>
      <c r="C694" s="26" t="str">
        <f>IF('Paste SD Data'!B691="","",'Paste SD Data'!B691)</f>
        <v>C</v>
      </c>
      <c r="D694" s="26">
        <f>IF('Paste SD Data'!C691="","",'Paste SD Data'!C691)</f>
        <v>13922</v>
      </c>
      <c r="E694" s="27" t="str">
        <f>IF('Paste SD Data'!E691="","",UPPER('Paste SD Data'!E691))</f>
        <v>DINESH KUMAR GURJAR</v>
      </c>
      <c r="F694" s="27" t="str">
        <f>IF('Paste SD Data'!G691="","",UPPER('Paste SD Data'!G691))</f>
        <v>BHAIRU LAL GURJAR</v>
      </c>
      <c r="G694" s="27" t="str">
        <f>IF('Paste SD Data'!H691="","",UPPER('Paste SD Data'!H691))</f>
        <v>BANNI DEVI GURJAR</v>
      </c>
      <c r="H694" s="26" t="str">
        <f>IF('Paste SD Data'!I691="","",IF('Paste SD Data'!I691="M","BOY","GIRL"))</f>
        <v>BOY</v>
      </c>
      <c r="I694" s="28">
        <f>IF('Paste SD Data'!J691="","",'Paste SD Data'!J691)</f>
        <v>38551</v>
      </c>
      <c r="J694" s="34">
        <f t="shared" si="10"/>
        <v>1120</v>
      </c>
      <c r="K694" s="29" t="str">
        <f>IF('Paste SD Data'!O691="","",'Paste SD Data'!O691)</f>
        <v>SBC</v>
      </c>
    </row>
    <row r="695" spans="1:11" ht="30" customHeight="1" x14ac:dyDescent="0.25">
      <c r="A695" s="25">
        <f>IF(Table1[[#This Row],[Name of Student]]="","",ROWS($A$1:A691))</f>
        <v>691</v>
      </c>
      <c r="B695" s="26">
        <f>IF('Paste SD Data'!A692="","",'Paste SD Data'!A692)</f>
        <v>12</v>
      </c>
      <c r="C695" s="26" t="str">
        <f>IF('Paste SD Data'!B692="","",'Paste SD Data'!B692)</f>
        <v>C</v>
      </c>
      <c r="D695" s="26">
        <f>IF('Paste SD Data'!C692="","",'Paste SD Data'!C692)</f>
        <v>12548</v>
      </c>
      <c r="E695" s="27" t="str">
        <f>IF('Paste SD Data'!E692="","",UPPER('Paste SD Data'!E692))</f>
        <v>GOVIND SALVI</v>
      </c>
      <c r="F695" s="27" t="str">
        <f>IF('Paste SD Data'!G692="","",UPPER('Paste SD Data'!G692))</f>
        <v>ASHA RAM</v>
      </c>
      <c r="G695" s="27" t="str">
        <f>IF('Paste SD Data'!H692="","",UPPER('Paste SD Data'!H692))</f>
        <v>JAMNI DEVI</v>
      </c>
      <c r="H695" s="26" t="str">
        <f>IF('Paste SD Data'!I692="","",IF('Paste SD Data'!I692="M","BOY","GIRL"))</f>
        <v>BOY</v>
      </c>
      <c r="I695" s="28">
        <f>IF('Paste SD Data'!J692="","",'Paste SD Data'!J692)</f>
        <v>37927</v>
      </c>
      <c r="J695" s="34">
        <f t="shared" si="10"/>
        <v>1121</v>
      </c>
      <c r="K695" s="29" t="str">
        <f>IF('Paste SD Data'!O692="","",'Paste SD Data'!O692)</f>
        <v>SC</v>
      </c>
    </row>
    <row r="696" spans="1:11" ht="30" customHeight="1" x14ac:dyDescent="0.25">
      <c r="A696" s="25">
        <f>IF(Table1[[#This Row],[Name of Student]]="","",ROWS($A$1:A692))</f>
        <v>692</v>
      </c>
      <c r="B696" s="26">
        <f>IF('Paste SD Data'!A693="","",'Paste SD Data'!A693)</f>
        <v>12</v>
      </c>
      <c r="C696" s="26" t="str">
        <f>IF('Paste SD Data'!B693="","",'Paste SD Data'!B693)</f>
        <v>C</v>
      </c>
      <c r="D696" s="26">
        <f>IF('Paste SD Data'!C693="","",'Paste SD Data'!C693)</f>
        <v>12883</v>
      </c>
      <c r="E696" s="27" t="str">
        <f>IF('Paste SD Data'!E693="","",UPPER('Paste SD Data'!E693))</f>
        <v>HEM NATH</v>
      </c>
      <c r="F696" s="27" t="str">
        <f>IF('Paste SD Data'!G693="","",UPPER('Paste SD Data'!G693))</f>
        <v>MANGU NATH</v>
      </c>
      <c r="G696" s="27" t="str">
        <f>IF('Paste SD Data'!H693="","",UPPER('Paste SD Data'!H693))</f>
        <v>RUPI DEVI</v>
      </c>
      <c r="H696" s="26" t="str">
        <f>IF('Paste SD Data'!I693="","",IF('Paste SD Data'!I693="M","BOY","GIRL"))</f>
        <v>BOY</v>
      </c>
      <c r="I696" s="28">
        <f>IF('Paste SD Data'!J693="","",'Paste SD Data'!J693)</f>
        <v>38029</v>
      </c>
      <c r="J696" s="34">
        <f t="shared" si="10"/>
        <v>1122</v>
      </c>
      <c r="K696" s="29" t="str">
        <f>IF('Paste SD Data'!O693="","",'Paste SD Data'!O693)</f>
        <v>OBC</v>
      </c>
    </row>
    <row r="697" spans="1:11" ht="30" customHeight="1" x14ac:dyDescent="0.25">
      <c r="A697" s="25">
        <f>IF(Table1[[#This Row],[Name of Student]]="","",ROWS($A$1:A693))</f>
        <v>693</v>
      </c>
      <c r="B697" s="26">
        <f>IF('Paste SD Data'!A694="","",'Paste SD Data'!A694)</f>
        <v>12</v>
      </c>
      <c r="C697" s="26" t="str">
        <f>IF('Paste SD Data'!B694="","",'Paste SD Data'!B694)</f>
        <v>C</v>
      </c>
      <c r="D697" s="26">
        <f>IF('Paste SD Data'!C694="","",'Paste SD Data'!C694)</f>
        <v>13354</v>
      </c>
      <c r="E697" s="27" t="str">
        <f>IF('Paste SD Data'!E694="","",UPPER('Paste SD Data'!E694))</f>
        <v>HITESH KUMAR SALVI</v>
      </c>
      <c r="F697" s="27" t="str">
        <f>IF('Paste SD Data'!G694="","",UPPER('Paste SD Data'!G694))</f>
        <v>GEHARI LAL</v>
      </c>
      <c r="G697" s="27" t="str">
        <f>IF('Paste SD Data'!H694="","",UPPER('Paste SD Data'!H694))</f>
        <v>MADHU DEVI</v>
      </c>
      <c r="H697" s="26" t="str">
        <f>IF('Paste SD Data'!I694="","",IF('Paste SD Data'!I694="M","BOY","GIRL"))</f>
        <v>BOY</v>
      </c>
      <c r="I697" s="28">
        <f>IF('Paste SD Data'!J694="","",'Paste SD Data'!J694)</f>
        <v>38132</v>
      </c>
      <c r="J697" s="34">
        <f t="shared" si="10"/>
        <v>1123</v>
      </c>
      <c r="K697" s="29" t="str">
        <f>IF('Paste SD Data'!O694="","",'Paste SD Data'!O694)</f>
        <v>SC</v>
      </c>
    </row>
    <row r="698" spans="1:11" ht="30" customHeight="1" x14ac:dyDescent="0.25">
      <c r="A698" s="25">
        <f>IF(Table1[[#This Row],[Name of Student]]="","",ROWS($A$1:A694))</f>
        <v>694</v>
      </c>
      <c r="B698" s="26">
        <f>IF('Paste SD Data'!A695="","",'Paste SD Data'!A695)</f>
        <v>12</v>
      </c>
      <c r="C698" s="26" t="str">
        <f>IF('Paste SD Data'!B695="","",'Paste SD Data'!B695)</f>
        <v>C</v>
      </c>
      <c r="D698" s="26">
        <f>IF('Paste SD Data'!C695="","",'Paste SD Data'!C695)</f>
        <v>12371</v>
      </c>
      <c r="E698" s="27" t="str">
        <f>IF('Paste SD Data'!E695="","",UPPER('Paste SD Data'!E695))</f>
        <v>INDRA MAL</v>
      </c>
      <c r="F698" s="27" t="str">
        <f>IF('Paste SD Data'!G695="","",UPPER('Paste SD Data'!G695))</f>
        <v>BHANWAR LAL REGAR</v>
      </c>
      <c r="G698" s="27" t="str">
        <f>IF('Paste SD Data'!H695="","",UPPER('Paste SD Data'!H695))</f>
        <v>PYARI DEVI</v>
      </c>
      <c r="H698" s="26" t="str">
        <f>IF('Paste SD Data'!I695="","",IF('Paste SD Data'!I695="M","BOY","GIRL"))</f>
        <v>BOY</v>
      </c>
      <c r="I698" s="28">
        <f>IF('Paste SD Data'!J695="","",'Paste SD Data'!J695)</f>
        <v>37962</v>
      </c>
      <c r="J698" s="34">
        <f t="shared" si="10"/>
        <v>1124</v>
      </c>
      <c r="K698" s="29" t="str">
        <f>IF('Paste SD Data'!O695="","",'Paste SD Data'!O695)</f>
        <v>SC</v>
      </c>
    </row>
    <row r="699" spans="1:11" ht="30" customHeight="1" x14ac:dyDescent="0.25">
      <c r="A699" s="25">
        <f>IF(Table1[[#This Row],[Name of Student]]="","",ROWS($A$1:A695))</f>
        <v>695</v>
      </c>
      <c r="B699" s="26">
        <f>IF('Paste SD Data'!A696="","",'Paste SD Data'!A696)</f>
        <v>12</v>
      </c>
      <c r="C699" s="26" t="str">
        <f>IF('Paste SD Data'!B696="","",'Paste SD Data'!B696)</f>
        <v>C</v>
      </c>
      <c r="D699" s="26">
        <f>IF('Paste SD Data'!C696="","",'Paste SD Data'!C696)</f>
        <v>13544</v>
      </c>
      <c r="E699" s="27" t="str">
        <f>IF('Paste SD Data'!E696="","",UPPER('Paste SD Data'!E696))</f>
        <v>ISHWAR LAL YATI</v>
      </c>
      <c r="F699" s="27" t="str">
        <f>IF('Paste SD Data'!G696="","",UPPER('Paste SD Data'!G696))</f>
        <v>CHANDRA PRAKASH</v>
      </c>
      <c r="G699" s="27" t="str">
        <f>IF('Paste SD Data'!H696="","",UPPER('Paste SD Data'!H696))</f>
        <v>SANTOSH DEVI</v>
      </c>
      <c r="H699" s="26" t="str">
        <f>IF('Paste SD Data'!I696="","",IF('Paste SD Data'!I696="M","BOY","GIRL"))</f>
        <v>BOY</v>
      </c>
      <c r="I699" s="28">
        <f>IF('Paste SD Data'!J696="","",'Paste SD Data'!J696)</f>
        <v>37690</v>
      </c>
      <c r="J699" s="34">
        <f t="shared" si="10"/>
        <v>1125</v>
      </c>
      <c r="K699" s="29" t="str">
        <f>IF('Paste SD Data'!O696="","",'Paste SD Data'!O696)</f>
        <v>GEN</v>
      </c>
    </row>
    <row r="700" spans="1:11" ht="30" customHeight="1" x14ac:dyDescent="0.25">
      <c r="A700" s="25">
        <f>IF(Table1[[#This Row],[Name of Student]]="","",ROWS($A$1:A696))</f>
        <v>696</v>
      </c>
      <c r="B700" s="26">
        <f>IF('Paste SD Data'!A697="","",'Paste SD Data'!A697)</f>
        <v>12</v>
      </c>
      <c r="C700" s="26" t="str">
        <f>IF('Paste SD Data'!B697="","",'Paste SD Data'!B697)</f>
        <v>C</v>
      </c>
      <c r="D700" s="26">
        <f>IF('Paste SD Data'!C697="","",'Paste SD Data'!C697)</f>
        <v>12964</v>
      </c>
      <c r="E700" s="27" t="str">
        <f>IF('Paste SD Data'!E697="","",UPPER('Paste SD Data'!E697))</f>
        <v>JASWANT SINGH</v>
      </c>
      <c r="F700" s="27" t="str">
        <f>IF('Paste SD Data'!G697="","",UPPER('Paste SD Data'!G697))</f>
        <v>ARJUN SINGH</v>
      </c>
      <c r="G700" s="27" t="str">
        <f>IF('Paste SD Data'!H697="","",UPPER('Paste SD Data'!H697))</f>
        <v>KAMLA DEVI</v>
      </c>
      <c r="H700" s="26" t="str">
        <f>IF('Paste SD Data'!I697="","",IF('Paste SD Data'!I697="M","BOY","GIRL"))</f>
        <v>BOY</v>
      </c>
      <c r="I700" s="28">
        <f>IF('Paste SD Data'!J697="","",'Paste SD Data'!J697)</f>
        <v>38098</v>
      </c>
      <c r="J700" s="34">
        <f t="shared" si="10"/>
        <v>1126</v>
      </c>
      <c r="K700" s="29" t="str">
        <f>IF('Paste SD Data'!O697="","",'Paste SD Data'!O697)</f>
        <v>OBC</v>
      </c>
    </row>
    <row r="701" spans="1:11" ht="30" customHeight="1" x14ac:dyDescent="0.25">
      <c r="A701" s="25">
        <f>IF(Table1[[#This Row],[Name of Student]]="","",ROWS($A$1:A697))</f>
        <v>697</v>
      </c>
      <c r="B701" s="26">
        <f>IF('Paste SD Data'!A698="","",'Paste SD Data'!A698)</f>
        <v>12</v>
      </c>
      <c r="C701" s="26" t="str">
        <f>IF('Paste SD Data'!B698="","",'Paste SD Data'!B698)</f>
        <v>C</v>
      </c>
      <c r="D701" s="26">
        <f>IF('Paste SD Data'!C698="","",'Paste SD Data'!C698)</f>
        <v>13565</v>
      </c>
      <c r="E701" s="27" t="str">
        <f>IF('Paste SD Data'!E698="","",UPPER('Paste SD Data'!E698))</f>
        <v>KAMLESH REGAR</v>
      </c>
      <c r="F701" s="27" t="str">
        <f>IF('Paste SD Data'!G698="","",UPPER('Paste SD Data'!G698))</f>
        <v>PRAKASH REGAR</v>
      </c>
      <c r="G701" s="27" t="str">
        <f>IF('Paste SD Data'!H698="","",UPPER('Paste SD Data'!H698))</f>
        <v>NARBADA DEVI</v>
      </c>
      <c r="H701" s="26" t="str">
        <f>IF('Paste SD Data'!I698="","",IF('Paste SD Data'!I698="M","BOY","GIRL"))</f>
        <v>BOY</v>
      </c>
      <c r="I701" s="28">
        <f>IF('Paste SD Data'!J698="","",'Paste SD Data'!J698)</f>
        <v>37584</v>
      </c>
      <c r="J701" s="34">
        <f t="shared" si="10"/>
        <v>1127</v>
      </c>
      <c r="K701" s="29" t="str">
        <f>IF('Paste SD Data'!O698="","",'Paste SD Data'!O698)</f>
        <v>SC</v>
      </c>
    </row>
    <row r="702" spans="1:11" ht="30" customHeight="1" x14ac:dyDescent="0.25">
      <c r="A702" s="25">
        <f>IF(Table1[[#This Row],[Name of Student]]="","",ROWS($A$1:A698))</f>
        <v>698</v>
      </c>
      <c r="B702" s="26">
        <f>IF('Paste SD Data'!A699="","",'Paste SD Data'!A699)</f>
        <v>12</v>
      </c>
      <c r="C702" s="26" t="str">
        <f>IF('Paste SD Data'!B699="","",'Paste SD Data'!B699)</f>
        <v>C</v>
      </c>
      <c r="D702" s="26">
        <f>IF('Paste SD Data'!C699="","",'Paste SD Data'!C699)</f>
        <v>13481</v>
      </c>
      <c r="E702" s="27" t="str">
        <f>IF('Paste SD Data'!E699="","",UPPER('Paste SD Data'!E699))</f>
        <v>KARAN SANSI</v>
      </c>
      <c r="F702" s="27" t="str">
        <f>IF('Paste SD Data'!G699="","",UPPER('Paste SD Data'!G699))</f>
        <v>SHIV LAL SANSI</v>
      </c>
      <c r="G702" s="27" t="str">
        <f>IF('Paste SD Data'!H699="","",UPPER('Paste SD Data'!H699))</f>
        <v>RAMKALI</v>
      </c>
      <c r="H702" s="26" t="str">
        <f>IF('Paste SD Data'!I699="","",IF('Paste SD Data'!I699="M","BOY","GIRL"))</f>
        <v>BOY</v>
      </c>
      <c r="I702" s="28">
        <f>IF('Paste SD Data'!J699="","",'Paste SD Data'!J699)</f>
        <v>38434</v>
      </c>
      <c r="J702" s="34">
        <f t="shared" si="10"/>
        <v>1128</v>
      </c>
      <c r="K702" s="29" t="str">
        <f>IF('Paste SD Data'!O699="","",'Paste SD Data'!O699)</f>
        <v>SC</v>
      </c>
    </row>
    <row r="703" spans="1:11" ht="30" customHeight="1" x14ac:dyDescent="0.25">
      <c r="A703" s="25">
        <f>IF(Table1[[#This Row],[Name of Student]]="","",ROWS($A$1:A699))</f>
        <v>699</v>
      </c>
      <c r="B703" s="26">
        <f>IF('Paste SD Data'!A700="","",'Paste SD Data'!A700)</f>
        <v>12</v>
      </c>
      <c r="C703" s="26" t="str">
        <f>IF('Paste SD Data'!B700="","",'Paste SD Data'!B700)</f>
        <v>C</v>
      </c>
      <c r="D703" s="26">
        <f>IF('Paste SD Data'!C700="","",'Paste SD Data'!C700)</f>
        <v>12958</v>
      </c>
      <c r="E703" s="27" t="str">
        <f>IF('Paste SD Data'!E700="","",UPPER('Paste SD Data'!E700))</f>
        <v>KARAN SINGH RAWAT</v>
      </c>
      <c r="F703" s="27" t="str">
        <f>IF('Paste SD Data'!G700="","",UPPER('Paste SD Data'!G700))</f>
        <v>CHOON SINGH</v>
      </c>
      <c r="G703" s="27" t="str">
        <f>IF('Paste SD Data'!H700="","",UPPER('Paste SD Data'!H700))</f>
        <v>GANGA DEVI</v>
      </c>
      <c r="H703" s="26" t="str">
        <f>IF('Paste SD Data'!I700="","",IF('Paste SD Data'!I700="M","BOY","GIRL"))</f>
        <v>BOY</v>
      </c>
      <c r="I703" s="28">
        <f>IF('Paste SD Data'!J700="","",'Paste SD Data'!J700)</f>
        <v>37647</v>
      </c>
      <c r="J703" s="34">
        <f t="shared" si="10"/>
        <v>1129</v>
      </c>
      <c r="K703" s="29" t="str">
        <f>IF('Paste SD Data'!O700="","",'Paste SD Data'!O700)</f>
        <v>OBC</v>
      </c>
    </row>
    <row r="704" spans="1:11" ht="30" customHeight="1" x14ac:dyDescent="0.25">
      <c r="A704" s="25">
        <f>IF(Table1[[#This Row],[Name of Student]]="","",ROWS($A$1:A700))</f>
        <v>700</v>
      </c>
      <c r="B704" s="26">
        <f>IF('Paste SD Data'!A701="","",'Paste SD Data'!A701)</f>
        <v>12</v>
      </c>
      <c r="C704" s="26" t="str">
        <f>IF('Paste SD Data'!B701="","",'Paste SD Data'!B701)</f>
        <v>C</v>
      </c>
      <c r="D704" s="26">
        <f>IF('Paste SD Data'!C701="","",'Paste SD Data'!C701)</f>
        <v>13505</v>
      </c>
      <c r="E704" s="27" t="str">
        <f>IF('Paste SD Data'!E701="","",UPPER('Paste SD Data'!E701))</f>
        <v>KAVESH JOSHI</v>
      </c>
      <c r="F704" s="27" t="str">
        <f>IF('Paste SD Data'!G701="","",UPPER('Paste SD Data'!G701))</f>
        <v>RAJESH JOSHI</v>
      </c>
      <c r="G704" s="27" t="str">
        <f>IF('Paste SD Data'!H701="","",UPPER('Paste SD Data'!H701))</f>
        <v>SUNITA JOSHI</v>
      </c>
      <c r="H704" s="26" t="str">
        <f>IF('Paste SD Data'!I701="","",IF('Paste SD Data'!I701="M","BOY","GIRL"))</f>
        <v>BOY</v>
      </c>
      <c r="I704" s="28">
        <f>IF('Paste SD Data'!J701="","",'Paste SD Data'!J701)</f>
        <v>38511</v>
      </c>
      <c r="J704" s="34">
        <f t="shared" si="10"/>
        <v>1130</v>
      </c>
      <c r="K704" s="29" t="str">
        <f>IF('Paste SD Data'!O701="","",'Paste SD Data'!O701)</f>
        <v>GEN</v>
      </c>
    </row>
    <row r="705" spans="1:11" ht="30" customHeight="1" x14ac:dyDescent="0.25">
      <c r="A705" s="25">
        <f>IF(Table1[[#This Row],[Name of Student]]="","",ROWS($A$1:A701))</f>
        <v>701</v>
      </c>
      <c r="B705" s="26">
        <f>IF('Paste SD Data'!A702="","",'Paste SD Data'!A702)</f>
        <v>12</v>
      </c>
      <c r="C705" s="26" t="str">
        <f>IF('Paste SD Data'!B702="","",'Paste SD Data'!B702)</f>
        <v>C</v>
      </c>
      <c r="D705" s="26">
        <f>IF('Paste SD Data'!C702="","",'Paste SD Data'!C702)</f>
        <v>13477</v>
      </c>
      <c r="E705" s="27" t="str">
        <f>IF('Paste SD Data'!E702="","",UPPER('Paste SD Data'!E702))</f>
        <v>KHUSHWANT VYAS</v>
      </c>
      <c r="F705" s="27" t="str">
        <f>IF('Paste SD Data'!G702="","",UPPER('Paste SD Data'!G702))</f>
        <v>SATYA NARAYAN</v>
      </c>
      <c r="G705" s="27" t="str">
        <f>IF('Paste SD Data'!H702="","",UPPER('Paste SD Data'!H702))</f>
        <v>GIRIJA</v>
      </c>
      <c r="H705" s="26" t="str">
        <f>IF('Paste SD Data'!I702="","",IF('Paste SD Data'!I702="M","BOY","GIRL"))</f>
        <v>BOY</v>
      </c>
      <c r="I705" s="28">
        <f>IF('Paste SD Data'!J702="","",'Paste SD Data'!J702)</f>
        <v>38227</v>
      </c>
      <c r="J705" s="34">
        <f t="shared" si="10"/>
        <v>1131</v>
      </c>
      <c r="K705" s="29" t="str">
        <f>IF('Paste SD Data'!O702="","",'Paste SD Data'!O702)</f>
        <v>GEN</v>
      </c>
    </row>
    <row r="706" spans="1:11" ht="30" customHeight="1" x14ac:dyDescent="0.25">
      <c r="A706" s="25">
        <f>IF(Table1[[#This Row],[Name of Student]]="","",ROWS($A$1:A702))</f>
        <v>702</v>
      </c>
      <c r="B706" s="26">
        <f>IF('Paste SD Data'!A703="","",'Paste SD Data'!A703)</f>
        <v>12</v>
      </c>
      <c r="C706" s="26" t="str">
        <f>IF('Paste SD Data'!B703="","",'Paste SD Data'!B703)</f>
        <v>C</v>
      </c>
      <c r="D706" s="26">
        <f>IF('Paste SD Data'!C703="","",'Paste SD Data'!C703)</f>
        <v>13562</v>
      </c>
      <c r="E706" s="27" t="str">
        <f>IF('Paste SD Data'!E703="","",UPPER('Paste SD Data'!E703))</f>
        <v>KUSHAL SINGH CHUNDAWAT</v>
      </c>
      <c r="F706" s="27" t="str">
        <f>IF('Paste SD Data'!G703="","",UPPER('Paste SD Data'!G703))</f>
        <v>SHAL SINGH</v>
      </c>
      <c r="G706" s="27" t="str">
        <f>IF('Paste SD Data'!H703="","",UPPER('Paste SD Data'!H703))</f>
        <v>KAILASH KANWAR</v>
      </c>
      <c r="H706" s="26" t="str">
        <f>IF('Paste SD Data'!I703="","",IF('Paste SD Data'!I703="M","BOY","GIRL"))</f>
        <v>BOY</v>
      </c>
      <c r="I706" s="28">
        <f>IF('Paste SD Data'!J703="","",'Paste SD Data'!J703)</f>
        <v>38184</v>
      </c>
      <c r="J706" s="34">
        <f t="shared" si="10"/>
        <v>1132</v>
      </c>
      <c r="K706" s="29" t="str">
        <f>IF('Paste SD Data'!O703="","",'Paste SD Data'!O703)</f>
        <v>GEN</v>
      </c>
    </row>
    <row r="707" spans="1:11" ht="30" customHeight="1" x14ac:dyDescent="0.25">
      <c r="A707" s="25">
        <f>IF(Table1[[#This Row],[Name of Student]]="","",ROWS($A$1:A703))</f>
        <v>703</v>
      </c>
      <c r="B707" s="26">
        <f>IF('Paste SD Data'!A704="","",'Paste SD Data'!A704)</f>
        <v>12</v>
      </c>
      <c r="C707" s="26" t="str">
        <f>IF('Paste SD Data'!B704="","",'Paste SD Data'!B704)</f>
        <v>C</v>
      </c>
      <c r="D707" s="26">
        <f>IF('Paste SD Data'!C704="","",'Paste SD Data'!C704)</f>
        <v>13563</v>
      </c>
      <c r="E707" s="27" t="str">
        <f>IF('Paste SD Data'!E704="","",UPPER('Paste SD Data'!E704))</f>
        <v>LAXMAN LAL SALVI</v>
      </c>
      <c r="F707" s="27" t="str">
        <f>IF('Paste SD Data'!G704="","",UPPER('Paste SD Data'!G704))</f>
        <v>SHANKAR LAL SALVI</v>
      </c>
      <c r="G707" s="27" t="str">
        <f>IF('Paste SD Data'!H704="","",UPPER('Paste SD Data'!H704))</f>
        <v>DHAPU DEVI SALVI</v>
      </c>
      <c r="H707" s="26" t="str">
        <f>IF('Paste SD Data'!I704="","",IF('Paste SD Data'!I704="M","BOY","GIRL"))</f>
        <v>BOY</v>
      </c>
      <c r="I707" s="28">
        <f>IF('Paste SD Data'!J704="","",'Paste SD Data'!J704)</f>
        <v>38141</v>
      </c>
      <c r="J707" s="34">
        <f t="shared" si="10"/>
        <v>1133</v>
      </c>
      <c r="K707" s="29" t="str">
        <f>IF('Paste SD Data'!O704="","",'Paste SD Data'!O704)</f>
        <v>SC</v>
      </c>
    </row>
    <row r="708" spans="1:11" ht="30" customHeight="1" x14ac:dyDescent="0.25">
      <c r="A708" s="25">
        <f>IF(Table1[[#This Row],[Name of Student]]="","",ROWS($A$1:A704))</f>
        <v>704</v>
      </c>
      <c r="B708" s="26">
        <f>IF('Paste SD Data'!A705="","",'Paste SD Data'!A705)</f>
        <v>12</v>
      </c>
      <c r="C708" s="26" t="str">
        <f>IF('Paste SD Data'!B705="","",'Paste SD Data'!B705)</f>
        <v>C</v>
      </c>
      <c r="D708" s="26">
        <f>IF('Paste SD Data'!C705="","",'Paste SD Data'!C705)</f>
        <v>13554</v>
      </c>
      <c r="E708" s="27" t="str">
        <f>IF('Paste SD Data'!E705="","",UPPER('Paste SD Data'!E705))</f>
        <v>LOKENDRA SINGH</v>
      </c>
      <c r="F708" s="27" t="str">
        <f>IF('Paste SD Data'!G705="","",UPPER('Paste SD Data'!G705))</f>
        <v>FATEH SINGH</v>
      </c>
      <c r="G708" s="27" t="str">
        <f>IF('Paste SD Data'!H705="","",UPPER('Paste SD Data'!H705))</f>
        <v>BADAMI DEVI</v>
      </c>
      <c r="H708" s="26" t="str">
        <f>IF('Paste SD Data'!I705="","",IF('Paste SD Data'!I705="M","BOY","GIRL"))</f>
        <v>BOY</v>
      </c>
      <c r="I708" s="28">
        <f>IF('Paste SD Data'!J705="","",'Paste SD Data'!J705)</f>
        <v>38092</v>
      </c>
      <c r="J708" s="34">
        <f t="shared" si="10"/>
        <v>1134</v>
      </c>
      <c r="K708" s="29" t="str">
        <f>IF('Paste SD Data'!O705="","",'Paste SD Data'!O705)</f>
        <v>OBC</v>
      </c>
    </row>
    <row r="709" spans="1:11" ht="30" customHeight="1" x14ac:dyDescent="0.25">
      <c r="A709" s="25">
        <f>IF(Table1[[#This Row],[Name of Student]]="","",ROWS($A$1:A705))</f>
        <v>705</v>
      </c>
      <c r="B709" s="26">
        <f>IF('Paste SD Data'!A706="","",'Paste SD Data'!A706)</f>
        <v>12</v>
      </c>
      <c r="C709" s="26" t="str">
        <f>IF('Paste SD Data'!B706="","",'Paste SD Data'!B706)</f>
        <v>C</v>
      </c>
      <c r="D709" s="26">
        <f>IF('Paste SD Data'!C706="","",'Paste SD Data'!C706)</f>
        <v>12950</v>
      </c>
      <c r="E709" s="27" t="str">
        <f>IF('Paste SD Data'!E706="","",UPPER('Paste SD Data'!E706))</f>
        <v>LOKESH KUMAR KHOKHAWAT</v>
      </c>
      <c r="F709" s="27" t="str">
        <f>IF('Paste SD Data'!G706="","",UPPER('Paste SD Data'!G706))</f>
        <v>RAMESH CHANDRA</v>
      </c>
      <c r="G709" s="27" t="str">
        <f>IF('Paste SD Data'!H706="","",UPPER('Paste SD Data'!H706))</f>
        <v>JAMNA DEVI</v>
      </c>
      <c r="H709" s="26" t="str">
        <f>IF('Paste SD Data'!I706="","",IF('Paste SD Data'!I706="M","BOY","GIRL"))</f>
        <v>BOY</v>
      </c>
      <c r="I709" s="28">
        <f>IF('Paste SD Data'!J706="","",'Paste SD Data'!J706)</f>
        <v>38173</v>
      </c>
      <c r="J709" s="34">
        <f t="shared" si="10"/>
        <v>1135</v>
      </c>
      <c r="K709" s="29" t="str">
        <f>IF('Paste SD Data'!O706="","",'Paste SD Data'!O706)</f>
        <v>SC</v>
      </c>
    </row>
    <row r="710" spans="1:11" ht="30" customHeight="1" x14ac:dyDescent="0.25">
      <c r="A710" s="25">
        <f>IF(Table1[[#This Row],[Name of Student]]="","",ROWS($A$1:A706))</f>
        <v>706</v>
      </c>
      <c r="B710" s="26">
        <f>IF('Paste SD Data'!A707="","",'Paste SD Data'!A707)</f>
        <v>12</v>
      </c>
      <c r="C710" s="26" t="str">
        <f>IF('Paste SD Data'!B707="","",'Paste SD Data'!B707)</f>
        <v>C</v>
      </c>
      <c r="D710" s="26">
        <f>IF('Paste SD Data'!C707="","",'Paste SD Data'!C707)</f>
        <v>12645</v>
      </c>
      <c r="E710" s="27" t="str">
        <f>IF('Paste SD Data'!E707="","",UPPER('Paste SD Data'!E707))</f>
        <v>LOKESH KUMAR SALVI</v>
      </c>
      <c r="F710" s="27" t="str">
        <f>IF('Paste SD Data'!G707="","",UPPER('Paste SD Data'!G707))</f>
        <v>PRAKASH CHANDR SALVI</v>
      </c>
      <c r="G710" s="27" t="str">
        <f>IF('Paste SD Data'!H707="","",UPPER('Paste SD Data'!H707))</f>
        <v>BHAVARI DEVI</v>
      </c>
      <c r="H710" s="26" t="str">
        <f>IF('Paste SD Data'!I707="","",IF('Paste SD Data'!I707="M","BOY","GIRL"))</f>
        <v>BOY</v>
      </c>
      <c r="I710" s="28">
        <f>IF('Paste SD Data'!J707="","",'Paste SD Data'!J707)</f>
        <v>37279</v>
      </c>
      <c r="J710" s="34">
        <f t="shared" si="10"/>
        <v>1136</v>
      </c>
      <c r="K710" s="29" t="str">
        <f>IF('Paste SD Data'!O707="","",'Paste SD Data'!O707)</f>
        <v>SC</v>
      </c>
    </row>
    <row r="711" spans="1:11" ht="30" customHeight="1" x14ac:dyDescent="0.25">
      <c r="A711" s="25">
        <f>IF(Table1[[#This Row],[Name of Student]]="","",ROWS($A$1:A707))</f>
        <v>707</v>
      </c>
      <c r="B711" s="26">
        <f>IF('Paste SD Data'!A708="","",'Paste SD Data'!A708)</f>
        <v>12</v>
      </c>
      <c r="C711" s="26" t="str">
        <f>IF('Paste SD Data'!B708="","",'Paste SD Data'!B708)</f>
        <v>C</v>
      </c>
      <c r="D711" s="26">
        <f>IF('Paste SD Data'!C708="","",'Paste SD Data'!C708)</f>
        <v>12931</v>
      </c>
      <c r="E711" s="27" t="str">
        <f>IF('Paste SD Data'!E708="","",UPPER('Paste SD Data'!E708))</f>
        <v>LOKESH SINGH</v>
      </c>
      <c r="F711" s="27" t="str">
        <f>IF('Paste SD Data'!G708="","",UPPER('Paste SD Data'!G708))</f>
        <v>PREM SINGH</v>
      </c>
      <c r="G711" s="27" t="str">
        <f>IF('Paste SD Data'!H708="","",UPPER('Paste SD Data'!H708))</f>
        <v>NAINU DEVI</v>
      </c>
      <c r="H711" s="26" t="str">
        <f>IF('Paste SD Data'!I708="","",IF('Paste SD Data'!I708="M","BOY","GIRL"))</f>
        <v>BOY</v>
      </c>
      <c r="I711" s="28">
        <f>IF('Paste SD Data'!J708="","",'Paste SD Data'!J708)</f>
        <v>38315</v>
      </c>
      <c r="J711" s="34">
        <f t="shared" ref="J711:J774" si="11">J710+1</f>
        <v>1137</v>
      </c>
      <c r="K711" s="29" t="str">
        <f>IF('Paste SD Data'!O708="","",'Paste SD Data'!O708)</f>
        <v>OBC</v>
      </c>
    </row>
    <row r="712" spans="1:11" ht="30" customHeight="1" x14ac:dyDescent="0.25">
      <c r="A712" s="25">
        <f>IF(Table1[[#This Row],[Name of Student]]="","",ROWS($A$1:A708))</f>
        <v>708</v>
      </c>
      <c r="B712" s="26">
        <f>IF('Paste SD Data'!A709="","",'Paste SD Data'!A709)</f>
        <v>12</v>
      </c>
      <c r="C712" s="26" t="str">
        <f>IF('Paste SD Data'!B709="","",'Paste SD Data'!B709)</f>
        <v>C</v>
      </c>
      <c r="D712" s="26">
        <f>IF('Paste SD Data'!C709="","",'Paste SD Data'!C709)</f>
        <v>13553</v>
      </c>
      <c r="E712" s="27" t="str">
        <f>IF('Paste SD Data'!E709="","",UPPER('Paste SD Data'!E709))</f>
        <v>MAHIPAL SINGH</v>
      </c>
      <c r="F712" s="27" t="str">
        <f>IF('Paste SD Data'!G709="","",UPPER('Paste SD Data'!G709))</f>
        <v>PARTAP SINGH</v>
      </c>
      <c r="G712" s="27" t="str">
        <f>IF('Paste SD Data'!H709="","",UPPER('Paste SD Data'!H709))</f>
        <v>TULSI DEVI</v>
      </c>
      <c r="H712" s="26" t="str">
        <f>IF('Paste SD Data'!I709="","",IF('Paste SD Data'!I709="M","BOY","GIRL"))</f>
        <v>BOY</v>
      </c>
      <c r="I712" s="28">
        <f>IF('Paste SD Data'!J709="","",'Paste SD Data'!J709)</f>
        <v>38569</v>
      </c>
      <c r="J712" s="34">
        <f t="shared" si="11"/>
        <v>1138</v>
      </c>
      <c r="K712" s="29" t="str">
        <f>IF('Paste SD Data'!O709="","",'Paste SD Data'!O709)</f>
        <v>OBC</v>
      </c>
    </row>
    <row r="713" spans="1:11" ht="30" customHeight="1" x14ac:dyDescent="0.25">
      <c r="A713" s="25">
        <f>IF(Table1[[#This Row],[Name of Student]]="","",ROWS($A$1:A709))</f>
        <v>709</v>
      </c>
      <c r="B713" s="26">
        <f>IF('Paste SD Data'!A710="","",'Paste SD Data'!A710)</f>
        <v>12</v>
      </c>
      <c r="C713" s="26" t="str">
        <f>IF('Paste SD Data'!B710="","",'Paste SD Data'!B710)</f>
        <v>C</v>
      </c>
      <c r="D713" s="26">
        <f>IF('Paste SD Data'!C710="","",'Paste SD Data'!C710)</f>
        <v>12998</v>
      </c>
      <c r="E713" s="27" t="str">
        <f>IF('Paste SD Data'!E710="","",UPPER('Paste SD Data'!E710))</f>
        <v>MANOHAR SINGH</v>
      </c>
      <c r="F713" s="27" t="str">
        <f>IF('Paste SD Data'!G710="","",UPPER('Paste SD Data'!G710))</f>
        <v>KHEEM SINGH</v>
      </c>
      <c r="G713" s="27" t="str">
        <f>IF('Paste SD Data'!H710="","",UPPER('Paste SD Data'!H710))</f>
        <v>PHULLI DEVI</v>
      </c>
      <c r="H713" s="26" t="str">
        <f>IF('Paste SD Data'!I710="","",IF('Paste SD Data'!I710="M","BOY","GIRL"))</f>
        <v>BOY</v>
      </c>
      <c r="I713" s="28">
        <f>IF('Paste SD Data'!J710="","",'Paste SD Data'!J710)</f>
        <v>37260</v>
      </c>
      <c r="J713" s="34">
        <f t="shared" si="11"/>
        <v>1139</v>
      </c>
      <c r="K713" s="29" t="str">
        <f>IF('Paste SD Data'!O710="","",'Paste SD Data'!O710)</f>
        <v>OBC</v>
      </c>
    </row>
    <row r="714" spans="1:11" ht="30" customHeight="1" x14ac:dyDescent="0.25">
      <c r="A714" s="25">
        <f>IF(Table1[[#This Row],[Name of Student]]="","",ROWS($A$1:A710))</f>
        <v>710</v>
      </c>
      <c r="B714" s="26">
        <f>IF('Paste SD Data'!A711="","",'Paste SD Data'!A711)</f>
        <v>12</v>
      </c>
      <c r="C714" s="26" t="str">
        <f>IF('Paste SD Data'!B711="","",'Paste SD Data'!B711)</f>
        <v>C</v>
      </c>
      <c r="D714" s="26">
        <f>IF('Paste SD Data'!C711="","",'Paste SD Data'!C711)</f>
        <v>13478</v>
      </c>
      <c r="E714" s="27" t="str">
        <f>IF('Paste SD Data'!E711="","",UPPER('Paste SD Data'!E711))</f>
        <v>MANOJ KUMAR KHATIK</v>
      </c>
      <c r="F714" s="27" t="str">
        <f>IF('Paste SD Data'!G711="","",UPPER('Paste SD Data'!G711))</f>
        <v>DOLA RAM</v>
      </c>
      <c r="G714" s="27" t="str">
        <f>IF('Paste SD Data'!H711="","",UPPER('Paste SD Data'!H711))</f>
        <v>PREMI DEVI</v>
      </c>
      <c r="H714" s="26" t="str">
        <f>IF('Paste SD Data'!I711="","",IF('Paste SD Data'!I711="M","BOY","GIRL"))</f>
        <v>BOY</v>
      </c>
      <c r="I714" s="28">
        <f>IF('Paste SD Data'!J711="","",'Paste SD Data'!J711)</f>
        <v>37975</v>
      </c>
      <c r="J714" s="34">
        <f t="shared" si="11"/>
        <v>1140</v>
      </c>
      <c r="K714" s="29" t="str">
        <f>IF('Paste SD Data'!O711="","",'Paste SD Data'!O711)</f>
        <v>SC</v>
      </c>
    </row>
    <row r="715" spans="1:11" ht="30" customHeight="1" x14ac:dyDescent="0.25">
      <c r="A715" s="25">
        <f>IF(Table1[[#This Row],[Name of Student]]="","",ROWS($A$1:A711))</f>
        <v>711</v>
      </c>
      <c r="B715" s="26">
        <f>IF('Paste SD Data'!A712="","",'Paste SD Data'!A712)</f>
        <v>12</v>
      </c>
      <c r="C715" s="26" t="str">
        <f>IF('Paste SD Data'!B712="","",'Paste SD Data'!B712)</f>
        <v>C</v>
      </c>
      <c r="D715" s="26">
        <f>IF('Paste SD Data'!C712="","",'Paste SD Data'!C712)</f>
        <v>13502</v>
      </c>
      <c r="E715" s="27" t="str">
        <f>IF('Paste SD Data'!E712="","",UPPER('Paste SD Data'!E712))</f>
        <v>MAYANK SHARMA</v>
      </c>
      <c r="F715" s="27" t="str">
        <f>IF('Paste SD Data'!G712="","",UPPER('Paste SD Data'!G712))</f>
        <v>SANJAY KUMAR SHARMA</v>
      </c>
      <c r="G715" s="27" t="str">
        <f>IF('Paste SD Data'!H712="","",UPPER('Paste SD Data'!H712))</f>
        <v>REKHA SHARMA</v>
      </c>
      <c r="H715" s="26" t="str">
        <f>IF('Paste SD Data'!I712="","",IF('Paste SD Data'!I712="M","BOY","GIRL"))</f>
        <v>BOY</v>
      </c>
      <c r="I715" s="28">
        <f>IF('Paste SD Data'!J712="","",'Paste SD Data'!J712)</f>
        <v>38390</v>
      </c>
      <c r="J715" s="34">
        <f t="shared" si="11"/>
        <v>1141</v>
      </c>
      <c r="K715" s="29" t="str">
        <f>IF('Paste SD Data'!O712="","",'Paste SD Data'!O712)</f>
        <v>GEN</v>
      </c>
    </row>
    <row r="716" spans="1:11" ht="30" customHeight="1" x14ac:dyDescent="0.25">
      <c r="A716" s="25">
        <f>IF(Table1[[#This Row],[Name of Student]]="","",ROWS($A$1:A712))</f>
        <v>712</v>
      </c>
      <c r="B716" s="26">
        <f>IF('Paste SD Data'!A713="","",'Paste SD Data'!A713)</f>
        <v>12</v>
      </c>
      <c r="C716" s="26" t="str">
        <f>IF('Paste SD Data'!B713="","",'Paste SD Data'!B713)</f>
        <v>C</v>
      </c>
      <c r="D716" s="26">
        <f>IF('Paste SD Data'!C713="","",'Paste SD Data'!C713)</f>
        <v>13506</v>
      </c>
      <c r="E716" s="27" t="str">
        <f>IF('Paste SD Data'!E713="","",UPPER('Paste SD Data'!E713))</f>
        <v>MEHUL ANAND</v>
      </c>
      <c r="F716" s="27" t="str">
        <f>IF('Paste SD Data'!G713="","",UPPER('Paste SD Data'!G713))</f>
        <v>PRAKASH CHANDRA</v>
      </c>
      <c r="G716" s="27" t="str">
        <f>IF('Paste SD Data'!H713="","",UPPER('Paste SD Data'!H713))</f>
        <v>PURAN DEVI</v>
      </c>
      <c r="H716" s="26" t="str">
        <f>IF('Paste SD Data'!I713="","",IF('Paste SD Data'!I713="M","BOY","GIRL"))</f>
        <v>BOY</v>
      </c>
      <c r="I716" s="28">
        <f>IF('Paste SD Data'!J713="","",'Paste SD Data'!J713)</f>
        <v>39154</v>
      </c>
      <c r="J716" s="34">
        <f t="shared" si="11"/>
        <v>1142</v>
      </c>
      <c r="K716" s="29" t="str">
        <f>IF('Paste SD Data'!O713="","",'Paste SD Data'!O713)</f>
        <v>OBC</v>
      </c>
    </row>
    <row r="717" spans="1:11" ht="30" customHeight="1" x14ac:dyDescent="0.25">
      <c r="A717" s="25">
        <f>IF(Table1[[#This Row],[Name of Student]]="","",ROWS($A$1:A713))</f>
        <v>713</v>
      </c>
      <c r="B717" s="26">
        <f>IF('Paste SD Data'!A714="","",'Paste SD Data'!A714)</f>
        <v>12</v>
      </c>
      <c r="C717" s="26" t="str">
        <f>IF('Paste SD Data'!B714="","",'Paste SD Data'!B714)</f>
        <v>C</v>
      </c>
      <c r="D717" s="26">
        <f>IF('Paste SD Data'!C714="","",'Paste SD Data'!C714)</f>
        <v>13666</v>
      </c>
      <c r="E717" s="27" t="str">
        <f>IF('Paste SD Data'!E714="","",UPPER('Paste SD Data'!E714))</f>
        <v>MOHAMMAD ARIF</v>
      </c>
      <c r="F717" s="27" t="str">
        <f>IF('Paste SD Data'!G714="","",UPPER('Paste SD Data'!G714))</f>
        <v>NABI BAKSH</v>
      </c>
      <c r="G717" s="27" t="str">
        <f>IF('Paste SD Data'!H714="","",UPPER('Paste SD Data'!H714))</f>
        <v>SAMIM BANU</v>
      </c>
      <c r="H717" s="26" t="str">
        <f>IF('Paste SD Data'!I714="","",IF('Paste SD Data'!I714="M","BOY","GIRL"))</f>
        <v>BOY</v>
      </c>
      <c r="I717" s="28">
        <f>IF('Paste SD Data'!J714="","",'Paste SD Data'!J714)</f>
        <v>38462</v>
      </c>
      <c r="J717" s="34">
        <f t="shared" si="11"/>
        <v>1143</v>
      </c>
      <c r="K717" s="29" t="str">
        <f>IF('Paste SD Data'!O714="","",'Paste SD Data'!O714)</f>
        <v>GEN</v>
      </c>
    </row>
    <row r="718" spans="1:11" ht="30" customHeight="1" x14ac:dyDescent="0.25">
      <c r="A718" s="25">
        <f>IF(Table1[[#This Row],[Name of Student]]="","",ROWS($A$1:A714))</f>
        <v>714</v>
      </c>
      <c r="B718" s="26">
        <f>IF('Paste SD Data'!A715="","",'Paste SD Data'!A715)</f>
        <v>12</v>
      </c>
      <c r="C718" s="26" t="str">
        <f>IF('Paste SD Data'!B715="","",'Paste SD Data'!B715)</f>
        <v>C</v>
      </c>
      <c r="D718" s="26">
        <f>IF('Paste SD Data'!C715="","",'Paste SD Data'!C715)</f>
        <v>12993</v>
      </c>
      <c r="E718" s="27" t="str">
        <f>IF('Paste SD Data'!E715="","",UPPER('Paste SD Data'!E715))</f>
        <v>MOHMMAD BILAL</v>
      </c>
      <c r="F718" s="27" t="str">
        <f>IF('Paste SD Data'!G715="","",UPPER('Paste SD Data'!G715))</f>
        <v>PARVEJ MOHAMMAD</v>
      </c>
      <c r="G718" s="27" t="str">
        <f>IF('Paste SD Data'!H715="","",UPPER('Paste SD Data'!H715))</f>
        <v>JAAYDA BAANU</v>
      </c>
      <c r="H718" s="26" t="str">
        <f>IF('Paste SD Data'!I715="","",IF('Paste SD Data'!I715="M","BOY","GIRL"))</f>
        <v>BOY</v>
      </c>
      <c r="I718" s="28">
        <f>IF('Paste SD Data'!J715="","",'Paste SD Data'!J715)</f>
        <v>38568</v>
      </c>
      <c r="J718" s="34">
        <f t="shared" si="11"/>
        <v>1144</v>
      </c>
      <c r="K718" s="29" t="str">
        <f>IF('Paste SD Data'!O715="","",'Paste SD Data'!O715)</f>
        <v>OBC</v>
      </c>
    </row>
    <row r="719" spans="1:11" ht="30" customHeight="1" x14ac:dyDescent="0.25">
      <c r="A719" s="25">
        <f>IF(Table1[[#This Row],[Name of Student]]="","",ROWS($A$1:A715))</f>
        <v>715</v>
      </c>
      <c r="B719" s="26">
        <f>IF('Paste SD Data'!A716="","",'Paste SD Data'!A716)</f>
        <v>12</v>
      </c>
      <c r="C719" s="26" t="str">
        <f>IF('Paste SD Data'!B716="","",'Paste SD Data'!B716)</f>
        <v>C</v>
      </c>
      <c r="D719" s="26">
        <f>IF('Paste SD Data'!C716="","",'Paste SD Data'!C716)</f>
        <v>13007</v>
      </c>
      <c r="E719" s="27" t="str">
        <f>IF('Paste SD Data'!E716="","",UPPER('Paste SD Data'!E716))</f>
        <v>NARESH SUTHAR</v>
      </c>
      <c r="F719" s="27" t="str">
        <f>IF('Paste SD Data'!G716="","",UPPER('Paste SD Data'!G716))</f>
        <v>DEVILAL</v>
      </c>
      <c r="G719" s="27" t="str">
        <f>IF('Paste SD Data'!H716="","",UPPER('Paste SD Data'!H716))</f>
        <v>NAUSAR DEVI</v>
      </c>
      <c r="H719" s="26" t="str">
        <f>IF('Paste SD Data'!I716="","",IF('Paste SD Data'!I716="M","BOY","GIRL"))</f>
        <v>BOY</v>
      </c>
      <c r="I719" s="28">
        <f>IF('Paste SD Data'!J716="","",'Paste SD Data'!J716)</f>
        <v>37970</v>
      </c>
      <c r="J719" s="34">
        <f t="shared" si="11"/>
        <v>1145</v>
      </c>
      <c r="K719" s="29" t="str">
        <f>IF('Paste SD Data'!O716="","",'Paste SD Data'!O716)</f>
        <v>OBC</v>
      </c>
    </row>
    <row r="720" spans="1:11" ht="30" customHeight="1" x14ac:dyDescent="0.25">
      <c r="A720" s="25">
        <f>IF(Table1[[#This Row],[Name of Student]]="","",ROWS($A$1:A716))</f>
        <v>716</v>
      </c>
      <c r="B720" s="26">
        <f>IF('Paste SD Data'!A717="","",'Paste SD Data'!A717)</f>
        <v>12</v>
      </c>
      <c r="C720" s="26" t="str">
        <f>IF('Paste SD Data'!B717="","",'Paste SD Data'!B717)</f>
        <v>C</v>
      </c>
      <c r="D720" s="26">
        <f>IF('Paste SD Data'!C717="","",'Paste SD Data'!C717)</f>
        <v>13543</v>
      </c>
      <c r="E720" s="27" t="str">
        <f>IF('Paste SD Data'!E717="","",UPPER('Paste SD Data'!E717))</f>
        <v>PRADEEP KUMAR</v>
      </c>
      <c r="F720" s="27" t="str">
        <f>IF('Paste SD Data'!G717="","",UPPER('Paste SD Data'!G717))</f>
        <v>DILIP KUMAR</v>
      </c>
      <c r="G720" s="27" t="str">
        <f>IF('Paste SD Data'!H717="","",UPPER('Paste SD Data'!H717))</f>
        <v>NIRMALA KUMARI</v>
      </c>
      <c r="H720" s="26" t="str">
        <f>IF('Paste SD Data'!I717="","",IF('Paste SD Data'!I717="M","BOY","GIRL"))</f>
        <v>BOY</v>
      </c>
      <c r="I720" s="28">
        <f>IF('Paste SD Data'!J717="","",'Paste SD Data'!J717)</f>
        <v>38518</v>
      </c>
      <c r="J720" s="34">
        <f t="shared" si="11"/>
        <v>1146</v>
      </c>
      <c r="K720" s="29" t="str">
        <f>IF('Paste SD Data'!O717="","",'Paste SD Data'!O717)</f>
        <v>OBC</v>
      </c>
    </row>
    <row r="721" spans="1:11" ht="30" customHeight="1" x14ac:dyDescent="0.25">
      <c r="A721" s="25">
        <f>IF(Table1[[#This Row],[Name of Student]]="","",ROWS($A$1:A717))</f>
        <v>717</v>
      </c>
      <c r="B721" s="26">
        <f>IF('Paste SD Data'!A718="","",'Paste SD Data'!A718)</f>
        <v>12</v>
      </c>
      <c r="C721" s="26" t="str">
        <f>IF('Paste SD Data'!B718="","",'Paste SD Data'!B718)</f>
        <v>C</v>
      </c>
      <c r="D721" s="26">
        <f>IF('Paste SD Data'!C718="","",'Paste SD Data'!C718)</f>
        <v>13510</v>
      </c>
      <c r="E721" s="27" t="str">
        <f>IF('Paste SD Data'!E718="","",UPPER('Paste SD Data'!E718))</f>
        <v>PRAKASH CHANDRA</v>
      </c>
      <c r="F721" s="27" t="str">
        <f>IF('Paste SD Data'!G718="","",UPPER('Paste SD Data'!G718))</f>
        <v>KISHAN LAL REGAR</v>
      </c>
      <c r="G721" s="27" t="str">
        <f>IF('Paste SD Data'!H718="","",UPPER('Paste SD Data'!H718))</f>
        <v>SHEELA DEVI</v>
      </c>
      <c r="H721" s="26" t="str">
        <f>IF('Paste SD Data'!I718="","",IF('Paste SD Data'!I718="M","BOY","GIRL"))</f>
        <v>BOY</v>
      </c>
      <c r="I721" s="28">
        <f>IF('Paste SD Data'!J718="","",'Paste SD Data'!J718)</f>
        <v>38365</v>
      </c>
      <c r="J721" s="34">
        <f t="shared" si="11"/>
        <v>1147</v>
      </c>
      <c r="K721" s="29" t="str">
        <f>IF('Paste SD Data'!O718="","",'Paste SD Data'!O718)</f>
        <v>SC</v>
      </c>
    </row>
    <row r="722" spans="1:11" ht="30" customHeight="1" x14ac:dyDescent="0.25">
      <c r="A722" s="25">
        <f>IF(Table1[[#This Row],[Name of Student]]="","",ROWS($A$1:A718))</f>
        <v>718</v>
      </c>
      <c r="B722" s="26">
        <f>IF('Paste SD Data'!A719="","",'Paste SD Data'!A719)</f>
        <v>12</v>
      </c>
      <c r="C722" s="26" t="str">
        <f>IF('Paste SD Data'!B719="","",'Paste SD Data'!B719)</f>
        <v>C</v>
      </c>
      <c r="D722" s="26">
        <f>IF('Paste SD Data'!C719="","",'Paste SD Data'!C719)</f>
        <v>13001</v>
      </c>
      <c r="E722" s="27" t="str">
        <f>IF('Paste SD Data'!E719="","",UPPER('Paste SD Data'!E719))</f>
        <v>PRATAP SINGH</v>
      </c>
      <c r="F722" s="27" t="str">
        <f>IF('Paste SD Data'!G719="","",UPPER('Paste SD Data'!G719))</f>
        <v>GHEESA SINGH</v>
      </c>
      <c r="G722" s="27" t="str">
        <f>IF('Paste SD Data'!H719="","",UPPER('Paste SD Data'!H719))</f>
        <v>GHEESI DEVI</v>
      </c>
      <c r="H722" s="26" t="str">
        <f>IF('Paste SD Data'!I719="","",IF('Paste SD Data'!I719="M","BOY","GIRL"))</f>
        <v>BOY</v>
      </c>
      <c r="I722" s="28">
        <f>IF('Paste SD Data'!J719="","",'Paste SD Data'!J719)</f>
        <v>38092</v>
      </c>
      <c r="J722" s="34">
        <f t="shared" si="11"/>
        <v>1148</v>
      </c>
      <c r="K722" s="29" t="str">
        <f>IF('Paste SD Data'!O719="","",'Paste SD Data'!O719)</f>
        <v>OBC</v>
      </c>
    </row>
    <row r="723" spans="1:11" ht="30" customHeight="1" x14ac:dyDescent="0.25">
      <c r="A723" s="25">
        <f>IF(Table1[[#This Row],[Name of Student]]="","",ROWS($A$1:A719))</f>
        <v>719</v>
      </c>
      <c r="B723" s="26">
        <f>IF('Paste SD Data'!A720="","",'Paste SD Data'!A720)</f>
        <v>12</v>
      </c>
      <c r="C723" s="26" t="str">
        <f>IF('Paste SD Data'!B720="","",'Paste SD Data'!B720)</f>
        <v>C</v>
      </c>
      <c r="D723" s="26">
        <f>IF('Paste SD Data'!C720="","",'Paste SD Data'!C720)</f>
        <v>13616</v>
      </c>
      <c r="E723" s="27" t="str">
        <f>IF('Paste SD Data'!E720="","",UPPER('Paste SD Data'!E720))</f>
        <v>PREM SAHU</v>
      </c>
      <c r="F723" s="27" t="str">
        <f>IF('Paste SD Data'!G720="","",UPPER('Paste SD Data'!G720))</f>
        <v>ROSHAN SAHU</v>
      </c>
      <c r="G723" s="27" t="str">
        <f>IF('Paste SD Data'!H720="","",UPPER('Paste SD Data'!H720))</f>
        <v>JASHODA SAHU</v>
      </c>
      <c r="H723" s="26" t="str">
        <f>IF('Paste SD Data'!I720="","",IF('Paste SD Data'!I720="M","BOY","GIRL"))</f>
        <v>BOY</v>
      </c>
      <c r="I723" s="28">
        <f>IF('Paste SD Data'!J720="","",'Paste SD Data'!J720)</f>
        <v>37754</v>
      </c>
      <c r="J723" s="34">
        <f t="shared" si="11"/>
        <v>1149</v>
      </c>
      <c r="K723" s="29" t="str">
        <f>IF('Paste SD Data'!O720="","",'Paste SD Data'!O720)</f>
        <v>OBC</v>
      </c>
    </row>
    <row r="724" spans="1:11" ht="30" customHeight="1" x14ac:dyDescent="0.25">
      <c r="A724" s="25">
        <f>IF(Table1[[#This Row],[Name of Student]]="","",ROWS($A$1:A720))</f>
        <v>720</v>
      </c>
      <c r="B724" s="26">
        <f>IF('Paste SD Data'!A721="","",'Paste SD Data'!A721)</f>
        <v>12</v>
      </c>
      <c r="C724" s="26" t="str">
        <f>IF('Paste SD Data'!B721="","",'Paste SD Data'!B721)</f>
        <v>C</v>
      </c>
      <c r="D724" s="26">
        <f>IF('Paste SD Data'!C721="","",'Paste SD Data'!C721)</f>
        <v>13102</v>
      </c>
      <c r="E724" s="27" t="str">
        <f>IF('Paste SD Data'!E721="","",UPPER('Paste SD Data'!E721))</f>
        <v>RADHASHAYAM SALVI</v>
      </c>
      <c r="F724" s="27" t="str">
        <f>IF('Paste SD Data'!G721="","",UPPER('Paste SD Data'!G721))</f>
        <v>BHURA RAM</v>
      </c>
      <c r="G724" s="27" t="str">
        <f>IF('Paste SD Data'!H721="","",UPPER('Paste SD Data'!H721))</f>
        <v>CHAINI DEVI</v>
      </c>
      <c r="H724" s="26" t="str">
        <f>IF('Paste SD Data'!I721="","",IF('Paste SD Data'!I721="M","BOY","GIRL"))</f>
        <v>BOY</v>
      </c>
      <c r="I724" s="28">
        <f>IF('Paste SD Data'!J721="","",'Paste SD Data'!J721)</f>
        <v>38275</v>
      </c>
      <c r="J724" s="34">
        <f t="shared" si="11"/>
        <v>1150</v>
      </c>
      <c r="K724" s="29" t="str">
        <f>IF('Paste SD Data'!O721="","",'Paste SD Data'!O721)</f>
        <v>SC</v>
      </c>
    </row>
    <row r="725" spans="1:11" ht="30" customHeight="1" x14ac:dyDescent="0.25">
      <c r="A725" s="25">
        <f>IF(Table1[[#This Row],[Name of Student]]="","",ROWS($A$1:A721))</f>
        <v>721</v>
      </c>
      <c r="B725" s="26">
        <f>IF('Paste SD Data'!A722="","",'Paste SD Data'!A722)</f>
        <v>12</v>
      </c>
      <c r="C725" s="26" t="str">
        <f>IF('Paste SD Data'!B722="","",'Paste SD Data'!B722)</f>
        <v>C</v>
      </c>
      <c r="D725" s="26">
        <f>IF('Paste SD Data'!C722="","",'Paste SD Data'!C722)</f>
        <v>13761</v>
      </c>
      <c r="E725" s="27" t="str">
        <f>IF('Paste SD Data'!E722="","",UPPER('Paste SD Data'!E722))</f>
        <v>RAKESH NATH</v>
      </c>
      <c r="F725" s="27" t="str">
        <f>IF('Paste SD Data'!G722="","",UPPER('Paste SD Data'!G722))</f>
        <v>BHERU NATH</v>
      </c>
      <c r="G725" s="27" t="str">
        <f>IF('Paste SD Data'!H722="","",UPPER('Paste SD Data'!H722))</f>
        <v>SITA DEVI</v>
      </c>
      <c r="H725" s="26" t="str">
        <f>IF('Paste SD Data'!I722="","",IF('Paste SD Data'!I722="M","BOY","GIRL"))</f>
        <v>BOY</v>
      </c>
      <c r="I725" s="28">
        <f>IF('Paste SD Data'!J722="","",'Paste SD Data'!J722)</f>
        <v>38172</v>
      </c>
      <c r="J725" s="34">
        <f t="shared" si="11"/>
        <v>1151</v>
      </c>
      <c r="K725" s="29" t="str">
        <f>IF('Paste SD Data'!O722="","",'Paste SD Data'!O722)</f>
        <v>OBC</v>
      </c>
    </row>
    <row r="726" spans="1:11" ht="30" customHeight="1" x14ac:dyDescent="0.25">
      <c r="A726" s="25">
        <f>IF(Table1[[#This Row],[Name of Student]]="","",ROWS($A$1:A722))</f>
        <v>722</v>
      </c>
      <c r="B726" s="26">
        <f>IF('Paste SD Data'!A723="","",'Paste SD Data'!A723)</f>
        <v>12</v>
      </c>
      <c r="C726" s="26" t="str">
        <f>IF('Paste SD Data'!B723="","",'Paste SD Data'!B723)</f>
        <v>C</v>
      </c>
      <c r="D726" s="26">
        <f>IF('Paste SD Data'!C723="","",'Paste SD Data'!C723)</f>
        <v>13083</v>
      </c>
      <c r="E726" s="27" t="str">
        <f>IF('Paste SD Data'!E723="","",UPPER('Paste SD Data'!E723))</f>
        <v>RUDRA PRATAP SINGH</v>
      </c>
      <c r="F726" s="27" t="str">
        <f>IF('Paste SD Data'!G723="","",UPPER('Paste SD Data'!G723))</f>
        <v>SHIV SINGH</v>
      </c>
      <c r="G726" s="27" t="str">
        <f>IF('Paste SD Data'!H723="","",UPPER('Paste SD Data'!H723))</f>
        <v>PINKI KANWAR</v>
      </c>
      <c r="H726" s="26" t="str">
        <f>IF('Paste SD Data'!I723="","",IF('Paste SD Data'!I723="M","BOY","GIRL"))</f>
        <v>BOY</v>
      </c>
      <c r="I726" s="28">
        <f>IF('Paste SD Data'!J723="","",'Paste SD Data'!J723)</f>
        <v>38742</v>
      </c>
      <c r="J726" s="34">
        <f t="shared" si="11"/>
        <v>1152</v>
      </c>
      <c r="K726" s="29" t="str">
        <f>IF('Paste SD Data'!O723="","",'Paste SD Data'!O723)</f>
        <v>GEN</v>
      </c>
    </row>
    <row r="727" spans="1:11" ht="30" customHeight="1" x14ac:dyDescent="0.25">
      <c r="A727" s="25">
        <f>IF(Table1[[#This Row],[Name of Student]]="","",ROWS($A$1:A723))</f>
        <v>723</v>
      </c>
      <c r="B727" s="26">
        <f>IF('Paste SD Data'!A724="","",'Paste SD Data'!A724)</f>
        <v>12</v>
      </c>
      <c r="C727" s="26" t="str">
        <f>IF('Paste SD Data'!B724="","",'Paste SD Data'!B724)</f>
        <v>C</v>
      </c>
      <c r="D727" s="26">
        <f>IF('Paste SD Data'!C724="","",'Paste SD Data'!C724)</f>
        <v>13230</v>
      </c>
      <c r="E727" s="27" t="str">
        <f>IF('Paste SD Data'!E724="","",UPPER('Paste SD Data'!E724))</f>
        <v>SAIYYAD KASIM</v>
      </c>
      <c r="F727" s="27" t="str">
        <f>IF('Paste SD Data'!G724="","",UPPER('Paste SD Data'!G724))</f>
        <v>SHAKEEL MOHAMMAD</v>
      </c>
      <c r="G727" s="27" t="str">
        <f>IF('Paste SD Data'!H724="","",UPPER('Paste SD Data'!H724))</f>
        <v>SHAHNAJ BANU</v>
      </c>
      <c r="H727" s="26" t="str">
        <f>IF('Paste SD Data'!I724="","",IF('Paste SD Data'!I724="M","BOY","GIRL"))</f>
        <v>BOY</v>
      </c>
      <c r="I727" s="28">
        <f>IF('Paste SD Data'!J724="","",'Paste SD Data'!J724)</f>
        <v>38252</v>
      </c>
      <c r="J727" s="34">
        <f t="shared" si="11"/>
        <v>1153</v>
      </c>
      <c r="K727" s="29" t="str">
        <f>IF('Paste SD Data'!O724="","",'Paste SD Data'!O724)</f>
        <v>OBC</v>
      </c>
    </row>
    <row r="728" spans="1:11" ht="30" customHeight="1" x14ac:dyDescent="0.25">
      <c r="A728" s="25">
        <f>IF(Table1[[#This Row],[Name of Student]]="","",ROWS($A$1:A724))</f>
        <v>724</v>
      </c>
      <c r="B728" s="26">
        <f>IF('Paste SD Data'!A725="","",'Paste SD Data'!A725)</f>
        <v>12</v>
      </c>
      <c r="C728" s="26" t="str">
        <f>IF('Paste SD Data'!B725="","",'Paste SD Data'!B725)</f>
        <v>C</v>
      </c>
      <c r="D728" s="26">
        <f>IF('Paste SD Data'!C725="","",'Paste SD Data'!C725)</f>
        <v>13476</v>
      </c>
      <c r="E728" s="27" t="str">
        <f>IF('Paste SD Data'!E725="","",UPPER('Paste SD Data'!E725))</f>
        <v>SHIVRAJ SINGH CHOUHAN</v>
      </c>
      <c r="F728" s="27" t="str">
        <f>IF('Paste SD Data'!G725="","",UPPER('Paste SD Data'!G725))</f>
        <v>DEVENDRA SINGH CHOUHAN</v>
      </c>
      <c r="G728" s="27" t="str">
        <f>IF('Paste SD Data'!H725="","",UPPER('Paste SD Data'!H725))</f>
        <v>REENA KANWAR</v>
      </c>
      <c r="H728" s="26" t="str">
        <f>IF('Paste SD Data'!I725="","",IF('Paste SD Data'!I725="M","BOY","GIRL"))</f>
        <v>BOY</v>
      </c>
      <c r="I728" s="28">
        <f>IF('Paste SD Data'!J725="","",'Paste SD Data'!J725)</f>
        <v>38338</v>
      </c>
      <c r="J728" s="34">
        <f t="shared" si="11"/>
        <v>1154</v>
      </c>
      <c r="K728" s="29" t="str">
        <f>IF('Paste SD Data'!O725="","",'Paste SD Data'!O725)</f>
        <v>OBC</v>
      </c>
    </row>
    <row r="729" spans="1:11" ht="30" customHeight="1" x14ac:dyDescent="0.25">
      <c r="A729" s="25">
        <f>IF(Table1[[#This Row],[Name of Student]]="","",ROWS($A$1:A725))</f>
        <v>725</v>
      </c>
      <c r="B729" s="26">
        <f>IF('Paste SD Data'!A726="","",'Paste SD Data'!A726)</f>
        <v>12</v>
      </c>
      <c r="C729" s="26" t="str">
        <f>IF('Paste SD Data'!B726="","",'Paste SD Data'!B726)</f>
        <v>C</v>
      </c>
      <c r="D729" s="26">
        <f>IF('Paste SD Data'!C726="","",'Paste SD Data'!C726)</f>
        <v>13504</v>
      </c>
      <c r="E729" s="27" t="str">
        <f>IF('Paste SD Data'!E726="","",UPPER('Paste SD Data'!E726))</f>
        <v>SUDARSHAN KUMAR BARETH</v>
      </c>
      <c r="F729" s="27" t="str">
        <f>IF('Paste SD Data'!G726="","",UPPER('Paste SD Data'!G726))</f>
        <v>SURESH CHANDRA BARETH</v>
      </c>
      <c r="G729" s="27" t="str">
        <f>IF('Paste SD Data'!H726="","",UPPER('Paste SD Data'!H726))</f>
        <v>RAMKANYA BARETH</v>
      </c>
      <c r="H729" s="26" t="str">
        <f>IF('Paste SD Data'!I726="","",IF('Paste SD Data'!I726="M","BOY","GIRL"))</f>
        <v>BOY</v>
      </c>
      <c r="I729" s="28">
        <f>IF('Paste SD Data'!J726="","",'Paste SD Data'!J726)</f>
        <v>37633</v>
      </c>
      <c r="J729" s="34">
        <f t="shared" si="11"/>
        <v>1155</v>
      </c>
      <c r="K729" s="29" t="str">
        <f>IF('Paste SD Data'!O726="","",'Paste SD Data'!O726)</f>
        <v>SC</v>
      </c>
    </row>
    <row r="730" spans="1:11" ht="30" customHeight="1" x14ac:dyDescent="0.25">
      <c r="A730" s="25">
        <f>IF(Table1[[#This Row],[Name of Student]]="","",ROWS($A$1:A726))</f>
        <v>726</v>
      </c>
      <c r="B730" s="26">
        <f>IF('Paste SD Data'!A727="","",'Paste SD Data'!A727)</f>
        <v>12</v>
      </c>
      <c r="C730" s="26" t="str">
        <f>IF('Paste SD Data'!B727="","",'Paste SD Data'!B727)</f>
        <v>C</v>
      </c>
      <c r="D730" s="26">
        <f>IF('Paste SD Data'!C727="","",'Paste SD Data'!C727)</f>
        <v>13503</v>
      </c>
      <c r="E730" s="27" t="str">
        <f>IF('Paste SD Data'!E727="","",UPPER('Paste SD Data'!E727))</f>
        <v>SUNIL KUMAR</v>
      </c>
      <c r="F730" s="27" t="str">
        <f>IF('Paste SD Data'!G727="","",UPPER('Paste SD Data'!G727))</f>
        <v>NOLARAM</v>
      </c>
      <c r="G730" s="27" t="str">
        <f>IF('Paste SD Data'!H727="","",UPPER('Paste SD Data'!H727))</f>
        <v>GHISHI DEVI</v>
      </c>
      <c r="H730" s="26" t="str">
        <f>IF('Paste SD Data'!I727="","",IF('Paste SD Data'!I727="M","BOY","GIRL"))</f>
        <v>BOY</v>
      </c>
      <c r="I730" s="28">
        <f>IF('Paste SD Data'!J727="","",'Paste SD Data'!J727)</f>
        <v>37602</v>
      </c>
      <c r="J730" s="34">
        <f t="shared" si="11"/>
        <v>1156</v>
      </c>
      <c r="K730" s="29" t="str">
        <f>IF('Paste SD Data'!O727="","",'Paste SD Data'!O727)</f>
        <v>SC</v>
      </c>
    </row>
    <row r="731" spans="1:11" ht="30" customHeight="1" x14ac:dyDescent="0.25">
      <c r="A731" s="25">
        <f>IF(Table1[[#This Row],[Name of Student]]="","",ROWS($A$1:A727))</f>
        <v>727</v>
      </c>
      <c r="B731" s="26">
        <f>IF('Paste SD Data'!A728="","",'Paste SD Data'!A728)</f>
        <v>12</v>
      </c>
      <c r="C731" s="26" t="str">
        <f>IF('Paste SD Data'!B728="","",'Paste SD Data'!B728)</f>
        <v>C</v>
      </c>
      <c r="D731" s="26">
        <f>IF('Paste SD Data'!C728="","",'Paste SD Data'!C728)</f>
        <v>13091</v>
      </c>
      <c r="E731" s="27" t="str">
        <f>IF('Paste SD Data'!E728="","",UPPER('Paste SD Data'!E728))</f>
        <v>SURESH SINGH</v>
      </c>
      <c r="F731" s="27" t="str">
        <f>IF('Paste SD Data'!G728="","",UPPER('Paste SD Data'!G728))</f>
        <v>JETHU SINGH</v>
      </c>
      <c r="G731" s="27" t="str">
        <f>IF('Paste SD Data'!H728="","",UPPER('Paste SD Data'!H728))</f>
        <v>MEERA DEVI</v>
      </c>
      <c r="H731" s="26" t="str">
        <f>IF('Paste SD Data'!I728="","",IF('Paste SD Data'!I728="M","BOY","GIRL"))</f>
        <v>BOY</v>
      </c>
      <c r="I731" s="28">
        <f>IF('Paste SD Data'!J728="","",'Paste SD Data'!J728)</f>
        <v>38475</v>
      </c>
      <c r="J731" s="34">
        <f t="shared" si="11"/>
        <v>1157</v>
      </c>
      <c r="K731" s="29" t="str">
        <f>IF('Paste SD Data'!O728="","",'Paste SD Data'!O728)</f>
        <v>OBC</v>
      </c>
    </row>
    <row r="732" spans="1:11" ht="30" customHeight="1" x14ac:dyDescent="0.25">
      <c r="A732" s="25">
        <f>IF(Table1[[#This Row],[Name of Student]]="","",ROWS($A$1:A728))</f>
        <v>728</v>
      </c>
      <c r="B732" s="26">
        <f>IF('Paste SD Data'!A729="","",'Paste SD Data'!A729)</f>
        <v>12</v>
      </c>
      <c r="C732" s="26" t="str">
        <f>IF('Paste SD Data'!B729="","",'Paste SD Data'!B729)</f>
        <v>C</v>
      </c>
      <c r="D732" s="26">
        <f>IF('Paste SD Data'!C729="","",'Paste SD Data'!C729)</f>
        <v>12999</v>
      </c>
      <c r="E732" s="27" t="str">
        <f>IF('Paste SD Data'!E729="","",UPPER('Paste SD Data'!E729))</f>
        <v>TIKAM SINGH TANK</v>
      </c>
      <c r="F732" s="27" t="str">
        <f>IF('Paste SD Data'!G729="","",UPPER('Paste SD Data'!G729))</f>
        <v>VIKRAM SINGH</v>
      </c>
      <c r="G732" s="27" t="str">
        <f>IF('Paste SD Data'!H729="","",UPPER('Paste SD Data'!H729))</f>
        <v>GIRIJA DEVI</v>
      </c>
      <c r="H732" s="26" t="str">
        <f>IF('Paste SD Data'!I729="","",IF('Paste SD Data'!I729="M","BOY","GIRL"))</f>
        <v>BOY</v>
      </c>
      <c r="I732" s="28">
        <f>IF('Paste SD Data'!J729="","",'Paste SD Data'!J729)</f>
        <v>38500</v>
      </c>
      <c r="J732" s="34">
        <f t="shared" si="11"/>
        <v>1158</v>
      </c>
      <c r="K732" s="29" t="str">
        <f>IF('Paste SD Data'!O729="","",'Paste SD Data'!O729)</f>
        <v>OBC</v>
      </c>
    </row>
    <row r="733" spans="1:11" ht="30" customHeight="1" x14ac:dyDescent="0.25">
      <c r="A733" s="25">
        <f>IF(Table1[[#This Row],[Name of Student]]="","",ROWS($A$1:A729))</f>
        <v>729</v>
      </c>
      <c r="B733" s="26">
        <f>IF('Paste SD Data'!A730="","",'Paste SD Data'!A730)</f>
        <v>12</v>
      </c>
      <c r="C733" s="26" t="str">
        <f>IF('Paste SD Data'!B730="","",'Paste SD Data'!B730)</f>
        <v>C</v>
      </c>
      <c r="D733" s="26">
        <f>IF('Paste SD Data'!C730="","",'Paste SD Data'!C730)</f>
        <v>12994</v>
      </c>
      <c r="E733" s="27" t="str">
        <f>IF('Paste SD Data'!E730="","",UPPER('Paste SD Data'!E730))</f>
        <v>VIKAS NATH</v>
      </c>
      <c r="F733" s="27" t="str">
        <f>IF('Paste SD Data'!G730="","",UPPER('Paste SD Data'!G730))</f>
        <v>SUKHA NATH</v>
      </c>
      <c r="G733" s="27" t="str">
        <f>IF('Paste SD Data'!H730="","",UPPER('Paste SD Data'!H730))</f>
        <v>SUGNA DEVI</v>
      </c>
      <c r="H733" s="26" t="str">
        <f>IF('Paste SD Data'!I730="","",IF('Paste SD Data'!I730="M","BOY","GIRL"))</f>
        <v>BOY</v>
      </c>
      <c r="I733" s="28">
        <f>IF('Paste SD Data'!J730="","",'Paste SD Data'!J730)</f>
        <v>38261</v>
      </c>
      <c r="J733" s="34">
        <f t="shared" si="11"/>
        <v>1159</v>
      </c>
      <c r="K733" s="29" t="str">
        <f>IF('Paste SD Data'!O730="","",'Paste SD Data'!O730)</f>
        <v>OBC</v>
      </c>
    </row>
    <row r="734" spans="1:11" ht="30" customHeight="1" x14ac:dyDescent="0.25">
      <c r="A734" s="25">
        <f>IF(Table1[[#This Row],[Name of Student]]="","",ROWS($A$1:A730))</f>
        <v>730</v>
      </c>
      <c r="B734" s="26">
        <f>IF('Paste SD Data'!A731="","",'Paste SD Data'!A731)</f>
        <v>12</v>
      </c>
      <c r="C734" s="26" t="str">
        <f>IF('Paste SD Data'!B731="","",'Paste SD Data'!B731)</f>
        <v>C</v>
      </c>
      <c r="D734" s="26">
        <f>IF('Paste SD Data'!C731="","",'Paste SD Data'!C731)</f>
        <v>12995</v>
      </c>
      <c r="E734" s="27" t="str">
        <f>IF('Paste SD Data'!E731="","",UPPER('Paste SD Data'!E731))</f>
        <v>VIKRAM SINGH</v>
      </c>
      <c r="F734" s="27" t="str">
        <f>IF('Paste SD Data'!G731="","",UPPER('Paste SD Data'!G731))</f>
        <v>RATAN SINGH</v>
      </c>
      <c r="G734" s="27" t="str">
        <f>IF('Paste SD Data'!H731="","",UPPER('Paste SD Data'!H731))</f>
        <v>DALI DEVI</v>
      </c>
      <c r="H734" s="26" t="str">
        <f>IF('Paste SD Data'!I731="","",IF('Paste SD Data'!I731="M","BOY","GIRL"))</f>
        <v>BOY</v>
      </c>
      <c r="I734" s="28">
        <f>IF('Paste SD Data'!J731="","",'Paste SD Data'!J731)</f>
        <v>38481</v>
      </c>
      <c r="J734" s="34">
        <f t="shared" si="11"/>
        <v>1160</v>
      </c>
      <c r="K734" s="29" t="str">
        <f>IF('Paste SD Data'!O731="","",'Paste SD Data'!O731)</f>
        <v>OBC</v>
      </c>
    </row>
    <row r="735" spans="1:11" ht="30" customHeight="1" x14ac:dyDescent="0.25">
      <c r="A735" s="25">
        <f>IF(Table1[[#This Row],[Name of Student]]="","",ROWS($A$1:A731))</f>
        <v>731</v>
      </c>
      <c r="B735" s="26">
        <f>IF('Paste SD Data'!A732="","",'Paste SD Data'!A732)</f>
        <v>12</v>
      </c>
      <c r="C735" s="26" t="str">
        <f>IF('Paste SD Data'!B732="","",'Paste SD Data'!B732)</f>
        <v>C</v>
      </c>
      <c r="D735" s="26">
        <f>IF('Paste SD Data'!C732="","",'Paste SD Data'!C732)</f>
        <v>13508</v>
      </c>
      <c r="E735" s="27" t="str">
        <f>IF('Paste SD Data'!E732="","",UPPER('Paste SD Data'!E732))</f>
        <v>VIKRAM SINGH</v>
      </c>
      <c r="F735" s="27" t="str">
        <f>IF('Paste SD Data'!G732="","",UPPER('Paste SD Data'!G732))</f>
        <v>MANGAL SINGH</v>
      </c>
      <c r="G735" s="27" t="str">
        <f>IF('Paste SD Data'!H732="","",UPPER('Paste SD Data'!H732))</f>
        <v>PUSHPA KANWAR</v>
      </c>
      <c r="H735" s="26" t="str">
        <f>IF('Paste SD Data'!I732="","",IF('Paste SD Data'!I732="M","BOY","GIRL"))</f>
        <v>BOY</v>
      </c>
      <c r="I735" s="28">
        <f>IF('Paste SD Data'!J732="","",'Paste SD Data'!J732)</f>
        <v>38702</v>
      </c>
      <c r="J735" s="34">
        <f t="shared" si="11"/>
        <v>1161</v>
      </c>
      <c r="K735" s="29" t="str">
        <f>IF('Paste SD Data'!O732="","",'Paste SD Data'!O732)</f>
        <v>OBC</v>
      </c>
    </row>
    <row r="736" spans="1:11" ht="30" customHeight="1" x14ac:dyDescent="0.25">
      <c r="A736" s="25">
        <f>IF(Table1[[#This Row],[Name of Student]]="","",ROWS($A$1:A732))</f>
        <v>732</v>
      </c>
      <c r="B736" s="26">
        <f>IF('Paste SD Data'!A733="","",'Paste SD Data'!A733)</f>
        <v>12</v>
      </c>
      <c r="C736" s="26" t="str">
        <f>IF('Paste SD Data'!B733="","",'Paste SD Data'!B733)</f>
        <v>C</v>
      </c>
      <c r="D736" s="26">
        <f>IF('Paste SD Data'!C733="","",'Paste SD Data'!C733)</f>
        <v>13468</v>
      </c>
      <c r="E736" s="27" t="str">
        <f>IF('Paste SD Data'!E733="","",UPPER('Paste SD Data'!E733))</f>
        <v>VINOD NATH</v>
      </c>
      <c r="F736" s="27" t="str">
        <f>IF('Paste SD Data'!G733="","",UPPER('Paste SD Data'!G733))</f>
        <v>MOHAN NATH</v>
      </c>
      <c r="G736" s="27" t="str">
        <f>IF('Paste SD Data'!H733="","",UPPER('Paste SD Data'!H733))</f>
        <v>ASHA</v>
      </c>
      <c r="H736" s="26" t="str">
        <f>IF('Paste SD Data'!I733="","",IF('Paste SD Data'!I733="M","BOY","GIRL"))</f>
        <v>BOY</v>
      </c>
      <c r="I736" s="28">
        <f>IF('Paste SD Data'!J733="","",'Paste SD Data'!J733)</f>
        <v>38538</v>
      </c>
      <c r="J736" s="34">
        <f t="shared" si="11"/>
        <v>1162</v>
      </c>
      <c r="K736" s="29" t="str">
        <f>IF('Paste SD Data'!O733="","",'Paste SD Data'!O733)</f>
        <v>OBC</v>
      </c>
    </row>
    <row r="737" spans="1:11" ht="30" customHeight="1" x14ac:dyDescent="0.25">
      <c r="A737" s="25">
        <f>IF(Table1[[#This Row],[Name of Student]]="","",ROWS($A$1:A733))</f>
        <v>733</v>
      </c>
      <c r="B737" s="26">
        <f>IF('Paste SD Data'!A734="","",'Paste SD Data'!A734)</f>
        <v>12</v>
      </c>
      <c r="C737" s="26" t="str">
        <f>IF('Paste SD Data'!B734="","",'Paste SD Data'!B734)</f>
        <v>C</v>
      </c>
      <c r="D737" s="26">
        <f>IF('Paste SD Data'!C734="","",'Paste SD Data'!C734)</f>
        <v>13564</v>
      </c>
      <c r="E737" s="27" t="str">
        <f>IF('Paste SD Data'!E734="","",UPPER('Paste SD Data'!E734))</f>
        <v>VISHAL JOSHI</v>
      </c>
      <c r="F737" s="27" t="str">
        <f>IF('Paste SD Data'!G734="","",UPPER('Paste SD Data'!G734))</f>
        <v>RAM CHANDRA JOSHI</v>
      </c>
      <c r="G737" s="27" t="str">
        <f>IF('Paste SD Data'!H734="","",UPPER('Paste SD Data'!H734))</f>
        <v>SANJU DEVI</v>
      </c>
      <c r="H737" s="26" t="str">
        <f>IF('Paste SD Data'!I734="","",IF('Paste SD Data'!I734="M","BOY","GIRL"))</f>
        <v>BOY</v>
      </c>
      <c r="I737" s="28">
        <f>IF('Paste SD Data'!J734="","",'Paste SD Data'!J734)</f>
        <v>37609</v>
      </c>
      <c r="J737" s="34">
        <f t="shared" si="11"/>
        <v>1163</v>
      </c>
      <c r="K737" s="29" t="str">
        <f>IF('Paste SD Data'!O734="","",'Paste SD Data'!O734)</f>
        <v>GEN</v>
      </c>
    </row>
    <row r="738" spans="1:11" ht="30" customHeight="1" x14ac:dyDescent="0.25">
      <c r="A738" s="25">
        <f>IF(Table1[[#This Row],[Name of Student]]="","",ROWS($A$1:A734))</f>
        <v>734</v>
      </c>
      <c r="B738" s="26">
        <f>IF('Paste SD Data'!A735="","",'Paste SD Data'!A735)</f>
        <v>12</v>
      </c>
      <c r="C738" s="26" t="str">
        <f>IF('Paste SD Data'!B735="","",'Paste SD Data'!B735)</f>
        <v>C</v>
      </c>
      <c r="D738" s="26">
        <f>IF('Paste SD Data'!C735="","",'Paste SD Data'!C735)</f>
        <v>13095</v>
      </c>
      <c r="E738" s="27" t="str">
        <f>IF('Paste SD Data'!E735="","",UPPER('Paste SD Data'!E735))</f>
        <v>VISHAN REGAR</v>
      </c>
      <c r="F738" s="27" t="str">
        <f>IF('Paste SD Data'!G735="","",UPPER('Paste SD Data'!G735))</f>
        <v>PEMA RAM REGAR</v>
      </c>
      <c r="G738" s="27" t="str">
        <f>IF('Paste SD Data'!H735="","",UPPER('Paste SD Data'!H735))</f>
        <v>MEERA DEVI</v>
      </c>
      <c r="H738" s="26" t="str">
        <f>IF('Paste SD Data'!I735="","",IF('Paste SD Data'!I735="M","BOY","GIRL"))</f>
        <v>BOY</v>
      </c>
      <c r="I738" s="28">
        <f>IF('Paste SD Data'!J735="","",'Paste SD Data'!J735)</f>
        <v>37969</v>
      </c>
      <c r="J738" s="34">
        <f t="shared" si="11"/>
        <v>1164</v>
      </c>
      <c r="K738" s="29" t="str">
        <f>IF('Paste SD Data'!O735="","",'Paste SD Data'!O735)</f>
        <v>SC</v>
      </c>
    </row>
    <row r="739" spans="1:11" ht="30" customHeight="1" x14ac:dyDescent="0.25">
      <c r="A739" s="25">
        <f>IF(Table1[[#This Row],[Name of Student]]="","",ROWS($A$1:A735))</f>
        <v>735</v>
      </c>
      <c r="B739" s="26">
        <f>IF('Paste SD Data'!A736="","",'Paste SD Data'!A736)</f>
        <v>12</v>
      </c>
      <c r="C739" s="26" t="str">
        <f>IF('Paste SD Data'!B736="","",'Paste SD Data'!B736)</f>
        <v>C</v>
      </c>
      <c r="D739" s="26">
        <f>IF('Paste SD Data'!C736="","",'Paste SD Data'!C736)</f>
        <v>13566</v>
      </c>
      <c r="E739" s="27" t="str">
        <f>IF('Paste SD Data'!E736="","",UPPER('Paste SD Data'!E736))</f>
        <v>VISHANU REGAR</v>
      </c>
      <c r="F739" s="27" t="str">
        <f>IF('Paste SD Data'!G736="","",UPPER('Paste SD Data'!G736))</f>
        <v>PRAKASH REGAR</v>
      </c>
      <c r="G739" s="27" t="str">
        <f>IF('Paste SD Data'!H736="","",UPPER('Paste SD Data'!H736))</f>
        <v>NARBADA DEVI</v>
      </c>
      <c r="H739" s="26" t="str">
        <f>IF('Paste SD Data'!I736="","",IF('Paste SD Data'!I736="M","BOY","GIRL"))</f>
        <v>BOY</v>
      </c>
      <c r="I739" s="28">
        <f>IF('Paste SD Data'!J736="","",'Paste SD Data'!J736)</f>
        <v>38411</v>
      </c>
      <c r="J739" s="34">
        <f t="shared" si="11"/>
        <v>1165</v>
      </c>
      <c r="K739" s="29" t="str">
        <f>IF('Paste SD Data'!O736="","",'Paste SD Data'!O736)</f>
        <v>SC</v>
      </c>
    </row>
    <row r="740" spans="1:11" ht="30" customHeight="1" x14ac:dyDescent="0.25">
      <c r="A740" s="25">
        <f>IF(Table1[[#This Row],[Name of Student]]="","",ROWS($A$1:A736))</f>
        <v>736</v>
      </c>
      <c r="B740" s="26">
        <f>IF('Paste SD Data'!A737="","",'Paste SD Data'!A737)</f>
        <v>12</v>
      </c>
      <c r="C740" s="26" t="str">
        <f>IF('Paste SD Data'!B737="","",'Paste SD Data'!B737)</f>
        <v>C</v>
      </c>
      <c r="D740" s="26">
        <f>IF('Paste SD Data'!C737="","",'Paste SD Data'!C737)</f>
        <v>13509</v>
      </c>
      <c r="E740" s="27" t="str">
        <f>IF('Paste SD Data'!E737="","",UPPER('Paste SD Data'!E737))</f>
        <v>VISHNU REGAR</v>
      </c>
      <c r="F740" s="27" t="str">
        <f>IF('Paste SD Data'!G737="","",UPPER('Paste SD Data'!G737))</f>
        <v>BHERU LAL REGAR</v>
      </c>
      <c r="G740" s="27" t="str">
        <f>IF('Paste SD Data'!H737="","",UPPER('Paste SD Data'!H737))</f>
        <v>SEEMA DEVI</v>
      </c>
      <c r="H740" s="26" t="str">
        <f>IF('Paste SD Data'!I737="","",IF('Paste SD Data'!I737="M","BOY","GIRL"))</f>
        <v>BOY</v>
      </c>
      <c r="I740" s="28">
        <f>IF('Paste SD Data'!J737="","",'Paste SD Data'!J737)</f>
        <v>38541</v>
      </c>
      <c r="J740" s="34">
        <f t="shared" si="11"/>
        <v>1166</v>
      </c>
      <c r="K740" s="29" t="str">
        <f>IF('Paste SD Data'!O737="","",'Paste SD Data'!O737)</f>
        <v>SC</v>
      </c>
    </row>
    <row r="741" spans="1:11" ht="30" customHeight="1" x14ac:dyDescent="0.25">
      <c r="A741" s="25">
        <f>IF(Table1[[#This Row],[Name of Student]]="","",ROWS($A$1:A737))</f>
        <v>737</v>
      </c>
      <c r="B741" s="26">
        <f>IF('Paste SD Data'!A738="","",'Paste SD Data'!A738)</f>
        <v>12</v>
      </c>
      <c r="C741" s="26" t="str">
        <f>IF('Paste SD Data'!B738="","",'Paste SD Data'!B738)</f>
        <v>C</v>
      </c>
      <c r="D741" s="26">
        <f>IF('Paste SD Data'!C738="","",'Paste SD Data'!C738)</f>
        <v>13511</v>
      </c>
      <c r="E741" s="27" t="str">
        <f>IF('Paste SD Data'!E738="","",UPPER('Paste SD Data'!E738))</f>
        <v>VISHWAJEET SINGH PANWAR</v>
      </c>
      <c r="F741" s="27" t="str">
        <f>IF('Paste SD Data'!G738="","",UPPER('Paste SD Data'!G738))</f>
        <v>DHARAM SINGH PANWAR</v>
      </c>
      <c r="G741" s="27" t="str">
        <f>IF('Paste SD Data'!H738="","",UPPER('Paste SD Data'!H738))</f>
        <v>PREMLATA PANWAR</v>
      </c>
      <c r="H741" s="26" t="str">
        <f>IF('Paste SD Data'!I738="","",IF('Paste SD Data'!I738="M","BOY","GIRL"))</f>
        <v>BOY</v>
      </c>
      <c r="I741" s="28">
        <f>IF('Paste SD Data'!J738="","",'Paste SD Data'!J738)</f>
        <v>38346</v>
      </c>
      <c r="J741" s="34">
        <f t="shared" si="11"/>
        <v>1167</v>
      </c>
      <c r="K741" s="29" t="str">
        <f>IF('Paste SD Data'!O738="","",'Paste SD Data'!O738)</f>
        <v>OBC</v>
      </c>
    </row>
    <row r="742" spans="1:11" ht="30" customHeight="1" x14ac:dyDescent="0.25">
      <c r="A742" s="25">
        <f>IF(Table1[[#This Row],[Name of Student]]="","",ROWS($A$1:A738))</f>
        <v>738</v>
      </c>
      <c r="B742" s="26">
        <f>IF('Paste SD Data'!A739="","",'Paste SD Data'!A739)</f>
        <v>12</v>
      </c>
      <c r="C742" s="26" t="str">
        <f>IF('Paste SD Data'!B739="","",'Paste SD Data'!B739)</f>
        <v>C</v>
      </c>
      <c r="D742" s="26">
        <f>IF('Paste SD Data'!C739="","",'Paste SD Data'!C739)</f>
        <v>13552</v>
      </c>
      <c r="E742" s="27" t="str">
        <f>IF('Paste SD Data'!E739="","",UPPER('Paste SD Data'!E739))</f>
        <v>VIVEK VED</v>
      </c>
      <c r="F742" s="27" t="str">
        <f>IF('Paste SD Data'!G739="","",UPPER('Paste SD Data'!G739))</f>
        <v>MUKESH VED</v>
      </c>
      <c r="G742" s="27" t="str">
        <f>IF('Paste SD Data'!H739="","",UPPER('Paste SD Data'!H739))</f>
        <v>VIDHYA VED</v>
      </c>
      <c r="H742" s="26" t="str">
        <f>IF('Paste SD Data'!I739="","",IF('Paste SD Data'!I739="M","BOY","GIRL"))</f>
        <v>BOY</v>
      </c>
      <c r="I742" s="28">
        <f>IF('Paste SD Data'!J739="","",'Paste SD Data'!J739)</f>
        <v>37800</v>
      </c>
      <c r="J742" s="34">
        <f t="shared" si="11"/>
        <v>1168</v>
      </c>
      <c r="K742" s="29" t="str">
        <f>IF('Paste SD Data'!O739="","",'Paste SD Data'!O739)</f>
        <v>OBC</v>
      </c>
    </row>
    <row r="743" spans="1:11" ht="30" customHeight="1" x14ac:dyDescent="0.25">
      <c r="A743" s="25">
        <f>IF(Table1[[#This Row],[Name of Student]]="","",ROWS($A$1:A739))</f>
        <v>739</v>
      </c>
      <c r="B743" s="26">
        <f>IF('Paste SD Data'!A740="","",'Paste SD Data'!A740)</f>
        <v>12</v>
      </c>
      <c r="C743" s="26" t="str">
        <f>IF('Paste SD Data'!B740="","",'Paste SD Data'!B740)</f>
        <v>C</v>
      </c>
      <c r="D743" s="26">
        <f>IF('Paste SD Data'!C740="","",'Paste SD Data'!C740)</f>
        <v>13037</v>
      </c>
      <c r="E743" s="27" t="str">
        <f>IF('Paste SD Data'!E740="","",UPPER('Paste SD Data'!E740))</f>
        <v>YASH DILIP KUMAR SEN</v>
      </c>
      <c r="F743" s="27" t="str">
        <f>IF('Paste SD Data'!G740="","",UPPER('Paste SD Data'!G740))</f>
        <v>DILIP KUMAR</v>
      </c>
      <c r="G743" s="27" t="str">
        <f>IF('Paste SD Data'!H740="","",UPPER('Paste SD Data'!H740))</f>
        <v>SUMAN SEN</v>
      </c>
      <c r="H743" s="26" t="str">
        <f>IF('Paste SD Data'!I740="","",IF('Paste SD Data'!I740="M","BOY","GIRL"))</f>
        <v>BOY</v>
      </c>
      <c r="I743" s="28">
        <f>IF('Paste SD Data'!J740="","",'Paste SD Data'!J740)</f>
        <v>38322</v>
      </c>
      <c r="J743" s="34">
        <f t="shared" si="11"/>
        <v>1169</v>
      </c>
      <c r="K743" s="29" t="str">
        <f>IF('Paste SD Data'!O740="","",'Paste SD Data'!O740)</f>
        <v>OBC</v>
      </c>
    </row>
    <row r="744" spans="1:11" ht="30" customHeight="1" x14ac:dyDescent="0.25">
      <c r="A744" s="25">
        <f>IF(Table1[[#This Row],[Name of Student]]="","",ROWS($A$1:A740))</f>
        <v>740</v>
      </c>
      <c r="B744" s="26">
        <f>IF('Paste SD Data'!A741="","",'Paste SD Data'!A741)</f>
        <v>12</v>
      </c>
      <c r="C744" s="26" t="str">
        <f>IF('Paste SD Data'!B741="","",'Paste SD Data'!B741)</f>
        <v>C</v>
      </c>
      <c r="D744" s="26">
        <f>IF('Paste SD Data'!C741="","",'Paste SD Data'!C741)</f>
        <v>13598</v>
      </c>
      <c r="E744" s="27" t="str">
        <f>IF('Paste SD Data'!E741="","",UPPER('Paste SD Data'!E741))</f>
        <v>YASIN MOHMMAD</v>
      </c>
      <c r="F744" s="27" t="str">
        <f>IF('Paste SD Data'!G741="","",UPPER('Paste SD Data'!G741))</f>
        <v>SALIM MOHMMAD</v>
      </c>
      <c r="G744" s="27" t="str">
        <f>IF('Paste SD Data'!H741="","",UPPER('Paste SD Data'!H741))</f>
        <v>FARZANA BANU</v>
      </c>
      <c r="H744" s="26" t="str">
        <f>IF('Paste SD Data'!I741="","",IF('Paste SD Data'!I741="M","BOY","GIRL"))</f>
        <v>BOY</v>
      </c>
      <c r="I744" s="28">
        <f>IF('Paste SD Data'!J741="","",'Paste SD Data'!J741)</f>
        <v>37829</v>
      </c>
      <c r="J744" s="34">
        <f t="shared" si="11"/>
        <v>1170</v>
      </c>
      <c r="K744" s="29" t="str">
        <f>IF('Paste SD Data'!O741="","",'Paste SD Data'!O741)</f>
        <v>OBC</v>
      </c>
    </row>
    <row r="745" spans="1:11" ht="30" customHeight="1" x14ac:dyDescent="0.25">
      <c r="A745" s="25">
        <f>IF(Table1[[#This Row],[Name of Student]]="","",ROWS($A$1:A741))</f>
        <v>741</v>
      </c>
      <c r="B745" s="26">
        <f>IF('Paste SD Data'!A742="","",'Paste SD Data'!A742)</f>
        <v>12</v>
      </c>
      <c r="C745" s="26" t="str">
        <f>IF('Paste SD Data'!B742="","",'Paste SD Data'!B742)</f>
        <v>D</v>
      </c>
      <c r="D745" s="26">
        <f>IF('Paste SD Data'!C742="","",'Paste SD Data'!C742)</f>
        <v>13671</v>
      </c>
      <c r="E745" s="27" t="str">
        <f>IF('Paste SD Data'!E742="","",UPPER('Paste SD Data'!E742))</f>
        <v>AAKASH GAYARI</v>
      </c>
      <c r="F745" s="27" t="str">
        <f>IF('Paste SD Data'!G742="","",UPPER('Paste SD Data'!G742))</f>
        <v>MANGI LAL GAYARI</v>
      </c>
      <c r="G745" s="27" t="str">
        <f>IF('Paste SD Data'!H742="","",UPPER('Paste SD Data'!H742))</f>
        <v>BHERI DEVI</v>
      </c>
      <c r="H745" s="26" t="str">
        <f>IF('Paste SD Data'!I742="","",IF('Paste SD Data'!I742="M","BOY","GIRL"))</f>
        <v>BOY</v>
      </c>
      <c r="I745" s="28">
        <f>IF('Paste SD Data'!J742="","",'Paste SD Data'!J742)</f>
        <v>38260</v>
      </c>
      <c r="J745" s="34">
        <f t="shared" si="11"/>
        <v>1171</v>
      </c>
      <c r="K745" s="29" t="str">
        <f>IF('Paste SD Data'!O742="","",'Paste SD Data'!O742)</f>
        <v>SBC</v>
      </c>
    </row>
    <row r="746" spans="1:11" ht="30" customHeight="1" x14ac:dyDescent="0.25">
      <c r="A746" s="25">
        <f>IF(Table1[[#This Row],[Name of Student]]="","",ROWS($A$1:A742))</f>
        <v>742</v>
      </c>
      <c r="B746" s="26">
        <f>IF('Paste SD Data'!A743="","",'Paste SD Data'!A743)</f>
        <v>12</v>
      </c>
      <c r="C746" s="26" t="str">
        <f>IF('Paste SD Data'!B743="","",'Paste SD Data'!B743)</f>
        <v>D</v>
      </c>
      <c r="D746" s="26">
        <f>IF('Paste SD Data'!C743="","",'Paste SD Data'!C743)</f>
        <v>12355</v>
      </c>
      <c r="E746" s="27" t="str">
        <f>IF('Paste SD Data'!E743="","",UPPER('Paste SD Data'!E743))</f>
        <v>AJAY SEN</v>
      </c>
      <c r="F746" s="27" t="str">
        <f>IF('Paste SD Data'!G743="","",UPPER('Paste SD Data'!G743))</f>
        <v>SURESH SEN</v>
      </c>
      <c r="G746" s="27" t="str">
        <f>IF('Paste SD Data'!H743="","",UPPER('Paste SD Data'!H743))</f>
        <v>BASANTA DEVI</v>
      </c>
      <c r="H746" s="26" t="str">
        <f>IF('Paste SD Data'!I743="","",IF('Paste SD Data'!I743="M","BOY","GIRL"))</f>
        <v>BOY</v>
      </c>
      <c r="I746" s="28">
        <f>IF('Paste SD Data'!J743="","",'Paste SD Data'!J743)</f>
        <v>38356</v>
      </c>
      <c r="J746" s="34">
        <f t="shared" si="11"/>
        <v>1172</v>
      </c>
      <c r="K746" s="29" t="str">
        <f>IF('Paste SD Data'!O743="","",'Paste SD Data'!O743)</f>
        <v>OBC</v>
      </c>
    </row>
    <row r="747" spans="1:11" ht="30" customHeight="1" x14ac:dyDescent="0.25">
      <c r="A747" s="25">
        <f>IF(Table1[[#This Row],[Name of Student]]="","",ROWS($A$1:A743))</f>
        <v>743</v>
      </c>
      <c r="B747" s="26">
        <f>IF('Paste SD Data'!A744="","",'Paste SD Data'!A744)</f>
        <v>12</v>
      </c>
      <c r="C747" s="26" t="str">
        <f>IF('Paste SD Data'!B744="","",'Paste SD Data'!B744)</f>
        <v>D</v>
      </c>
      <c r="D747" s="26">
        <f>IF('Paste SD Data'!C744="","",'Paste SD Data'!C744)</f>
        <v>13031</v>
      </c>
      <c r="E747" s="27" t="str">
        <f>IF('Paste SD Data'!E744="","",UPPER('Paste SD Data'!E744))</f>
        <v>ARBAZ KHAN</v>
      </c>
      <c r="F747" s="27" t="str">
        <f>IF('Paste SD Data'!G744="","",UPPER('Paste SD Data'!G744))</f>
        <v>ASLAM MOHAMMAD</v>
      </c>
      <c r="G747" s="27" t="str">
        <f>IF('Paste SD Data'!H744="","",UPPER('Paste SD Data'!H744))</f>
        <v>SANNU MEER</v>
      </c>
      <c r="H747" s="26" t="str">
        <f>IF('Paste SD Data'!I744="","",IF('Paste SD Data'!I744="M","BOY","GIRL"))</f>
        <v>BOY</v>
      </c>
      <c r="I747" s="28">
        <f>IF('Paste SD Data'!J744="","",'Paste SD Data'!J744)</f>
        <v>38040</v>
      </c>
      <c r="J747" s="34">
        <f t="shared" si="11"/>
        <v>1173</v>
      </c>
      <c r="K747" s="29" t="str">
        <f>IF('Paste SD Data'!O744="","",'Paste SD Data'!O744)</f>
        <v>OBC</v>
      </c>
    </row>
    <row r="748" spans="1:11" ht="30" customHeight="1" x14ac:dyDescent="0.25">
      <c r="A748" s="25">
        <f>IF(Table1[[#This Row],[Name of Student]]="","",ROWS($A$1:A744))</f>
        <v>744</v>
      </c>
      <c r="B748" s="26">
        <f>IF('Paste SD Data'!A745="","",'Paste SD Data'!A745)</f>
        <v>12</v>
      </c>
      <c r="C748" s="26" t="str">
        <f>IF('Paste SD Data'!B745="","",'Paste SD Data'!B745)</f>
        <v>D</v>
      </c>
      <c r="D748" s="26">
        <f>IF('Paste SD Data'!C745="","",'Paste SD Data'!C745)</f>
        <v>13260</v>
      </c>
      <c r="E748" s="27" t="str">
        <f>IF('Paste SD Data'!E745="","",UPPER('Paste SD Data'!E745))</f>
        <v>DEVENDRA SINGH</v>
      </c>
      <c r="F748" s="27" t="str">
        <f>IF('Paste SD Data'!G745="","",UPPER('Paste SD Data'!G745))</f>
        <v>NAHAR SINGH RATHORE</v>
      </c>
      <c r="G748" s="27" t="str">
        <f>IF('Paste SD Data'!H745="","",UPPER('Paste SD Data'!H745))</f>
        <v>DURGA KANWAR</v>
      </c>
      <c r="H748" s="26" t="str">
        <f>IF('Paste SD Data'!I745="","",IF('Paste SD Data'!I745="M","BOY","GIRL"))</f>
        <v>BOY</v>
      </c>
      <c r="I748" s="28">
        <f>IF('Paste SD Data'!J745="","",'Paste SD Data'!J745)</f>
        <v>38405</v>
      </c>
      <c r="J748" s="34">
        <f t="shared" si="11"/>
        <v>1174</v>
      </c>
      <c r="K748" s="29" t="str">
        <f>IF('Paste SD Data'!O745="","",'Paste SD Data'!O745)</f>
        <v>GEN</v>
      </c>
    </row>
    <row r="749" spans="1:11" ht="30" customHeight="1" x14ac:dyDescent="0.25">
      <c r="A749" s="25">
        <f>IF(Table1[[#This Row],[Name of Student]]="","",ROWS($A$1:A745))</f>
        <v>745</v>
      </c>
      <c r="B749" s="26">
        <f>IF('Paste SD Data'!A746="","",'Paste SD Data'!A746)</f>
        <v>12</v>
      </c>
      <c r="C749" s="26" t="str">
        <f>IF('Paste SD Data'!B746="","",'Paste SD Data'!B746)</f>
        <v>D</v>
      </c>
      <c r="D749" s="26">
        <f>IF('Paste SD Data'!C746="","",'Paste SD Data'!C746)</f>
        <v>12951</v>
      </c>
      <c r="E749" s="27" t="str">
        <f>IF('Paste SD Data'!E746="","",UPPER('Paste SD Data'!E746))</f>
        <v>GAHARI LAL GURJAR</v>
      </c>
      <c r="F749" s="27" t="str">
        <f>IF('Paste SD Data'!G746="","",UPPER('Paste SD Data'!G746))</f>
        <v>KALU JI GURJAR</v>
      </c>
      <c r="G749" s="27" t="str">
        <f>IF('Paste SD Data'!H746="","",UPPER('Paste SD Data'!H746))</f>
        <v>NATHI DEVI</v>
      </c>
      <c r="H749" s="26" t="str">
        <f>IF('Paste SD Data'!I746="","",IF('Paste SD Data'!I746="M","BOY","GIRL"))</f>
        <v>BOY</v>
      </c>
      <c r="I749" s="28">
        <f>IF('Paste SD Data'!J746="","",'Paste SD Data'!J746)</f>
        <v>37880</v>
      </c>
      <c r="J749" s="34">
        <f t="shared" si="11"/>
        <v>1175</v>
      </c>
      <c r="K749" s="29" t="str">
        <f>IF('Paste SD Data'!O746="","",'Paste SD Data'!O746)</f>
        <v>SBC</v>
      </c>
    </row>
    <row r="750" spans="1:11" ht="30" customHeight="1" x14ac:dyDescent="0.25">
      <c r="A750" s="25">
        <f>IF(Table1[[#This Row],[Name of Student]]="","",ROWS($A$1:A746))</f>
        <v>746</v>
      </c>
      <c r="B750" s="26">
        <f>IF('Paste SD Data'!A747="","",'Paste SD Data'!A747)</f>
        <v>12</v>
      </c>
      <c r="C750" s="26" t="str">
        <f>IF('Paste SD Data'!B747="","",'Paste SD Data'!B747)</f>
        <v>D</v>
      </c>
      <c r="D750" s="26">
        <f>IF('Paste SD Data'!C747="","",'Paste SD Data'!C747)</f>
        <v>13645</v>
      </c>
      <c r="E750" s="27" t="str">
        <f>IF('Paste SD Data'!E747="","",UPPER('Paste SD Data'!E747))</f>
        <v>HARSHVARDHAN PANWAR</v>
      </c>
      <c r="F750" s="27" t="str">
        <f>IF('Paste SD Data'!G747="","",UPPER('Paste SD Data'!G747))</f>
        <v>RAJENDRA SINGH PANWAR</v>
      </c>
      <c r="G750" s="27" t="str">
        <f>IF('Paste SD Data'!H747="","",UPPER('Paste SD Data'!H747))</f>
        <v>NAVRATAN DEVI</v>
      </c>
      <c r="H750" s="26" t="str">
        <f>IF('Paste SD Data'!I747="","",IF('Paste SD Data'!I747="M","BOY","GIRL"))</f>
        <v>BOY</v>
      </c>
      <c r="I750" s="28">
        <f>IF('Paste SD Data'!J747="","",'Paste SD Data'!J747)</f>
        <v>38322</v>
      </c>
      <c r="J750" s="34">
        <f t="shared" si="11"/>
        <v>1176</v>
      </c>
      <c r="K750" s="29" t="str">
        <f>IF('Paste SD Data'!O747="","",'Paste SD Data'!O747)</f>
        <v>OBC</v>
      </c>
    </row>
    <row r="751" spans="1:11" ht="30" customHeight="1" x14ac:dyDescent="0.25">
      <c r="A751" s="25">
        <f>IF(Table1[[#This Row],[Name of Student]]="","",ROWS($A$1:A747))</f>
        <v>747</v>
      </c>
      <c r="B751" s="26">
        <f>IF('Paste SD Data'!A748="","",'Paste SD Data'!A748)</f>
        <v>12</v>
      </c>
      <c r="C751" s="26" t="str">
        <f>IF('Paste SD Data'!B748="","",'Paste SD Data'!B748)</f>
        <v>D</v>
      </c>
      <c r="D751" s="26">
        <f>IF('Paste SD Data'!C748="","",'Paste SD Data'!C748)</f>
        <v>13226</v>
      </c>
      <c r="E751" s="27" t="str">
        <f>IF('Paste SD Data'!E748="","",UPPER('Paste SD Data'!E748))</f>
        <v>HIMANSHU VAISHNAV</v>
      </c>
      <c r="F751" s="27" t="str">
        <f>IF('Paste SD Data'!G748="","",UPPER('Paste SD Data'!G748))</f>
        <v>DILKHUSH VAISHNAV</v>
      </c>
      <c r="G751" s="27" t="str">
        <f>IF('Paste SD Data'!H748="","",UPPER('Paste SD Data'!H748))</f>
        <v>KALAWATI VAISHNAV</v>
      </c>
      <c r="H751" s="26" t="str">
        <f>IF('Paste SD Data'!I748="","",IF('Paste SD Data'!I748="M","BOY","GIRL"))</f>
        <v>BOY</v>
      </c>
      <c r="I751" s="28">
        <f>IF('Paste SD Data'!J748="","",'Paste SD Data'!J748)</f>
        <v>38378</v>
      </c>
      <c r="J751" s="34">
        <f t="shared" si="11"/>
        <v>1177</v>
      </c>
      <c r="K751" s="29" t="str">
        <f>IF('Paste SD Data'!O748="","",'Paste SD Data'!O748)</f>
        <v>OBC</v>
      </c>
    </row>
    <row r="752" spans="1:11" ht="30" customHeight="1" x14ac:dyDescent="0.25">
      <c r="A752" s="25">
        <f>IF(Table1[[#This Row],[Name of Student]]="","",ROWS($A$1:A748))</f>
        <v>748</v>
      </c>
      <c r="B752" s="26">
        <f>IF('Paste SD Data'!A749="","",'Paste SD Data'!A749)</f>
        <v>12</v>
      </c>
      <c r="C752" s="26" t="str">
        <f>IF('Paste SD Data'!B749="","",'Paste SD Data'!B749)</f>
        <v>D</v>
      </c>
      <c r="D752" s="26">
        <f>IF('Paste SD Data'!C749="","",'Paste SD Data'!C749)</f>
        <v>12953</v>
      </c>
      <c r="E752" s="27" t="str">
        <f>IF('Paste SD Data'!E749="","",UPPER('Paste SD Data'!E749))</f>
        <v>ISHANT PURI</v>
      </c>
      <c r="F752" s="27" t="str">
        <f>IF('Paste SD Data'!G749="","",UPPER('Paste SD Data'!G749))</f>
        <v>SURESH PURI</v>
      </c>
      <c r="G752" s="27" t="str">
        <f>IF('Paste SD Data'!H749="","",UPPER('Paste SD Data'!H749))</f>
        <v>MAYA DEVI</v>
      </c>
      <c r="H752" s="26" t="str">
        <f>IF('Paste SD Data'!I749="","",IF('Paste SD Data'!I749="M","BOY","GIRL"))</f>
        <v>BOY</v>
      </c>
      <c r="I752" s="28">
        <f>IF('Paste SD Data'!J749="","",'Paste SD Data'!J749)</f>
        <v>38664</v>
      </c>
      <c r="J752" s="34">
        <f t="shared" si="11"/>
        <v>1178</v>
      </c>
      <c r="K752" s="29" t="str">
        <f>IF('Paste SD Data'!O749="","",'Paste SD Data'!O749)</f>
        <v>OBC</v>
      </c>
    </row>
    <row r="753" spans="1:11" ht="30" customHeight="1" x14ac:dyDescent="0.25">
      <c r="A753" s="25">
        <f>IF(Table1[[#This Row],[Name of Student]]="","",ROWS($A$1:A749))</f>
        <v>749</v>
      </c>
      <c r="B753" s="26">
        <f>IF('Paste SD Data'!A750="","",'Paste SD Data'!A750)</f>
        <v>12</v>
      </c>
      <c r="C753" s="26" t="str">
        <f>IF('Paste SD Data'!B750="","",'Paste SD Data'!B750)</f>
        <v>D</v>
      </c>
      <c r="D753" s="26">
        <f>IF('Paste SD Data'!C750="","",'Paste SD Data'!C750)</f>
        <v>12945</v>
      </c>
      <c r="E753" s="27" t="str">
        <f>IF('Paste SD Data'!E750="","",UPPER('Paste SD Data'!E750))</f>
        <v>JEEVRAJ GURJAR</v>
      </c>
      <c r="F753" s="27" t="str">
        <f>IF('Paste SD Data'!G750="","",UPPER('Paste SD Data'!G750))</f>
        <v>UDAI LAL GURJAR</v>
      </c>
      <c r="G753" s="27" t="str">
        <f>IF('Paste SD Data'!H750="","",UPPER('Paste SD Data'!H750))</f>
        <v>GHISI DEVI</v>
      </c>
      <c r="H753" s="26" t="str">
        <f>IF('Paste SD Data'!I750="","",IF('Paste SD Data'!I750="M","BOY","GIRL"))</f>
        <v>BOY</v>
      </c>
      <c r="I753" s="28">
        <f>IF('Paste SD Data'!J750="","",'Paste SD Data'!J750)</f>
        <v>37967</v>
      </c>
      <c r="J753" s="34">
        <f t="shared" si="11"/>
        <v>1179</v>
      </c>
      <c r="K753" s="29" t="str">
        <f>IF('Paste SD Data'!O750="","",'Paste SD Data'!O750)</f>
        <v>SBC</v>
      </c>
    </row>
    <row r="754" spans="1:11" ht="30" customHeight="1" x14ac:dyDescent="0.25">
      <c r="A754" s="25">
        <f>IF(Table1[[#This Row],[Name of Student]]="","",ROWS($A$1:A750))</f>
        <v>750</v>
      </c>
      <c r="B754" s="26">
        <f>IF('Paste SD Data'!A751="","",'Paste SD Data'!A751)</f>
        <v>12</v>
      </c>
      <c r="C754" s="26" t="str">
        <f>IF('Paste SD Data'!B751="","",'Paste SD Data'!B751)</f>
        <v>D</v>
      </c>
      <c r="D754" s="26">
        <f>IF('Paste SD Data'!C751="","",'Paste SD Data'!C751)</f>
        <v>12343</v>
      </c>
      <c r="E754" s="27" t="str">
        <f>IF('Paste SD Data'!E751="","",UPPER('Paste SD Data'!E751))</f>
        <v>KHUSHAL CHANDEL</v>
      </c>
      <c r="F754" s="27" t="str">
        <f>IF('Paste SD Data'!G751="","",UPPER('Paste SD Data'!G751))</f>
        <v>TULSI RAM KHATIK</v>
      </c>
      <c r="G754" s="27" t="str">
        <f>IF('Paste SD Data'!H751="","",UPPER('Paste SD Data'!H751))</f>
        <v>SAYARI DEVI</v>
      </c>
      <c r="H754" s="26" t="str">
        <f>IF('Paste SD Data'!I751="","",IF('Paste SD Data'!I751="M","BOY","GIRL"))</f>
        <v>BOY</v>
      </c>
      <c r="I754" s="28">
        <f>IF('Paste SD Data'!J751="","",'Paste SD Data'!J751)</f>
        <v>38117</v>
      </c>
      <c r="J754" s="34">
        <f t="shared" si="11"/>
        <v>1180</v>
      </c>
      <c r="K754" s="29" t="str">
        <f>IF('Paste SD Data'!O751="","",'Paste SD Data'!O751)</f>
        <v>SC</v>
      </c>
    </row>
    <row r="755" spans="1:11" ht="30" customHeight="1" x14ac:dyDescent="0.25">
      <c r="A755" s="25">
        <f>IF(Table1[[#This Row],[Name of Student]]="","",ROWS($A$1:A751))</f>
        <v>751</v>
      </c>
      <c r="B755" s="26">
        <f>IF('Paste SD Data'!A752="","",'Paste SD Data'!A752)</f>
        <v>12</v>
      </c>
      <c r="C755" s="26" t="str">
        <f>IF('Paste SD Data'!B752="","",'Paste SD Data'!B752)</f>
        <v>D</v>
      </c>
      <c r="D755" s="26">
        <f>IF('Paste SD Data'!C752="","",'Paste SD Data'!C752)</f>
        <v>13593</v>
      </c>
      <c r="E755" s="27" t="str">
        <f>IF('Paste SD Data'!E752="","",UPPER('Paste SD Data'!E752))</f>
        <v>LALIT DIDWANIYA</v>
      </c>
      <c r="F755" s="27" t="str">
        <f>IF('Paste SD Data'!G752="","",UPPER('Paste SD Data'!G752))</f>
        <v>SHANKAR LAL DIDWANIYA</v>
      </c>
      <c r="G755" s="27" t="str">
        <f>IF('Paste SD Data'!H752="","",UPPER('Paste SD Data'!H752))</f>
        <v>KAILASH DEVI</v>
      </c>
      <c r="H755" s="26" t="str">
        <f>IF('Paste SD Data'!I752="","",IF('Paste SD Data'!I752="M","BOY","GIRL"))</f>
        <v>BOY</v>
      </c>
      <c r="I755" s="28">
        <f>IF('Paste SD Data'!J752="","",'Paste SD Data'!J752)</f>
        <v>37770</v>
      </c>
      <c r="J755" s="34">
        <f t="shared" si="11"/>
        <v>1181</v>
      </c>
      <c r="K755" s="29" t="str">
        <f>IF('Paste SD Data'!O752="","",'Paste SD Data'!O752)</f>
        <v>SC</v>
      </c>
    </row>
    <row r="756" spans="1:11" ht="30" customHeight="1" x14ac:dyDescent="0.25">
      <c r="A756" s="25">
        <f>IF(Table1[[#This Row],[Name of Student]]="","",ROWS($A$1:A752))</f>
        <v>752</v>
      </c>
      <c r="B756" s="26">
        <f>IF('Paste SD Data'!A753="","",'Paste SD Data'!A753)</f>
        <v>12</v>
      </c>
      <c r="C756" s="26" t="str">
        <f>IF('Paste SD Data'!B753="","",'Paste SD Data'!B753)</f>
        <v>D</v>
      </c>
      <c r="D756" s="26">
        <f>IF('Paste SD Data'!C753="","",'Paste SD Data'!C753)</f>
        <v>12363</v>
      </c>
      <c r="E756" s="27" t="str">
        <f>IF('Paste SD Data'!E753="","",UPPER('Paste SD Data'!E753))</f>
        <v>MOHAMMAD JUNAID</v>
      </c>
      <c r="F756" s="27" t="str">
        <f>IF('Paste SD Data'!G753="","",UPPER('Paste SD Data'!G753))</f>
        <v>NASIB ALI HASAMI</v>
      </c>
      <c r="G756" s="27" t="str">
        <f>IF('Paste SD Data'!H753="","",UPPER('Paste SD Data'!H753))</f>
        <v>ISLAMUN NISHA</v>
      </c>
      <c r="H756" s="26" t="str">
        <f>IF('Paste SD Data'!I753="","",IF('Paste SD Data'!I753="M","BOY","GIRL"))</f>
        <v>BOY</v>
      </c>
      <c r="I756" s="28">
        <f>IF('Paste SD Data'!J753="","",'Paste SD Data'!J753)</f>
        <v>38373</v>
      </c>
      <c r="J756" s="34">
        <f t="shared" si="11"/>
        <v>1182</v>
      </c>
      <c r="K756" s="29" t="str">
        <f>IF('Paste SD Data'!O753="","",'Paste SD Data'!O753)</f>
        <v>OBC</v>
      </c>
    </row>
    <row r="757" spans="1:11" ht="30" customHeight="1" x14ac:dyDescent="0.25">
      <c r="A757" s="25">
        <f>IF(Table1[[#This Row],[Name of Student]]="","",ROWS($A$1:A753))</f>
        <v>753</v>
      </c>
      <c r="B757" s="26">
        <f>IF('Paste SD Data'!A754="","",'Paste SD Data'!A754)</f>
        <v>12</v>
      </c>
      <c r="C757" s="26" t="str">
        <f>IF('Paste SD Data'!B754="","",'Paste SD Data'!B754)</f>
        <v>D</v>
      </c>
      <c r="D757" s="26">
        <f>IF('Paste SD Data'!C754="","",'Paste SD Data'!C754)</f>
        <v>13270</v>
      </c>
      <c r="E757" s="27" t="str">
        <f>IF('Paste SD Data'!E754="","",UPPER('Paste SD Data'!E754))</f>
        <v>MONU JOSHI</v>
      </c>
      <c r="F757" s="27" t="str">
        <f>IF('Paste SD Data'!G754="","",UPPER('Paste SD Data'!G754))</f>
        <v>RAJESH KUMAR</v>
      </c>
      <c r="G757" s="27" t="str">
        <f>IF('Paste SD Data'!H754="","",UPPER('Paste SD Data'!H754))</f>
        <v>JASODA DEVI</v>
      </c>
      <c r="H757" s="26" t="str">
        <f>IF('Paste SD Data'!I754="","",IF('Paste SD Data'!I754="M","BOY","GIRL"))</f>
        <v>BOY</v>
      </c>
      <c r="I757" s="28">
        <f>IF('Paste SD Data'!J754="","",'Paste SD Data'!J754)</f>
        <v>38397</v>
      </c>
      <c r="J757" s="34">
        <f t="shared" si="11"/>
        <v>1183</v>
      </c>
      <c r="K757" s="29" t="str">
        <f>IF('Paste SD Data'!O754="","",'Paste SD Data'!O754)</f>
        <v>GEN</v>
      </c>
    </row>
    <row r="758" spans="1:11" ht="30" customHeight="1" x14ac:dyDescent="0.25">
      <c r="A758" s="25">
        <f>IF(Table1[[#This Row],[Name of Student]]="","",ROWS($A$1:A754))</f>
        <v>754</v>
      </c>
      <c r="B758" s="26">
        <f>IF('Paste SD Data'!A755="","",'Paste SD Data'!A755)</f>
        <v>12</v>
      </c>
      <c r="C758" s="26" t="str">
        <f>IF('Paste SD Data'!B755="","",'Paste SD Data'!B755)</f>
        <v>D</v>
      </c>
      <c r="D758" s="26">
        <f>IF('Paste SD Data'!C755="","",'Paste SD Data'!C755)</f>
        <v>12350</v>
      </c>
      <c r="E758" s="27" t="str">
        <f>IF('Paste SD Data'!E755="","",UPPER('Paste SD Data'!E755))</f>
        <v>MUKESH GURJAR</v>
      </c>
      <c r="F758" s="27" t="str">
        <f>IF('Paste SD Data'!G755="","",UPPER('Paste SD Data'!G755))</f>
        <v>SUKHDEV GURJAR</v>
      </c>
      <c r="G758" s="27" t="str">
        <f>IF('Paste SD Data'!H755="","",UPPER('Paste SD Data'!H755))</f>
        <v>GAJARI DEVI</v>
      </c>
      <c r="H758" s="26" t="str">
        <f>IF('Paste SD Data'!I755="","",IF('Paste SD Data'!I755="M","BOY","GIRL"))</f>
        <v>BOY</v>
      </c>
      <c r="I758" s="28">
        <f>IF('Paste SD Data'!J755="","",'Paste SD Data'!J755)</f>
        <v>37787</v>
      </c>
      <c r="J758" s="34">
        <f t="shared" si="11"/>
        <v>1184</v>
      </c>
      <c r="K758" s="29" t="str">
        <f>IF('Paste SD Data'!O755="","",'Paste SD Data'!O755)</f>
        <v>SBC</v>
      </c>
    </row>
    <row r="759" spans="1:11" ht="30" customHeight="1" x14ac:dyDescent="0.25">
      <c r="A759" s="25">
        <f>IF(Table1[[#This Row],[Name of Student]]="","",ROWS($A$1:A755))</f>
        <v>755</v>
      </c>
      <c r="B759" s="26">
        <f>IF('Paste SD Data'!A756="","",'Paste SD Data'!A756)</f>
        <v>12</v>
      </c>
      <c r="C759" s="26" t="str">
        <f>IF('Paste SD Data'!B756="","",'Paste SD Data'!B756)</f>
        <v>D</v>
      </c>
      <c r="D759" s="26">
        <f>IF('Paste SD Data'!C756="","",'Paste SD Data'!C756)</f>
        <v>13684</v>
      </c>
      <c r="E759" s="27" t="str">
        <f>IF('Paste SD Data'!E756="","",UPPER('Paste SD Data'!E756))</f>
        <v>RAHUL MALI</v>
      </c>
      <c r="F759" s="27" t="str">
        <f>IF('Paste SD Data'!G756="","",UPPER('Paste SD Data'!G756))</f>
        <v>JAGDISH MALI</v>
      </c>
      <c r="G759" s="27" t="str">
        <f>IF('Paste SD Data'!H756="","",UPPER('Paste SD Data'!H756))</f>
        <v>LEELA MALI</v>
      </c>
      <c r="H759" s="26" t="str">
        <f>IF('Paste SD Data'!I756="","",IF('Paste SD Data'!I756="M","BOY","GIRL"))</f>
        <v>BOY</v>
      </c>
      <c r="I759" s="28">
        <f>IF('Paste SD Data'!J756="","",'Paste SD Data'!J756)</f>
        <v>38200</v>
      </c>
      <c r="J759" s="34">
        <f t="shared" si="11"/>
        <v>1185</v>
      </c>
      <c r="K759" s="29" t="str">
        <f>IF('Paste SD Data'!O756="","",'Paste SD Data'!O756)</f>
        <v>OBC</v>
      </c>
    </row>
    <row r="760" spans="1:11" ht="30" customHeight="1" x14ac:dyDescent="0.25">
      <c r="A760" s="25">
        <f>IF(Table1[[#This Row],[Name of Student]]="","",ROWS($A$1:A756))</f>
        <v>756</v>
      </c>
      <c r="B760" s="26">
        <f>IF('Paste SD Data'!A757="","",'Paste SD Data'!A757)</f>
        <v>12</v>
      </c>
      <c r="C760" s="26" t="str">
        <f>IF('Paste SD Data'!B757="","",'Paste SD Data'!B757)</f>
        <v>D</v>
      </c>
      <c r="D760" s="26">
        <f>IF('Paste SD Data'!C757="","",'Paste SD Data'!C757)</f>
        <v>13351</v>
      </c>
      <c r="E760" s="27" t="str">
        <f>IF('Paste SD Data'!E757="","",UPPER('Paste SD Data'!E757))</f>
        <v>SANWARIYA LOHAR</v>
      </c>
      <c r="F760" s="27" t="str">
        <f>IF('Paste SD Data'!G757="","",UPPER('Paste SD Data'!G757))</f>
        <v>SOHAN LAL LOHAR</v>
      </c>
      <c r="G760" s="27" t="str">
        <f>IF('Paste SD Data'!H757="","",UPPER('Paste SD Data'!H757))</f>
        <v>SUKHI DEVI</v>
      </c>
      <c r="H760" s="26" t="str">
        <f>IF('Paste SD Data'!I757="","",IF('Paste SD Data'!I757="M","BOY","GIRL"))</f>
        <v>BOY</v>
      </c>
      <c r="I760" s="28">
        <f>IF('Paste SD Data'!J757="","",'Paste SD Data'!J757)</f>
        <v>37724</v>
      </c>
      <c r="J760" s="34">
        <f t="shared" si="11"/>
        <v>1186</v>
      </c>
      <c r="K760" s="29" t="str">
        <f>IF('Paste SD Data'!O757="","",'Paste SD Data'!O757)</f>
        <v>OBC</v>
      </c>
    </row>
    <row r="761" spans="1:11" ht="30" customHeight="1" x14ac:dyDescent="0.25">
      <c r="A761" s="25">
        <f>IF(Table1[[#This Row],[Name of Student]]="","",ROWS($A$1:A757))</f>
        <v>757</v>
      </c>
      <c r="B761" s="26">
        <f>IF('Paste SD Data'!A758="","",'Paste SD Data'!A758)</f>
        <v>12</v>
      </c>
      <c r="C761" s="26" t="str">
        <f>IF('Paste SD Data'!B758="","",'Paste SD Data'!B758)</f>
        <v>D</v>
      </c>
      <c r="D761" s="26">
        <f>IF('Paste SD Data'!C758="","",'Paste SD Data'!C758)</f>
        <v>13617</v>
      </c>
      <c r="E761" s="27" t="str">
        <f>IF('Paste SD Data'!E758="","",UPPER('Paste SD Data'!E758))</f>
        <v>SHELENDRA SINGH</v>
      </c>
      <c r="F761" s="27" t="str">
        <f>IF('Paste SD Data'!G758="","",UPPER('Paste SD Data'!G758))</f>
        <v>GOPAL SINGH</v>
      </c>
      <c r="G761" s="27" t="str">
        <f>IF('Paste SD Data'!H758="","",UPPER('Paste SD Data'!H758))</f>
        <v>REKHA KANWAR</v>
      </c>
      <c r="H761" s="26" t="str">
        <f>IF('Paste SD Data'!I758="","",IF('Paste SD Data'!I758="M","BOY","GIRL"))</f>
        <v>BOY</v>
      </c>
      <c r="I761" s="28">
        <f>IF('Paste SD Data'!J758="","",'Paste SD Data'!J758)</f>
        <v>38499</v>
      </c>
      <c r="J761" s="34">
        <f t="shared" si="11"/>
        <v>1187</v>
      </c>
      <c r="K761" s="29" t="str">
        <f>IF('Paste SD Data'!O758="","",'Paste SD Data'!O758)</f>
        <v>OBC</v>
      </c>
    </row>
    <row r="762" spans="1:11" ht="30" customHeight="1" x14ac:dyDescent="0.25">
      <c r="A762" s="25">
        <f>IF(Table1[[#This Row],[Name of Student]]="","",ROWS($A$1:A758))</f>
        <v>758</v>
      </c>
      <c r="B762" s="26">
        <f>IF('Paste SD Data'!A759="","",'Paste SD Data'!A759)</f>
        <v>12</v>
      </c>
      <c r="C762" s="26" t="str">
        <f>IF('Paste SD Data'!B759="","",'Paste SD Data'!B759)</f>
        <v>D</v>
      </c>
      <c r="D762" s="26">
        <f>IF('Paste SD Data'!C759="","",'Paste SD Data'!C759)</f>
        <v>13004</v>
      </c>
      <c r="E762" s="27" t="str">
        <f>IF('Paste SD Data'!E759="","",UPPER('Paste SD Data'!E759))</f>
        <v>SIDHARTH JOSHI</v>
      </c>
      <c r="F762" s="27" t="str">
        <f>IF('Paste SD Data'!G759="","",UPPER('Paste SD Data'!G759))</f>
        <v>RANJEET JOSHI</v>
      </c>
      <c r="G762" s="27" t="str">
        <f>IF('Paste SD Data'!H759="","",UPPER('Paste SD Data'!H759))</f>
        <v>MONIKA JOSHI</v>
      </c>
      <c r="H762" s="26" t="str">
        <f>IF('Paste SD Data'!I759="","",IF('Paste SD Data'!I759="M","BOY","GIRL"))</f>
        <v>BOY</v>
      </c>
      <c r="I762" s="28">
        <f>IF('Paste SD Data'!J759="","",'Paste SD Data'!J759)</f>
        <v>38599</v>
      </c>
      <c r="J762" s="34">
        <f t="shared" si="11"/>
        <v>1188</v>
      </c>
      <c r="K762" s="29" t="str">
        <f>IF('Paste SD Data'!O759="","",'Paste SD Data'!O759)</f>
        <v>OBC</v>
      </c>
    </row>
    <row r="763" spans="1:11" ht="30" customHeight="1" x14ac:dyDescent="0.25">
      <c r="A763" s="25">
        <f>IF(Table1[[#This Row],[Name of Student]]="","",ROWS($A$1:A759))</f>
        <v>759</v>
      </c>
      <c r="B763" s="26">
        <f>IF('Paste SD Data'!A760="","",'Paste SD Data'!A760)</f>
        <v>12</v>
      </c>
      <c r="C763" s="26" t="str">
        <f>IF('Paste SD Data'!B760="","",'Paste SD Data'!B760)</f>
        <v>D</v>
      </c>
      <c r="D763" s="26">
        <f>IF('Paste SD Data'!C760="","",'Paste SD Data'!C760)</f>
        <v>13227</v>
      </c>
      <c r="E763" s="27" t="str">
        <f>IF('Paste SD Data'!E760="","",UPPER('Paste SD Data'!E760))</f>
        <v>TARUN KUMAR JEENGAR</v>
      </c>
      <c r="F763" s="27" t="str">
        <f>IF('Paste SD Data'!G760="","",UPPER('Paste SD Data'!G760))</f>
        <v>SHOBHA LAL JEENGAR</v>
      </c>
      <c r="G763" s="27" t="str">
        <f>IF('Paste SD Data'!H760="","",UPPER('Paste SD Data'!H760))</f>
        <v>RUKMANI DEVI</v>
      </c>
      <c r="H763" s="26" t="str">
        <f>IF('Paste SD Data'!I760="","",IF('Paste SD Data'!I760="M","BOY","GIRL"))</f>
        <v>BOY</v>
      </c>
      <c r="I763" s="28">
        <f>IF('Paste SD Data'!J760="","",'Paste SD Data'!J760)</f>
        <v>38029</v>
      </c>
      <c r="J763" s="34">
        <f t="shared" si="11"/>
        <v>1189</v>
      </c>
      <c r="K763" s="29" t="str">
        <f>IF('Paste SD Data'!O760="","",'Paste SD Data'!O760)</f>
        <v>SC</v>
      </c>
    </row>
    <row r="764" spans="1:11" ht="30" customHeight="1" x14ac:dyDescent="0.25">
      <c r="A764" s="25">
        <f>IF(Table1[[#This Row],[Name of Student]]="","",ROWS($A$1:A760))</f>
        <v>760</v>
      </c>
      <c r="B764" s="26">
        <f>IF('Paste SD Data'!A761="","",'Paste SD Data'!A761)</f>
        <v>12</v>
      </c>
      <c r="C764" s="26" t="str">
        <f>IF('Paste SD Data'!B761="","",'Paste SD Data'!B761)</f>
        <v>D</v>
      </c>
      <c r="D764" s="26">
        <f>IF('Paste SD Data'!C761="","",'Paste SD Data'!C761)</f>
        <v>13146</v>
      </c>
      <c r="E764" s="27" t="str">
        <f>IF('Paste SD Data'!E761="","",UPPER('Paste SD Data'!E761))</f>
        <v>TILOK SINGH</v>
      </c>
      <c r="F764" s="27" t="str">
        <f>IF('Paste SD Data'!G761="","",UPPER('Paste SD Data'!G761))</f>
        <v>SOHAN SINGH</v>
      </c>
      <c r="G764" s="27" t="str">
        <f>IF('Paste SD Data'!H761="","",UPPER('Paste SD Data'!H761))</f>
        <v>DAKHU DEVI</v>
      </c>
      <c r="H764" s="26" t="str">
        <f>IF('Paste SD Data'!I761="","",IF('Paste SD Data'!I761="M","BOY","GIRL"))</f>
        <v>BOY</v>
      </c>
      <c r="I764" s="28">
        <f>IF('Paste SD Data'!J761="","",'Paste SD Data'!J761)</f>
        <v>38353</v>
      </c>
      <c r="J764" s="34">
        <f t="shared" si="11"/>
        <v>1190</v>
      </c>
      <c r="K764" s="29" t="str">
        <f>IF('Paste SD Data'!O761="","",'Paste SD Data'!O761)</f>
        <v>OBC</v>
      </c>
    </row>
    <row r="765" spans="1:11" ht="30" customHeight="1" x14ac:dyDescent="0.25">
      <c r="A765" s="25">
        <f>IF(Table1[[#This Row],[Name of Student]]="","",ROWS($A$1:A761))</f>
        <v>761</v>
      </c>
      <c r="B765" s="26">
        <f>IF('Paste SD Data'!A762="","",'Paste SD Data'!A762)</f>
        <v>12</v>
      </c>
      <c r="C765" s="26" t="str">
        <f>IF('Paste SD Data'!B762="","",'Paste SD Data'!B762)</f>
        <v>D</v>
      </c>
      <c r="D765" s="26">
        <f>IF('Paste SD Data'!C762="","",'Paste SD Data'!C762)</f>
        <v>13353</v>
      </c>
      <c r="E765" s="27" t="str">
        <f>IF('Paste SD Data'!E762="","",UPPER('Paste SD Data'!E762))</f>
        <v>VISHAL PANWAR</v>
      </c>
      <c r="F765" s="27" t="str">
        <f>IF('Paste SD Data'!G762="","",UPPER('Paste SD Data'!G762))</f>
        <v>AJAY SINGH</v>
      </c>
      <c r="G765" s="27" t="str">
        <f>IF('Paste SD Data'!H762="","",UPPER('Paste SD Data'!H762))</f>
        <v>MEENA DEVI</v>
      </c>
      <c r="H765" s="26" t="str">
        <f>IF('Paste SD Data'!I762="","",IF('Paste SD Data'!I762="M","BOY","GIRL"))</f>
        <v>BOY</v>
      </c>
      <c r="I765" s="28">
        <f>IF('Paste SD Data'!J762="","",'Paste SD Data'!J762)</f>
        <v>38592</v>
      </c>
      <c r="J765" s="34">
        <f t="shared" si="11"/>
        <v>1191</v>
      </c>
      <c r="K765" s="29" t="str">
        <f>IF('Paste SD Data'!O762="","",'Paste SD Data'!O762)</f>
        <v>OBC</v>
      </c>
    </row>
    <row r="766" spans="1:11" ht="30" customHeight="1" x14ac:dyDescent="0.25">
      <c r="A766" s="25" t="str">
        <f>IF(Table1[[#This Row],[Name of Student]]="","",ROWS($A$1:A762))</f>
        <v/>
      </c>
      <c r="B766" s="26" t="str">
        <f>IF('Paste SD Data'!A763="","",'Paste SD Data'!A763)</f>
        <v/>
      </c>
      <c r="C766" s="26" t="str">
        <f>IF('Paste SD Data'!B763="","",'Paste SD Data'!B763)</f>
        <v/>
      </c>
      <c r="D766" s="26" t="str">
        <f>IF('Paste SD Data'!C763="","",'Paste SD Data'!C763)</f>
        <v/>
      </c>
      <c r="E766" s="27" t="str">
        <f>IF('Paste SD Data'!E763="","",UPPER('Paste SD Data'!E763))</f>
        <v/>
      </c>
      <c r="F766" s="27" t="str">
        <f>IF('Paste SD Data'!G763="","",UPPER('Paste SD Data'!G763))</f>
        <v/>
      </c>
      <c r="G766" s="27" t="str">
        <f>IF('Paste SD Data'!H763="","",UPPER('Paste SD Data'!H763))</f>
        <v/>
      </c>
      <c r="H766" s="26" t="str">
        <f>IF('Paste SD Data'!I763="","",IF('Paste SD Data'!I763="M","BOY","GIRL"))</f>
        <v/>
      </c>
      <c r="I766" s="28" t="str">
        <f>IF('Paste SD Data'!J763="","",'Paste SD Data'!J763)</f>
        <v/>
      </c>
      <c r="J766" s="34">
        <f t="shared" si="11"/>
        <v>1192</v>
      </c>
      <c r="K766" s="29" t="str">
        <f>IF('Paste SD Data'!O763="","",'Paste SD Data'!O763)</f>
        <v/>
      </c>
    </row>
    <row r="767" spans="1:11" ht="30" customHeight="1" x14ac:dyDescent="0.25">
      <c r="A767" s="25" t="str">
        <f>IF(Table1[[#This Row],[Name of Student]]="","",ROWS($A$1:A763))</f>
        <v/>
      </c>
      <c r="B767" s="26" t="str">
        <f>IF('Paste SD Data'!A764="","",'Paste SD Data'!A764)</f>
        <v/>
      </c>
      <c r="C767" s="26" t="str">
        <f>IF('Paste SD Data'!B764="","",'Paste SD Data'!B764)</f>
        <v/>
      </c>
      <c r="D767" s="26" t="str">
        <f>IF('Paste SD Data'!C764="","",'Paste SD Data'!C764)</f>
        <v/>
      </c>
      <c r="E767" s="27" t="str">
        <f>IF('Paste SD Data'!E764="","",UPPER('Paste SD Data'!E764))</f>
        <v/>
      </c>
      <c r="F767" s="27" t="str">
        <f>IF('Paste SD Data'!G764="","",UPPER('Paste SD Data'!G764))</f>
        <v/>
      </c>
      <c r="G767" s="27" t="str">
        <f>IF('Paste SD Data'!H764="","",UPPER('Paste SD Data'!H764))</f>
        <v/>
      </c>
      <c r="H767" s="26" t="str">
        <f>IF('Paste SD Data'!I764="","",IF('Paste SD Data'!I764="M","BOY","GIRL"))</f>
        <v/>
      </c>
      <c r="I767" s="28" t="str">
        <f>IF('Paste SD Data'!J764="","",'Paste SD Data'!J764)</f>
        <v/>
      </c>
      <c r="J767" s="34">
        <f t="shared" si="11"/>
        <v>1193</v>
      </c>
      <c r="K767" s="29" t="str">
        <f>IF('Paste SD Data'!O764="","",'Paste SD Data'!O764)</f>
        <v/>
      </c>
    </row>
    <row r="768" spans="1:11" ht="30" customHeight="1" x14ac:dyDescent="0.25">
      <c r="A768" s="25" t="str">
        <f>IF(Table1[[#This Row],[Name of Student]]="","",ROWS($A$1:A764))</f>
        <v/>
      </c>
      <c r="B768" s="26" t="str">
        <f>IF('Paste SD Data'!A765="","",'Paste SD Data'!A765)</f>
        <v/>
      </c>
      <c r="C768" s="26" t="str">
        <f>IF('Paste SD Data'!B765="","",'Paste SD Data'!B765)</f>
        <v/>
      </c>
      <c r="D768" s="26" t="str">
        <f>IF('Paste SD Data'!C765="","",'Paste SD Data'!C765)</f>
        <v/>
      </c>
      <c r="E768" s="27" t="str">
        <f>IF('Paste SD Data'!E765="","",UPPER('Paste SD Data'!E765))</f>
        <v/>
      </c>
      <c r="F768" s="27" t="str">
        <f>IF('Paste SD Data'!G765="","",UPPER('Paste SD Data'!G765))</f>
        <v/>
      </c>
      <c r="G768" s="27" t="str">
        <f>IF('Paste SD Data'!H765="","",UPPER('Paste SD Data'!H765))</f>
        <v/>
      </c>
      <c r="H768" s="26" t="str">
        <f>IF('Paste SD Data'!I765="","",IF('Paste SD Data'!I765="M","BOY","GIRL"))</f>
        <v/>
      </c>
      <c r="I768" s="28" t="str">
        <f>IF('Paste SD Data'!J765="","",'Paste SD Data'!J765)</f>
        <v/>
      </c>
      <c r="J768" s="34">
        <f t="shared" si="11"/>
        <v>1194</v>
      </c>
      <c r="K768" s="29" t="str">
        <f>IF('Paste SD Data'!O765="","",'Paste SD Data'!O765)</f>
        <v/>
      </c>
    </row>
    <row r="769" spans="1:11" ht="30" customHeight="1" x14ac:dyDescent="0.25">
      <c r="A769" s="25" t="str">
        <f>IF(Table1[[#This Row],[Name of Student]]="","",ROWS($A$1:A765))</f>
        <v/>
      </c>
      <c r="B769" s="26" t="str">
        <f>IF('Paste SD Data'!A766="","",'Paste SD Data'!A766)</f>
        <v/>
      </c>
      <c r="C769" s="26" t="str">
        <f>IF('Paste SD Data'!B766="","",'Paste SD Data'!B766)</f>
        <v/>
      </c>
      <c r="D769" s="26" t="str">
        <f>IF('Paste SD Data'!C766="","",'Paste SD Data'!C766)</f>
        <v/>
      </c>
      <c r="E769" s="27" t="str">
        <f>IF('Paste SD Data'!E766="","",UPPER('Paste SD Data'!E766))</f>
        <v/>
      </c>
      <c r="F769" s="27" t="str">
        <f>IF('Paste SD Data'!G766="","",UPPER('Paste SD Data'!G766))</f>
        <v/>
      </c>
      <c r="G769" s="27" t="str">
        <f>IF('Paste SD Data'!H766="","",UPPER('Paste SD Data'!H766))</f>
        <v/>
      </c>
      <c r="H769" s="26" t="str">
        <f>IF('Paste SD Data'!I766="","",IF('Paste SD Data'!I766="M","BOY","GIRL"))</f>
        <v/>
      </c>
      <c r="I769" s="28" t="str">
        <f>IF('Paste SD Data'!J766="","",'Paste SD Data'!J766)</f>
        <v/>
      </c>
      <c r="J769" s="34">
        <f t="shared" si="11"/>
        <v>1195</v>
      </c>
      <c r="K769" s="29" t="str">
        <f>IF('Paste SD Data'!O766="","",'Paste SD Data'!O766)</f>
        <v/>
      </c>
    </row>
    <row r="770" spans="1:11" ht="30" customHeight="1" x14ac:dyDescent="0.25">
      <c r="A770" s="25" t="str">
        <f>IF(Table1[[#This Row],[Name of Student]]="","",ROWS($A$1:A766))</f>
        <v/>
      </c>
      <c r="B770" s="26" t="str">
        <f>IF('Paste SD Data'!A767="","",'Paste SD Data'!A767)</f>
        <v/>
      </c>
      <c r="C770" s="26" t="str">
        <f>IF('Paste SD Data'!B767="","",'Paste SD Data'!B767)</f>
        <v/>
      </c>
      <c r="D770" s="26" t="str">
        <f>IF('Paste SD Data'!C767="","",'Paste SD Data'!C767)</f>
        <v/>
      </c>
      <c r="E770" s="27" t="str">
        <f>IF('Paste SD Data'!E767="","",UPPER('Paste SD Data'!E767))</f>
        <v/>
      </c>
      <c r="F770" s="27" t="str">
        <f>IF('Paste SD Data'!G767="","",UPPER('Paste SD Data'!G767))</f>
        <v/>
      </c>
      <c r="G770" s="27" t="str">
        <f>IF('Paste SD Data'!H767="","",UPPER('Paste SD Data'!H767))</f>
        <v/>
      </c>
      <c r="H770" s="26" t="str">
        <f>IF('Paste SD Data'!I767="","",IF('Paste SD Data'!I767="M","BOY","GIRL"))</f>
        <v/>
      </c>
      <c r="I770" s="28" t="str">
        <f>IF('Paste SD Data'!J767="","",'Paste SD Data'!J767)</f>
        <v/>
      </c>
      <c r="J770" s="34">
        <f t="shared" si="11"/>
        <v>1196</v>
      </c>
      <c r="K770" s="29" t="str">
        <f>IF('Paste SD Data'!O767="","",'Paste SD Data'!O767)</f>
        <v/>
      </c>
    </row>
    <row r="771" spans="1:11" ht="30" customHeight="1" x14ac:dyDescent="0.25">
      <c r="A771" s="25" t="str">
        <f>IF(Table1[[#This Row],[Name of Student]]="","",ROWS($A$1:A767))</f>
        <v/>
      </c>
      <c r="B771" s="26" t="str">
        <f>IF('Paste SD Data'!A768="","",'Paste SD Data'!A768)</f>
        <v/>
      </c>
      <c r="C771" s="26" t="str">
        <f>IF('Paste SD Data'!B768="","",'Paste SD Data'!B768)</f>
        <v/>
      </c>
      <c r="D771" s="26" t="str">
        <f>IF('Paste SD Data'!C768="","",'Paste SD Data'!C768)</f>
        <v/>
      </c>
      <c r="E771" s="27" t="str">
        <f>IF('Paste SD Data'!E768="","",UPPER('Paste SD Data'!E768))</f>
        <v/>
      </c>
      <c r="F771" s="27" t="str">
        <f>IF('Paste SD Data'!G768="","",UPPER('Paste SD Data'!G768))</f>
        <v/>
      </c>
      <c r="G771" s="27" t="str">
        <f>IF('Paste SD Data'!H768="","",UPPER('Paste SD Data'!H768))</f>
        <v/>
      </c>
      <c r="H771" s="26" t="str">
        <f>IF('Paste SD Data'!I768="","",IF('Paste SD Data'!I768="M","BOY","GIRL"))</f>
        <v/>
      </c>
      <c r="I771" s="28" t="str">
        <f>IF('Paste SD Data'!J768="","",'Paste SD Data'!J768)</f>
        <v/>
      </c>
      <c r="J771" s="34">
        <f t="shared" si="11"/>
        <v>1197</v>
      </c>
      <c r="K771" s="29" t="str">
        <f>IF('Paste SD Data'!O768="","",'Paste SD Data'!O768)</f>
        <v/>
      </c>
    </row>
    <row r="772" spans="1:11" ht="30" customHeight="1" x14ac:dyDescent="0.25">
      <c r="A772" s="25" t="str">
        <f>IF(Table1[[#This Row],[Name of Student]]="","",ROWS($A$1:A768))</f>
        <v/>
      </c>
      <c r="B772" s="26" t="str">
        <f>IF('Paste SD Data'!A769="","",'Paste SD Data'!A769)</f>
        <v/>
      </c>
      <c r="C772" s="26" t="str">
        <f>IF('Paste SD Data'!B769="","",'Paste SD Data'!B769)</f>
        <v/>
      </c>
      <c r="D772" s="26" t="str">
        <f>IF('Paste SD Data'!C769="","",'Paste SD Data'!C769)</f>
        <v/>
      </c>
      <c r="E772" s="27" t="str">
        <f>IF('Paste SD Data'!E769="","",UPPER('Paste SD Data'!E769))</f>
        <v/>
      </c>
      <c r="F772" s="27" t="str">
        <f>IF('Paste SD Data'!G769="","",UPPER('Paste SD Data'!G769))</f>
        <v/>
      </c>
      <c r="G772" s="27" t="str">
        <f>IF('Paste SD Data'!H769="","",UPPER('Paste SD Data'!H769))</f>
        <v/>
      </c>
      <c r="H772" s="26" t="str">
        <f>IF('Paste SD Data'!I769="","",IF('Paste SD Data'!I769="M","BOY","GIRL"))</f>
        <v/>
      </c>
      <c r="I772" s="28" t="str">
        <f>IF('Paste SD Data'!J769="","",'Paste SD Data'!J769)</f>
        <v/>
      </c>
      <c r="J772" s="34">
        <f t="shared" si="11"/>
        <v>1198</v>
      </c>
      <c r="K772" s="29" t="str">
        <f>IF('Paste SD Data'!O769="","",'Paste SD Data'!O769)</f>
        <v/>
      </c>
    </row>
    <row r="773" spans="1:11" ht="30" customHeight="1" x14ac:dyDescent="0.25">
      <c r="A773" s="25" t="str">
        <f>IF(Table1[[#This Row],[Name of Student]]="","",ROWS($A$1:A769))</f>
        <v/>
      </c>
      <c r="B773" s="26" t="str">
        <f>IF('Paste SD Data'!A770="","",'Paste SD Data'!A770)</f>
        <v/>
      </c>
      <c r="C773" s="26" t="str">
        <f>IF('Paste SD Data'!B770="","",'Paste SD Data'!B770)</f>
        <v/>
      </c>
      <c r="D773" s="26" t="str">
        <f>IF('Paste SD Data'!C770="","",'Paste SD Data'!C770)</f>
        <v/>
      </c>
      <c r="E773" s="27" t="str">
        <f>IF('Paste SD Data'!E770="","",UPPER('Paste SD Data'!E770))</f>
        <v/>
      </c>
      <c r="F773" s="27" t="str">
        <f>IF('Paste SD Data'!G770="","",UPPER('Paste SD Data'!G770))</f>
        <v/>
      </c>
      <c r="G773" s="27" t="str">
        <f>IF('Paste SD Data'!H770="","",UPPER('Paste SD Data'!H770))</f>
        <v/>
      </c>
      <c r="H773" s="26" t="str">
        <f>IF('Paste SD Data'!I770="","",IF('Paste SD Data'!I770="M","BOY","GIRL"))</f>
        <v/>
      </c>
      <c r="I773" s="28" t="str">
        <f>IF('Paste SD Data'!J770="","",'Paste SD Data'!J770)</f>
        <v/>
      </c>
      <c r="J773" s="34">
        <f t="shared" si="11"/>
        <v>1199</v>
      </c>
      <c r="K773" s="29" t="str">
        <f>IF('Paste SD Data'!O770="","",'Paste SD Data'!O770)</f>
        <v/>
      </c>
    </row>
    <row r="774" spans="1:11" ht="30" customHeight="1" x14ac:dyDescent="0.25">
      <c r="A774" s="25" t="str">
        <f>IF(Table1[[#This Row],[Name of Student]]="","",ROWS($A$1:A770))</f>
        <v/>
      </c>
      <c r="B774" s="26" t="str">
        <f>IF('Paste SD Data'!A771="","",'Paste SD Data'!A771)</f>
        <v/>
      </c>
      <c r="C774" s="26" t="str">
        <f>IF('Paste SD Data'!B771="","",'Paste SD Data'!B771)</f>
        <v/>
      </c>
      <c r="D774" s="26" t="str">
        <f>IF('Paste SD Data'!C771="","",'Paste SD Data'!C771)</f>
        <v/>
      </c>
      <c r="E774" s="27" t="str">
        <f>IF('Paste SD Data'!E771="","",UPPER('Paste SD Data'!E771))</f>
        <v/>
      </c>
      <c r="F774" s="27" t="str">
        <f>IF('Paste SD Data'!G771="","",UPPER('Paste SD Data'!G771))</f>
        <v/>
      </c>
      <c r="G774" s="27" t="str">
        <f>IF('Paste SD Data'!H771="","",UPPER('Paste SD Data'!H771))</f>
        <v/>
      </c>
      <c r="H774" s="26" t="str">
        <f>IF('Paste SD Data'!I771="","",IF('Paste SD Data'!I771="M","BOY","GIRL"))</f>
        <v/>
      </c>
      <c r="I774" s="28" t="str">
        <f>IF('Paste SD Data'!J771="","",'Paste SD Data'!J771)</f>
        <v/>
      </c>
      <c r="J774" s="34">
        <f t="shared" si="11"/>
        <v>1200</v>
      </c>
      <c r="K774" s="29" t="str">
        <f>IF('Paste SD Data'!O771="","",'Paste SD Data'!O771)</f>
        <v/>
      </c>
    </row>
    <row r="775" spans="1:11" ht="30" customHeight="1" x14ac:dyDescent="0.25">
      <c r="A775" s="25" t="str">
        <f>IF(Table1[[#This Row],[Name of Student]]="","",ROWS($A$1:A771))</f>
        <v/>
      </c>
      <c r="B775" s="26" t="str">
        <f>IF('Paste SD Data'!A772="","",'Paste SD Data'!A772)</f>
        <v/>
      </c>
      <c r="C775" s="26" t="str">
        <f>IF('Paste SD Data'!B772="","",'Paste SD Data'!B772)</f>
        <v/>
      </c>
      <c r="D775" s="26" t="str">
        <f>IF('Paste SD Data'!C772="","",'Paste SD Data'!C772)</f>
        <v/>
      </c>
      <c r="E775" s="27" t="str">
        <f>IF('Paste SD Data'!E772="","",UPPER('Paste SD Data'!E772))</f>
        <v/>
      </c>
      <c r="F775" s="27" t="str">
        <f>IF('Paste SD Data'!G772="","",UPPER('Paste SD Data'!G772))</f>
        <v/>
      </c>
      <c r="G775" s="27" t="str">
        <f>IF('Paste SD Data'!H772="","",UPPER('Paste SD Data'!H772))</f>
        <v/>
      </c>
      <c r="H775" s="26" t="str">
        <f>IF('Paste SD Data'!I772="","",IF('Paste SD Data'!I772="M","BOY","GIRL"))</f>
        <v/>
      </c>
      <c r="I775" s="28" t="str">
        <f>IF('Paste SD Data'!J772="","",'Paste SD Data'!J772)</f>
        <v/>
      </c>
      <c r="J775" s="34">
        <f t="shared" ref="J775:J838" si="12">J774+1</f>
        <v>1201</v>
      </c>
      <c r="K775" s="29" t="str">
        <f>IF('Paste SD Data'!O772="","",'Paste SD Data'!O772)</f>
        <v/>
      </c>
    </row>
    <row r="776" spans="1:11" ht="30" customHeight="1" x14ac:dyDescent="0.25">
      <c r="A776" s="25" t="str">
        <f>IF(Table1[[#This Row],[Name of Student]]="","",ROWS($A$1:A772))</f>
        <v/>
      </c>
      <c r="B776" s="26" t="str">
        <f>IF('Paste SD Data'!A773="","",'Paste SD Data'!A773)</f>
        <v/>
      </c>
      <c r="C776" s="26" t="str">
        <f>IF('Paste SD Data'!B773="","",'Paste SD Data'!B773)</f>
        <v/>
      </c>
      <c r="D776" s="26" t="str">
        <f>IF('Paste SD Data'!C773="","",'Paste SD Data'!C773)</f>
        <v/>
      </c>
      <c r="E776" s="27" t="str">
        <f>IF('Paste SD Data'!E773="","",UPPER('Paste SD Data'!E773))</f>
        <v/>
      </c>
      <c r="F776" s="27" t="str">
        <f>IF('Paste SD Data'!G773="","",UPPER('Paste SD Data'!G773))</f>
        <v/>
      </c>
      <c r="G776" s="27" t="str">
        <f>IF('Paste SD Data'!H773="","",UPPER('Paste SD Data'!H773))</f>
        <v/>
      </c>
      <c r="H776" s="26" t="str">
        <f>IF('Paste SD Data'!I773="","",IF('Paste SD Data'!I773="M","BOY","GIRL"))</f>
        <v/>
      </c>
      <c r="I776" s="28" t="str">
        <f>IF('Paste SD Data'!J773="","",'Paste SD Data'!J773)</f>
        <v/>
      </c>
      <c r="J776" s="34">
        <f t="shared" si="12"/>
        <v>1202</v>
      </c>
      <c r="K776" s="29" t="str">
        <f>IF('Paste SD Data'!O773="","",'Paste SD Data'!O773)</f>
        <v/>
      </c>
    </row>
    <row r="777" spans="1:11" ht="30" customHeight="1" x14ac:dyDescent="0.25">
      <c r="A777" s="25" t="str">
        <f>IF(Table1[[#This Row],[Name of Student]]="","",ROWS($A$1:A773))</f>
        <v/>
      </c>
      <c r="B777" s="26" t="str">
        <f>IF('Paste SD Data'!A774="","",'Paste SD Data'!A774)</f>
        <v/>
      </c>
      <c r="C777" s="26" t="str">
        <f>IF('Paste SD Data'!B774="","",'Paste SD Data'!B774)</f>
        <v/>
      </c>
      <c r="D777" s="26" t="str">
        <f>IF('Paste SD Data'!C774="","",'Paste SD Data'!C774)</f>
        <v/>
      </c>
      <c r="E777" s="27" t="str">
        <f>IF('Paste SD Data'!E774="","",UPPER('Paste SD Data'!E774))</f>
        <v/>
      </c>
      <c r="F777" s="27" t="str">
        <f>IF('Paste SD Data'!G774="","",UPPER('Paste SD Data'!G774))</f>
        <v/>
      </c>
      <c r="G777" s="27" t="str">
        <f>IF('Paste SD Data'!H774="","",UPPER('Paste SD Data'!H774))</f>
        <v/>
      </c>
      <c r="H777" s="26" t="str">
        <f>IF('Paste SD Data'!I774="","",IF('Paste SD Data'!I774="M","BOY","GIRL"))</f>
        <v/>
      </c>
      <c r="I777" s="28" t="str">
        <f>IF('Paste SD Data'!J774="","",'Paste SD Data'!J774)</f>
        <v/>
      </c>
      <c r="J777" s="34">
        <f t="shared" si="12"/>
        <v>1203</v>
      </c>
      <c r="K777" s="29" t="str">
        <f>IF('Paste SD Data'!O774="","",'Paste SD Data'!O774)</f>
        <v/>
      </c>
    </row>
    <row r="778" spans="1:11" ht="30" customHeight="1" x14ac:dyDescent="0.25">
      <c r="A778" s="25" t="str">
        <f>IF(Table1[[#This Row],[Name of Student]]="","",ROWS($A$1:A774))</f>
        <v/>
      </c>
      <c r="B778" s="26" t="str">
        <f>IF('Paste SD Data'!A775="","",'Paste SD Data'!A775)</f>
        <v/>
      </c>
      <c r="C778" s="26" t="str">
        <f>IF('Paste SD Data'!B775="","",'Paste SD Data'!B775)</f>
        <v/>
      </c>
      <c r="D778" s="26" t="str">
        <f>IF('Paste SD Data'!C775="","",'Paste SD Data'!C775)</f>
        <v/>
      </c>
      <c r="E778" s="27" t="str">
        <f>IF('Paste SD Data'!E775="","",UPPER('Paste SD Data'!E775))</f>
        <v/>
      </c>
      <c r="F778" s="27" t="str">
        <f>IF('Paste SD Data'!G775="","",UPPER('Paste SD Data'!G775))</f>
        <v/>
      </c>
      <c r="G778" s="27" t="str">
        <f>IF('Paste SD Data'!H775="","",UPPER('Paste SD Data'!H775))</f>
        <v/>
      </c>
      <c r="H778" s="26" t="str">
        <f>IF('Paste SD Data'!I775="","",IF('Paste SD Data'!I775="M","BOY","GIRL"))</f>
        <v/>
      </c>
      <c r="I778" s="28" t="str">
        <f>IF('Paste SD Data'!J775="","",'Paste SD Data'!J775)</f>
        <v/>
      </c>
      <c r="J778" s="34">
        <f t="shared" si="12"/>
        <v>1204</v>
      </c>
      <c r="K778" s="29" t="str">
        <f>IF('Paste SD Data'!O775="","",'Paste SD Data'!O775)</f>
        <v/>
      </c>
    </row>
    <row r="779" spans="1:11" ht="30" customHeight="1" x14ac:dyDescent="0.25">
      <c r="A779" s="25" t="str">
        <f>IF(Table1[[#This Row],[Name of Student]]="","",ROWS($A$1:A775))</f>
        <v/>
      </c>
      <c r="B779" s="26" t="str">
        <f>IF('Paste SD Data'!A776="","",'Paste SD Data'!A776)</f>
        <v/>
      </c>
      <c r="C779" s="26" t="str">
        <f>IF('Paste SD Data'!B776="","",'Paste SD Data'!B776)</f>
        <v/>
      </c>
      <c r="D779" s="26" t="str">
        <f>IF('Paste SD Data'!C776="","",'Paste SD Data'!C776)</f>
        <v/>
      </c>
      <c r="E779" s="27" t="str">
        <f>IF('Paste SD Data'!E776="","",UPPER('Paste SD Data'!E776))</f>
        <v/>
      </c>
      <c r="F779" s="27" t="str">
        <f>IF('Paste SD Data'!G776="","",UPPER('Paste SD Data'!G776))</f>
        <v/>
      </c>
      <c r="G779" s="27" t="str">
        <f>IF('Paste SD Data'!H776="","",UPPER('Paste SD Data'!H776))</f>
        <v/>
      </c>
      <c r="H779" s="26" t="str">
        <f>IF('Paste SD Data'!I776="","",IF('Paste SD Data'!I776="M","BOY","GIRL"))</f>
        <v/>
      </c>
      <c r="I779" s="28" t="str">
        <f>IF('Paste SD Data'!J776="","",'Paste SD Data'!J776)</f>
        <v/>
      </c>
      <c r="J779" s="34">
        <f t="shared" si="12"/>
        <v>1205</v>
      </c>
      <c r="K779" s="29" t="str">
        <f>IF('Paste SD Data'!O776="","",'Paste SD Data'!O776)</f>
        <v/>
      </c>
    </row>
    <row r="780" spans="1:11" ht="30" customHeight="1" x14ac:dyDescent="0.25">
      <c r="A780" s="25" t="str">
        <f>IF(Table1[[#This Row],[Name of Student]]="","",ROWS($A$1:A776))</f>
        <v/>
      </c>
      <c r="B780" s="26" t="str">
        <f>IF('Paste SD Data'!A777="","",'Paste SD Data'!A777)</f>
        <v/>
      </c>
      <c r="C780" s="26" t="str">
        <f>IF('Paste SD Data'!B777="","",'Paste SD Data'!B777)</f>
        <v/>
      </c>
      <c r="D780" s="26" t="str">
        <f>IF('Paste SD Data'!C777="","",'Paste SD Data'!C777)</f>
        <v/>
      </c>
      <c r="E780" s="27" t="str">
        <f>IF('Paste SD Data'!E777="","",UPPER('Paste SD Data'!E777))</f>
        <v/>
      </c>
      <c r="F780" s="27" t="str">
        <f>IF('Paste SD Data'!G777="","",UPPER('Paste SD Data'!G777))</f>
        <v/>
      </c>
      <c r="G780" s="27" t="str">
        <f>IF('Paste SD Data'!H777="","",UPPER('Paste SD Data'!H777))</f>
        <v/>
      </c>
      <c r="H780" s="26" t="str">
        <f>IF('Paste SD Data'!I777="","",IF('Paste SD Data'!I777="M","BOY","GIRL"))</f>
        <v/>
      </c>
      <c r="I780" s="28" t="str">
        <f>IF('Paste SD Data'!J777="","",'Paste SD Data'!J777)</f>
        <v/>
      </c>
      <c r="J780" s="34">
        <f t="shared" si="12"/>
        <v>1206</v>
      </c>
      <c r="K780" s="29" t="str">
        <f>IF('Paste SD Data'!O777="","",'Paste SD Data'!O777)</f>
        <v/>
      </c>
    </row>
    <row r="781" spans="1:11" ht="30" customHeight="1" x14ac:dyDescent="0.25">
      <c r="A781" s="25" t="str">
        <f>IF(Table1[[#This Row],[Name of Student]]="","",ROWS($A$1:A777))</f>
        <v/>
      </c>
      <c r="B781" s="26" t="str">
        <f>IF('Paste SD Data'!A778="","",'Paste SD Data'!A778)</f>
        <v/>
      </c>
      <c r="C781" s="26" t="str">
        <f>IF('Paste SD Data'!B778="","",'Paste SD Data'!B778)</f>
        <v/>
      </c>
      <c r="D781" s="26" t="str">
        <f>IF('Paste SD Data'!C778="","",'Paste SD Data'!C778)</f>
        <v/>
      </c>
      <c r="E781" s="27" t="str">
        <f>IF('Paste SD Data'!E778="","",UPPER('Paste SD Data'!E778))</f>
        <v/>
      </c>
      <c r="F781" s="27" t="str">
        <f>IF('Paste SD Data'!G778="","",UPPER('Paste SD Data'!G778))</f>
        <v/>
      </c>
      <c r="G781" s="27" t="str">
        <f>IF('Paste SD Data'!H778="","",UPPER('Paste SD Data'!H778))</f>
        <v/>
      </c>
      <c r="H781" s="26" t="str">
        <f>IF('Paste SD Data'!I778="","",IF('Paste SD Data'!I778="M","BOY","GIRL"))</f>
        <v/>
      </c>
      <c r="I781" s="28" t="str">
        <f>IF('Paste SD Data'!J778="","",'Paste SD Data'!J778)</f>
        <v/>
      </c>
      <c r="J781" s="34">
        <f t="shared" si="12"/>
        <v>1207</v>
      </c>
      <c r="K781" s="29" t="str">
        <f>IF('Paste SD Data'!O778="","",'Paste SD Data'!O778)</f>
        <v/>
      </c>
    </row>
    <row r="782" spans="1:11" ht="30" customHeight="1" x14ac:dyDescent="0.25">
      <c r="A782" s="25" t="str">
        <f>IF(Table1[[#This Row],[Name of Student]]="","",ROWS($A$1:A778))</f>
        <v/>
      </c>
      <c r="B782" s="26" t="str">
        <f>IF('Paste SD Data'!A779="","",'Paste SD Data'!A779)</f>
        <v/>
      </c>
      <c r="C782" s="26" t="str">
        <f>IF('Paste SD Data'!B779="","",'Paste SD Data'!B779)</f>
        <v/>
      </c>
      <c r="D782" s="26" t="str">
        <f>IF('Paste SD Data'!C779="","",'Paste SD Data'!C779)</f>
        <v/>
      </c>
      <c r="E782" s="27" t="str">
        <f>IF('Paste SD Data'!E779="","",UPPER('Paste SD Data'!E779))</f>
        <v/>
      </c>
      <c r="F782" s="27" t="str">
        <f>IF('Paste SD Data'!G779="","",UPPER('Paste SD Data'!G779))</f>
        <v/>
      </c>
      <c r="G782" s="27" t="str">
        <f>IF('Paste SD Data'!H779="","",UPPER('Paste SD Data'!H779))</f>
        <v/>
      </c>
      <c r="H782" s="26" t="str">
        <f>IF('Paste SD Data'!I779="","",IF('Paste SD Data'!I779="M","BOY","GIRL"))</f>
        <v/>
      </c>
      <c r="I782" s="28" t="str">
        <f>IF('Paste SD Data'!J779="","",'Paste SD Data'!J779)</f>
        <v/>
      </c>
      <c r="J782" s="34">
        <f t="shared" si="12"/>
        <v>1208</v>
      </c>
      <c r="K782" s="29" t="str">
        <f>IF('Paste SD Data'!O779="","",'Paste SD Data'!O779)</f>
        <v/>
      </c>
    </row>
    <row r="783" spans="1:11" ht="30" customHeight="1" x14ac:dyDescent="0.25">
      <c r="A783" s="25" t="str">
        <f>IF(Table1[[#This Row],[Name of Student]]="","",ROWS($A$1:A779))</f>
        <v/>
      </c>
      <c r="B783" s="26" t="str">
        <f>IF('Paste SD Data'!A780="","",'Paste SD Data'!A780)</f>
        <v/>
      </c>
      <c r="C783" s="26" t="str">
        <f>IF('Paste SD Data'!B780="","",'Paste SD Data'!B780)</f>
        <v/>
      </c>
      <c r="D783" s="26" t="str">
        <f>IF('Paste SD Data'!C780="","",'Paste SD Data'!C780)</f>
        <v/>
      </c>
      <c r="E783" s="27" t="str">
        <f>IF('Paste SD Data'!E780="","",UPPER('Paste SD Data'!E780))</f>
        <v/>
      </c>
      <c r="F783" s="27" t="str">
        <f>IF('Paste SD Data'!G780="","",UPPER('Paste SD Data'!G780))</f>
        <v/>
      </c>
      <c r="G783" s="27" t="str">
        <f>IF('Paste SD Data'!H780="","",UPPER('Paste SD Data'!H780))</f>
        <v/>
      </c>
      <c r="H783" s="26" t="str">
        <f>IF('Paste SD Data'!I780="","",IF('Paste SD Data'!I780="M","BOY","GIRL"))</f>
        <v/>
      </c>
      <c r="I783" s="28" t="str">
        <f>IF('Paste SD Data'!J780="","",'Paste SD Data'!J780)</f>
        <v/>
      </c>
      <c r="J783" s="34">
        <f t="shared" si="12"/>
        <v>1209</v>
      </c>
      <c r="K783" s="29" t="str">
        <f>IF('Paste SD Data'!O780="","",'Paste SD Data'!O780)</f>
        <v/>
      </c>
    </row>
    <row r="784" spans="1:11" ht="30" customHeight="1" x14ac:dyDescent="0.25">
      <c r="A784" s="25" t="str">
        <f>IF(Table1[[#This Row],[Name of Student]]="","",ROWS($A$1:A780))</f>
        <v/>
      </c>
      <c r="B784" s="26" t="str">
        <f>IF('Paste SD Data'!A781="","",'Paste SD Data'!A781)</f>
        <v/>
      </c>
      <c r="C784" s="26" t="str">
        <f>IF('Paste SD Data'!B781="","",'Paste SD Data'!B781)</f>
        <v/>
      </c>
      <c r="D784" s="26" t="str">
        <f>IF('Paste SD Data'!C781="","",'Paste SD Data'!C781)</f>
        <v/>
      </c>
      <c r="E784" s="27" t="str">
        <f>IF('Paste SD Data'!E781="","",UPPER('Paste SD Data'!E781))</f>
        <v/>
      </c>
      <c r="F784" s="27" t="str">
        <f>IF('Paste SD Data'!G781="","",UPPER('Paste SD Data'!G781))</f>
        <v/>
      </c>
      <c r="G784" s="27" t="str">
        <f>IF('Paste SD Data'!H781="","",UPPER('Paste SD Data'!H781))</f>
        <v/>
      </c>
      <c r="H784" s="26" t="str">
        <f>IF('Paste SD Data'!I781="","",IF('Paste SD Data'!I781="M","BOY","GIRL"))</f>
        <v/>
      </c>
      <c r="I784" s="28" t="str">
        <f>IF('Paste SD Data'!J781="","",'Paste SD Data'!J781)</f>
        <v/>
      </c>
      <c r="J784" s="34">
        <f t="shared" si="12"/>
        <v>1210</v>
      </c>
      <c r="K784" s="29" t="str">
        <f>IF('Paste SD Data'!O781="","",'Paste SD Data'!O781)</f>
        <v/>
      </c>
    </row>
    <row r="785" spans="1:11" ht="30" customHeight="1" x14ac:dyDescent="0.25">
      <c r="A785" s="25" t="str">
        <f>IF(Table1[[#This Row],[Name of Student]]="","",ROWS($A$1:A781))</f>
        <v/>
      </c>
      <c r="B785" s="26" t="str">
        <f>IF('Paste SD Data'!A782="","",'Paste SD Data'!A782)</f>
        <v/>
      </c>
      <c r="C785" s="26" t="str">
        <f>IF('Paste SD Data'!B782="","",'Paste SD Data'!B782)</f>
        <v/>
      </c>
      <c r="D785" s="26" t="str">
        <f>IF('Paste SD Data'!C782="","",'Paste SD Data'!C782)</f>
        <v/>
      </c>
      <c r="E785" s="27" t="str">
        <f>IF('Paste SD Data'!E782="","",UPPER('Paste SD Data'!E782))</f>
        <v/>
      </c>
      <c r="F785" s="27" t="str">
        <f>IF('Paste SD Data'!G782="","",UPPER('Paste SD Data'!G782))</f>
        <v/>
      </c>
      <c r="G785" s="27" t="str">
        <f>IF('Paste SD Data'!H782="","",UPPER('Paste SD Data'!H782))</f>
        <v/>
      </c>
      <c r="H785" s="26" t="str">
        <f>IF('Paste SD Data'!I782="","",IF('Paste SD Data'!I782="M","BOY","GIRL"))</f>
        <v/>
      </c>
      <c r="I785" s="28" t="str">
        <f>IF('Paste SD Data'!J782="","",'Paste SD Data'!J782)</f>
        <v/>
      </c>
      <c r="J785" s="34">
        <f t="shared" si="12"/>
        <v>1211</v>
      </c>
      <c r="K785" s="29" t="str">
        <f>IF('Paste SD Data'!O782="","",'Paste SD Data'!O782)</f>
        <v/>
      </c>
    </row>
    <row r="786" spans="1:11" ht="30" customHeight="1" x14ac:dyDescent="0.25">
      <c r="A786" s="25" t="str">
        <f>IF(Table1[[#This Row],[Name of Student]]="","",ROWS($A$1:A782))</f>
        <v/>
      </c>
      <c r="B786" s="26" t="str">
        <f>IF('Paste SD Data'!A783="","",'Paste SD Data'!A783)</f>
        <v/>
      </c>
      <c r="C786" s="26" t="str">
        <f>IF('Paste SD Data'!B783="","",'Paste SD Data'!B783)</f>
        <v/>
      </c>
      <c r="D786" s="26" t="str">
        <f>IF('Paste SD Data'!C783="","",'Paste SD Data'!C783)</f>
        <v/>
      </c>
      <c r="E786" s="27" t="str">
        <f>IF('Paste SD Data'!E783="","",UPPER('Paste SD Data'!E783))</f>
        <v/>
      </c>
      <c r="F786" s="27" t="str">
        <f>IF('Paste SD Data'!G783="","",UPPER('Paste SD Data'!G783))</f>
        <v/>
      </c>
      <c r="G786" s="27" t="str">
        <f>IF('Paste SD Data'!H783="","",UPPER('Paste SD Data'!H783))</f>
        <v/>
      </c>
      <c r="H786" s="26" t="str">
        <f>IF('Paste SD Data'!I783="","",IF('Paste SD Data'!I783="M","BOY","GIRL"))</f>
        <v/>
      </c>
      <c r="I786" s="28" t="str">
        <f>IF('Paste SD Data'!J783="","",'Paste SD Data'!J783)</f>
        <v/>
      </c>
      <c r="J786" s="34">
        <f t="shared" si="12"/>
        <v>1212</v>
      </c>
      <c r="K786" s="29" t="str">
        <f>IF('Paste SD Data'!O783="","",'Paste SD Data'!O783)</f>
        <v/>
      </c>
    </row>
    <row r="787" spans="1:11" ht="30" customHeight="1" x14ac:dyDescent="0.25">
      <c r="A787" s="25" t="str">
        <f>IF(Table1[[#This Row],[Name of Student]]="","",ROWS($A$1:A783))</f>
        <v/>
      </c>
      <c r="B787" s="26" t="str">
        <f>IF('Paste SD Data'!A784="","",'Paste SD Data'!A784)</f>
        <v/>
      </c>
      <c r="C787" s="26" t="str">
        <f>IF('Paste SD Data'!B784="","",'Paste SD Data'!B784)</f>
        <v/>
      </c>
      <c r="D787" s="26" t="str">
        <f>IF('Paste SD Data'!C784="","",'Paste SD Data'!C784)</f>
        <v/>
      </c>
      <c r="E787" s="27" t="str">
        <f>IF('Paste SD Data'!E784="","",UPPER('Paste SD Data'!E784))</f>
        <v/>
      </c>
      <c r="F787" s="27" t="str">
        <f>IF('Paste SD Data'!G784="","",UPPER('Paste SD Data'!G784))</f>
        <v/>
      </c>
      <c r="G787" s="27" t="str">
        <f>IF('Paste SD Data'!H784="","",UPPER('Paste SD Data'!H784))</f>
        <v/>
      </c>
      <c r="H787" s="26" t="str">
        <f>IF('Paste SD Data'!I784="","",IF('Paste SD Data'!I784="M","BOY","GIRL"))</f>
        <v/>
      </c>
      <c r="I787" s="28" t="str">
        <f>IF('Paste SD Data'!J784="","",'Paste SD Data'!J784)</f>
        <v/>
      </c>
      <c r="J787" s="34">
        <f t="shared" si="12"/>
        <v>1213</v>
      </c>
      <c r="K787" s="29" t="str">
        <f>IF('Paste SD Data'!O784="","",'Paste SD Data'!O784)</f>
        <v/>
      </c>
    </row>
    <row r="788" spans="1:11" ht="30" customHeight="1" x14ac:dyDescent="0.25">
      <c r="A788" s="25" t="str">
        <f>IF(Table1[[#This Row],[Name of Student]]="","",ROWS($A$1:A784))</f>
        <v/>
      </c>
      <c r="B788" s="26" t="str">
        <f>IF('Paste SD Data'!A785="","",'Paste SD Data'!A785)</f>
        <v/>
      </c>
      <c r="C788" s="26" t="str">
        <f>IF('Paste SD Data'!B785="","",'Paste SD Data'!B785)</f>
        <v/>
      </c>
      <c r="D788" s="26" t="str">
        <f>IF('Paste SD Data'!C785="","",'Paste SD Data'!C785)</f>
        <v/>
      </c>
      <c r="E788" s="27" t="str">
        <f>IF('Paste SD Data'!E785="","",UPPER('Paste SD Data'!E785))</f>
        <v/>
      </c>
      <c r="F788" s="27" t="str">
        <f>IF('Paste SD Data'!G785="","",UPPER('Paste SD Data'!G785))</f>
        <v/>
      </c>
      <c r="G788" s="27" t="str">
        <f>IF('Paste SD Data'!H785="","",UPPER('Paste SD Data'!H785))</f>
        <v/>
      </c>
      <c r="H788" s="26" t="str">
        <f>IF('Paste SD Data'!I785="","",IF('Paste SD Data'!I785="M","BOY","GIRL"))</f>
        <v/>
      </c>
      <c r="I788" s="28" t="str">
        <f>IF('Paste SD Data'!J785="","",'Paste SD Data'!J785)</f>
        <v/>
      </c>
      <c r="J788" s="34">
        <f t="shared" si="12"/>
        <v>1214</v>
      </c>
      <c r="K788" s="29" t="str">
        <f>IF('Paste SD Data'!O785="","",'Paste SD Data'!O785)</f>
        <v/>
      </c>
    </row>
    <row r="789" spans="1:11" ht="30" customHeight="1" x14ac:dyDescent="0.25">
      <c r="A789" s="25" t="str">
        <f>IF(Table1[[#This Row],[Name of Student]]="","",ROWS($A$1:A785))</f>
        <v/>
      </c>
      <c r="B789" s="26" t="str">
        <f>IF('Paste SD Data'!A786="","",'Paste SD Data'!A786)</f>
        <v/>
      </c>
      <c r="C789" s="26" t="str">
        <f>IF('Paste SD Data'!B786="","",'Paste SD Data'!B786)</f>
        <v/>
      </c>
      <c r="D789" s="26" t="str">
        <f>IF('Paste SD Data'!C786="","",'Paste SD Data'!C786)</f>
        <v/>
      </c>
      <c r="E789" s="27" t="str">
        <f>IF('Paste SD Data'!E786="","",UPPER('Paste SD Data'!E786))</f>
        <v/>
      </c>
      <c r="F789" s="27" t="str">
        <f>IF('Paste SD Data'!G786="","",UPPER('Paste SD Data'!G786))</f>
        <v/>
      </c>
      <c r="G789" s="27" t="str">
        <f>IF('Paste SD Data'!H786="","",UPPER('Paste SD Data'!H786))</f>
        <v/>
      </c>
      <c r="H789" s="26" t="str">
        <f>IF('Paste SD Data'!I786="","",IF('Paste SD Data'!I786="M","BOY","GIRL"))</f>
        <v/>
      </c>
      <c r="I789" s="28" t="str">
        <f>IF('Paste SD Data'!J786="","",'Paste SD Data'!J786)</f>
        <v/>
      </c>
      <c r="J789" s="34">
        <f t="shared" si="12"/>
        <v>1215</v>
      </c>
      <c r="K789" s="29" t="str">
        <f>IF('Paste SD Data'!O786="","",'Paste SD Data'!O786)</f>
        <v/>
      </c>
    </row>
    <row r="790" spans="1:11" ht="30" customHeight="1" x14ac:dyDescent="0.25">
      <c r="A790" s="25" t="str">
        <f>IF(Table1[[#This Row],[Name of Student]]="","",ROWS($A$1:A786))</f>
        <v/>
      </c>
      <c r="B790" s="26" t="str">
        <f>IF('Paste SD Data'!A787="","",'Paste SD Data'!A787)</f>
        <v/>
      </c>
      <c r="C790" s="26" t="str">
        <f>IF('Paste SD Data'!B787="","",'Paste SD Data'!B787)</f>
        <v/>
      </c>
      <c r="D790" s="26" t="str">
        <f>IF('Paste SD Data'!C787="","",'Paste SD Data'!C787)</f>
        <v/>
      </c>
      <c r="E790" s="27" t="str">
        <f>IF('Paste SD Data'!E787="","",UPPER('Paste SD Data'!E787))</f>
        <v/>
      </c>
      <c r="F790" s="27" t="str">
        <f>IF('Paste SD Data'!G787="","",UPPER('Paste SD Data'!G787))</f>
        <v/>
      </c>
      <c r="G790" s="27" t="str">
        <f>IF('Paste SD Data'!H787="","",UPPER('Paste SD Data'!H787))</f>
        <v/>
      </c>
      <c r="H790" s="26" t="str">
        <f>IF('Paste SD Data'!I787="","",IF('Paste SD Data'!I787="M","BOY","GIRL"))</f>
        <v/>
      </c>
      <c r="I790" s="28" t="str">
        <f>IF('Paste SD Data'!J787="","",'Paste SD Data'!J787)</f>
        <v/>
      </c>
      <c r="J790" s="34">
        <f t="shared" si="12"/>
        <v>1216</v>
      </c>
      <c r="K790" s="29" t="str">
        <f>IF('Paste SD Data'!O787="","",'Paste SD Data'!O787)</f>
        <v/>
      </c>
    </row>
    <row r="791" spans="1:11" ht="30" customHeight="1" x14ac:dyDescent="0.25">
      <c r="A791" s="25" t="str">
        <f>IF(Table1[[#This Row],[Name of Student]]="","",ROWS($A$1:A787))</f>
        <v/>
      </c>
      <c r="B791" s="26" t="str">
        <f>IF('Paste SD Data'!A788="","",'Paste SD Data'!A788)</f>
        <v/>
      </c>
      <c r="C791" s="26" t="str">
        <f>IF('Paste SD Data'!B788="","",'Paste SD Data'!B788)</f>
        <v/>
      </c>
      <c r="D791" s="26" t="str">
        <f>IF('Paste SD Data'!C788="","",'Paste SD Data'!C788)</f>
        <v/>
      </c>
      <c r="E791" s="27" t="str">
        <f>IF('Paste SD Data'!E788="","",UPPER('Paste SD Data'!E788))</f>
        <v/>
      </c>
      <c r="F791" s="27" t="str">
        <f>IF('Paste SD Data'!G788="","",UPPER('Paste SD Data'!G788))</f>
        <v/>
      </c>
      <c r="G791" s="27" t="str">
        <f>IF('Paste SD Data'!H788="","",UPPER('Paste SD Data'!H788))</f>
        <v/>
      </c>
      <c r="H791" s="26" t="str">
        <f>IF('Paste SD Data'!I788="","",IF('Paste SD Data'!I788="M","BOY","GIRL"))</f>
        <v/>
      </c>
      <c r="I791" s="28" t="str">
        <f>IF('Paste SD Data'!J788="","",'Paste SD Data'!J788)</f>
        <v/>
      </c>
      <c r="J791" s="34">
        <f t="shared" si="12"/>
        <v>1217</v>
      </c>
      <c r="K791" s="29" t="str">
        <f>IF('Paste SD Data'!O788="","",'Paste SD Data'!O788)</f>
        <v/>
      </c>
    </row>
    <row r="792" spans="1:11" ht="30" customHeight="1" x14ac:dyDescent="0.25">
      <c r="A792" s="25" t="str">
        <f>IF(Table1[[#This Row],[Name of Student]]="","",ROWS($A$1:A788))</f>
        <v/>
      </c>
      <c r="B792" s="26" t="str">
        <f>IF('Paste SD Data'!A789="","",'Paste SD Data'!A789)</f>
        <v/>
      </c>
      <c r="C792" s="26" t="str">
        <f>IF('Paste SD Data'!B789="","",'Paste SD Data'!B789)</f>
        <v/>
      </c>
      <c r="D792" s="26" t="str">
        <f>IF('Paste SD Data'!C789="","",'Paste SD Data'!C789)</f>
        <v/>
      </c>
      <c r="E792" s="27" t="str">
        <f>IF('Paste SD Data'!E789="","",UPPER('Paste SD Data'!E789))</f>
        <v/>
      </c>
      <c r="F792" s="27" t="str">
        <f>IF('Paste SD Data'!G789="","",UPPER('Paste SD Data'!G789))</f>
        <v/>
      </c>
      <c r="G792" s="27" t="str">
        <f>IF('Paste SD Data'!H789="","",UPPER('Paste SD Data'!H789))</f>
        <v/>
      </c>
      <c r="H792" s="26" t="str">
        <f>IF('Paste SD Data'!I789="","",IF('Paste SD Data'!I789="M","BOY","GIRL"))</f>
        <v/>
      </c>
      <c r="I792" s="28" t="str">
        <f>IF('Paste SD Data'!J789="","",'Paste SD Data'!J789)</f>
        <v/>
      </c>
      <c r="J792" s="34">
        <f t="shared" si="12"/>
        <v>1218</v>
      </c>
      <c r="K792" s="29" t="str">
        <f>IF('Paste SD Data'!O789="","",'Paste SD Data'!O789)</f>
        <v/>
      </c>
    </row>
    <row r="793" spans="1:11" ht="30" customHeight="1" x14ac:dyDescent="0.25">
      <c r="A793" s="25" t="str">
        <f>IF(Table1[[#This Row],[Name of Student]]="","",ROWS($A$1:A789))</f>
        <v/>
      </c>
      <c r="B793" s="26" t="str">
        <f>IF('Paste SD Data'!A790="","",'Paste SD Data'!A790)</f>
        <v/>
      </c>
      <c r="C793" s="26" t="str">
        <f>IF('Paste SD Data'!B790="","",'Paste SD Data'!B790)</f>
        <v/>
      </c>
      <c r="D793" s="26" t="str">
        <f>IF('Paste SD Data'!C790="","",'Paste SD Data'!C790)</f>
        <v/>
      </c>
      <c r="E793" s="27" t="str">
        <f>IF('Paste SD Data'!E790="","",UPPER('Paste SD Data'!E790))</f>
        <v/>
      </c>
      <c r="F793" s="27" t="str">
        <f>IF('Paste SD Data'!G790="","",UPPER('Paste SD Data'!G790))</f>
        <v/>
      </c>
      <c r="G793" s="27" t="str">
        <f>IF('Paste SD Data'!H790="","",UPPER('Paste SD Data'!H790))</f>
        <v/>
      </c>
      <c r="H793" s="26" t="str">
        <f>IF('Paste SD Data'!I790="","",IF('Paste SD Data'!I790="M","BOY","GIRL"))</f>
        <v/>
      </c>
      <c r="I793" s="28" t="str">
        <f>IF('Paste SD Data'!J790="","",'Paste SD Data'!J790)</f>
        <v/>
      </c>
      <c r="J793" s="34">
        <f t="shared" si="12"/>
        <v>1219</v>
      </c>
      <c r="K793" s="29" t="str">
        <f>IF('Paste SD Data'!O790="","",'Paste SD Data'!O790)</f>
        <v/>
      </c>
    </row>
    <row r="794" spans="1:11" ht="30" customHeight="1" x14ac:dyDescent="0.25">
      <c r="A794" s="25" t="str">
        <f>IF(Table1[[#This Row],[Name of Student]]="","",ROWS($A$1:A790))</f>
        <v/>
      </c>
      <c r="B794" s="26" t="str">
        <f>IF('Paste SD Data'!A791="","",'Paste SD Data'!A791)</f>
        <v/>
      </c>
      <c r="C794" s="26" t="str">
        <f>IF('Paste SD Data'!B791="","",'Paste SD Data'!B791)</f>
        <v/>
      </c>
      <c r="D794" s="26" t="str">
        <f>IF('Paste SD Data'!C791="","",'Paste SD Data'!C791)</f>
        <v/>
      </c>
      <c r="E794" s="27" t="str">
        <f>IF('Paste SD Data'!E791="","",UPPER('Paste SD Data'!E791))</f>
        <v/>
      </c>
      <c r="F794" s="27" t="str">
        <f>IF('Paste SD Data'!G791="","",UPPER('Paste SD Data'!G791))</f>
        <v/>
      </c>
      <c r="G794" s="27" t="str">
        <f>IF('Paste SD Data'!H791="","",UPPER('Paste SD Data'!H791))</f>
        <v/>
      </c>
      <c r="H794" s="26" t="str">
        <f>IF('Paste SD Data'!I791="","",IF('Paste SD Data'!I791="M","BOY","GIRL"))</f>
        <v/>
      </c>
      <c r="I794" s="28" t="str">
        <f>IF('Paste SD Data'!J791="","",'Paste SD Data'!J791)</f>
        <v/>
      </c>
      <c r="J794" s="34">
        <f t="shared" si="12"/>
        <v>1220</v>
      </c>
      <c r="K794" s="29" t="str">
        <f>IF('Paste SD Data'!O791="","",'Paste SD Data'!O791)</f>
        <v/>
      </c>
    </row>
    <row r="795" spans="1:11" ht="30" customHeight="1" x14ac:dyDescent="0.25">
      <c r="A795" s="25" t="str">
        <f>IF(Table1[[#This Row],[Name of Student]]="","",ROWS($A$1:A791))</f>
        <v/>
      </c>
      <c r="B795" s="26" t="str">
        <f>IF('Paste SD Data'!A792="","",'Paste SD Data'!A792)</f>
        <v/>
      </c>
      <c r="C795" s="26" t="str">
        <f>IF('Paste SD Data'!B792="","",'Paste SD Data'!B792)</f>
        <v/>
      </c>
      <c r="D795" s="26" t="str">
        <f>IF('Paste SD Data'!C792="","",'Paste SD Data'!C792)</f>
        <v/>
      </c>
      <c r="E795" s="27" t="str">
        <f>IF('Paste SD Data'!E792="","",UPPER('Paste SD Data'!E792))</f>
        <v/>
      </c>
      <c r="F795" s="27" t="str">
        <f>IF('Paste SD Data'!G792="","",UPPER('Paste SD Data'!G792))</f>
        <v/>
      </c>
      <c r="G795" s="27" t="str">
        <f>IF('Paste SD Data'!H792="","",UPPER('Paste SD Data'!H792))</f>
        <v/>
      </c>
      <c r="H795" s="26" t="str">
        <f>IF('Paste SD Data'!I792="","",IF('Paste SD Data'!I792="M","BOY","GIRL"))</f>
        <v/>
      </c>
      <c r="I795" s="28" t="str">
        <f>IF('Paste SD Data'!J792="","",'Paste SD Data'!J792)</f>
        <v/>
      </c>
      <c r="J795" s="34">
        <f t="shared" si="12"/>
        <v>1221</v>
      </c>
      <c r="K795" s="29" t="str">
        <f>IF('Paste SD Data'!O792="","",'Paste SD Data'!O792)</f>
        <v/>
      </c>
    </row>
    <row r="796" spans="1:11" ht="30" customHeight="1" x14ac:dyDescent="0.25">
      <c r="A796" s="25" t="str">
        <f>IF(Table1[[#This Row],[Name of Student]]="","",ROWS($A$1:A792))</f>
        <v/>
      </c>
      <c r="B796" s="26" t="str">
        <f>IF('Paste SD Data'!A793="","",'Paste SD Data'!A793)</f>
        <v/>
      </c>
      <c r="C796" s="26" t="str">
        <f>IF('Paste SD Data'!B793="","",'Paste SD Data'!B793)</f>
        <v/>
      </c>
      <c r="D796" s="26" t="str">
        <f>IF('Paste SD Data'!C793="","",'Paste SD Data'!C793)</f>
        <v/>
      </c>
      <c r="E796" s="27" t="str">
        <f>IF('Paste SD Data'!E793="","",UPPER('Paste SD Data'!E793))</f>
        <v/>
      </c>
      <c r="F796" s="27" t="str">
        <f>IF('Paste SD Data'!G793="","",UPPER('Paste SD Data'!G793))</f>
        <v/>
      </c>
      <c r="G796" s="27" t="str">
        <f>IF('Paste SD Data'!H793="","",UPPER('Paste SD Data'!H793))</f>
        <v/>
      </c>
      <c r="H796" s="26" t="str">
        <f>IF('Paste SD Data'!I793="","",IF('Paste SD Data'!I793="M","BOY","GIRL"))</f>
        <v/>
      </c>
      <c r="I796" s="28" t="str">
        <f>IF('Paste SD Data'!J793="","",'Paste SD Data'!J793)</f>
        <v/>
      </c>
      <c r="J796" s="34">
        <f t="shared" si="12"/>
        <v>1222</v>
      </c>
      <c r="K796" s="29" t="str">
        <f>IF('Paste SD Data'!O793="","",'Paste SD Data'!O793)</f>
        <v/>
      </c>
    </row>
    <row r="797" spans="1:11" ht="30" customHeight="1" x14ac:dyDescent="0.25">
      <c r="A797" s="25" t="str">
        <f>IF(Table1[[#This Row],[Name of Student]]="","",ROWS($A$1:A793))</f>
        <v/>
      </c>
      <c r="B797" s="26" t="str">
        <f>IF('Paste SD Data'!A794="","",'Paste SD Data'!A794)</f>
        <v/>
      </c>
      <c r="C797" s="26" t="str">
        <f>IF('Paste SD Data'!B794="","",'Paste SD Data'!B794)</f>
        <v/>
      </c>
      <c r="D797" s="26" t="str">
        <f>IF('Paste SD Data'!C794="","",'Paste SD Data'!C794)</f>
        <v/>
      </c>
      <c r="E797" s="27" t="str">
        <f>IF('Paste SD Data'!E794="","",UPPER('Paste SD Data'!E794))</f>
        <v/>
      </c>
      <c r="F797" s="27" t="str">
        <f>IF('Paste SD Data'!G794="","",UPPER('Paste SD Data'!G794))</f>
        <v/>
      </c>
      <c r="G797" s="27" t="str">
        <f>IF('Paste SD Data'!H794="","",UPPER('Paste SD Data'!H794))</f>
        <v/>
      </c>
      <c r="H797" s="26" t="str">
        <f>IF('Paste SD Data'!I794="","",IF('Paste SD Data'!I794="M","BOY","GIRL"))</f>
        <v/>
      </c>
      <c r="I797" s="28" t="str">
        <f>IF('Paste SD Data'!J794="","",'Paste SD Data'!J794)</f>
        <v/>
      </c>
      <c r="J797" s="34">
        <f t="shared" si="12"/>
        <v>1223</v>
      </c>
      <c r="K797" s="29" t="str">
        <f>IF('Paste SD Data'!O794="","",'Paste SD Data'!O794)</f>
        <v/>
      </c>
    </row>
    <row r="798" spans="1:11" ht="30" customHeight="1" x14ac:dyDescent="0.25">
      <c r="A798" s="25" t="str">
        <f>IF(Table1[[#This Row],[Name of Student]]="","",ROWS($A$1:A794))</f>
        <v/>
      </c>
      <c r="B798" s="26" t="str">
        <f>IF('Paste SD Data'!A795="","",'Paste SD Data'!A795)</f>
        <v/>
      </c>
      <c r="C798" s="26" t="str">
        <f>IF('Paste SD Data'!B795="","",'Paste SD Data'!B795)</f>
        <v/>
      </c>
      <c r="D798" s="26" t="str">
        <f>IF('Paste SD Data'!C795="","",'Paste SD Data'!C795)</f>
        <v/>
      </c>
      <c r="E798" s="27" t="str">
        <f>IF('Paste SD Data'!E795="","",UPPER('Paste SD Data'!E795))</f>
        <v/>
      </c>
      <c r="F798" s="27" t="str">
        <f>IF('Paste SD Data'!G795="","",UPPER('Paste SD Data'!G795))</f>
        <v/>
      </c>
      <c r="G798" s="27" t="str">
        <f>IF('Paste SD Data'!H795="","",UPPER('Paste SD Data'!H795))</f>
        <v/>
      </c>
      <c r="H798" s="26" t="str">
        <f>IF('Paste SD Data'!I795="","",IF('Paste SD Data'!I795="M","BOY","GIRL"))</f>
        <v/>
      </c>
      <c r="I798" s="28" t="str">
        <f>IF('Paste SD Data'!J795="","",'Paste SD Data'!J795)</f>
        <v/>
      </c>
      <c r="J798" s="34">
        <f t="shared" si="12"/>
        <v>1224</v>
      </c>
      <c r="K798" s="29" t="str">
        <f>IF('Paste SD Data'!O795="","",'Paste SD Data'!O795)</f>
        <v/>
      </c>
    </row>
    <row r="799" spans="1:11" ht="30" customHeight="1" x14ac:dyDescent="0.25">
      <c r="A799" s="25" t="str">
        <f>IF(Table1[[#This Row],[Name of Student]]="","",ROWS($A$1:A795))</f>
        <v/>
      </c>
      <c r="B799" s="26" t="str">
        <f>IF('Paste SD Data'!A796="","",'Paste SD Data'!A796)</f>
        <v/>
      </c>
      <c r="C799" s="26" t="str">
        <f>IF('Paste SD Data'!B796="","",'Paste SD Data'!B796)</f>
        <v/>
      </c>
      <c r="D799" s="26" t="str">
        <f>IF('Paste SD Data'!C796="","",'Paste SD Data'!C796)</f>
        <v/>
      </c>
      <c r="E799" s="27" t="str">
        <f>IF('Paste SD Data'!E796="","",UPPER('Paste SD Data'!E796))</f>
        <v/>
      </c>
      <c r="F799" s="27" t="str">
        <f>IF('Paste SD Data'!G796="","",UPPER('Paste SD Data'!G796))</f>
        <v/>
      </c>
      <c r="G799" s="27" t="str">
        <f>IF('Paste SD Data'!H796="","",UPPER('Paste SD Data'!H796))</f>
        <v/>
      </c>
      <c r="H799" s="26" t="str">
        <f>IF('Paste SD Data'!I796="","",IF('Paste SD Data'!I796="M","BOY","GIRL"))</f>
        <v/>
      </c>
      <c r="I799" s="28" t="str">
        <f>IF('Paste SD Data'!J796="","",'Paste SD Data'!J796)</f>
        <v/>
      </c>
      <c r="J799" s="34">
        <f t="shared" si="12"/>
        <v>1225</v>
      </c>
      <c r="K799" s="29" t="str">
        <f>IF('Paste SD Data'!O796="","",'Paste SD Data'!O796)</f>
        <v/>
      </c>
    </row>
    <row r="800" spans="1:11" ht="30" customHeight="1" x14ac:dyDescent="0.25">
      <c r="A800" s="25" t="str">
        <f>IF(Table1[[#This Row],[Name of Student]]="","",ROWS($A$1:A796))</f>
        <v/>
      </c>
      <c r="B800" s="26" t="str">
        <f>IF('Paste SD Data'!A797="","",'Paste SD Data'!A797)</f>
        <v/>
      </c>
      <c r="C800" s="26" t="str">
        <f>IF('Paste SD Data'!B797="","",'Paste SD Data'!B797)</f>
        <v/>
      </c>
      <c r="D800" s="26" t="str">
        <f>IF('Paste SD Data'!C797="","",'Paste SD Data'!C797)</f>
        <v/>
      </c>
      <c r="E800" s="27" t="str">
        <f>IF('Paste SD Data'!E797="","",UPPER('Paste SD Data'!E797))</f>
        <v/>
      </c>
      <c r="F800" s="27" t="str">
        <f>IF('Paste SD Data'!G797="","",UPPER('Paste SD Data'!G797))</f>
        <v/>
      </c>
      <c r="G800" s="27" t="str">
        <f>IF('Paste SD Data'!H797="","",UPPER('Paste SD Data'!H797))</f>
        <v/>
      </c>
      <c r="H800" s="26" t="str">
        <f>IF('Paste SD Data'!I797="","",IF('Paste SD Data'!I797="M","BOY","GIRL"))</f>
        <v/>
      </c>
      <c r="I800" s="28" t="str">
        <f>IF('Paste SD Data'!J797="","",'Paste SD Data'!J797)</f>
        <v/>
      </c>
      <c r="J800" s="34">
        <f t="shared" si="12"/>
        <v>1226</v>
      </c>
      <c r="K800" s="29" t="str">
        <f>IF('Paste SD Data'!O797="","",'Paste SD Data'!O797)</f>
        <v/>
      </c>
    </row>
    <row r="801" spans="1:11" ht="30" customHeight="1" x14ac:dyDescent="0.25">
      <c r="A801" s="25" t="str">
        <f>IF(Table1[[#This Row],[Name of Student]]="","",ROWS($A$1:A797))</f>
        <v/>
      </c>
      <c r="B801" s="26" t="str">
        <f>IF('Paste SD Data'!A798="","",'Paste SD Data'!A798)</f>
        <v/>
      </c>
      <c r="C801" s="26" t="str">
        <f>IF('Paste SD Data'!B798="","",'Paste SD Data'!B798)</f>
        <v/>
      </c>
      <c r="D801" s="26" t="str">
        <f>IF('Paste SD Data'!C798="","",'Paste SD Data'!C798)</f>
        <v/>
      </c>
      <c r="E801" s="27" t="str">
        <f>IF('Paste SD Data'!E798="","",UPPER('Paste SD Data'!E798))</f>
        <v/>
      </c>
      <c r="F801" s="27" t="str">
        <f>IF('Paste SD Data'!G798="","",UPPER('Paste SD Data'!G798))</f>
        <v/>
      </c>
      <c r="G801" s="27" t="str">
        <f>IF('Paste SD Data'!H798="","",UPPER('Paste SD Data'!H798))</f>
        <v/>
      </c>
      <c r="H801" s="26" t="str">
        <f>IF('Paste SD Data'!I798="","",IF('Paste SD Data'!I798="M","BOY","GIRL"))</f>
        <v/>
      </c>
      <c r="I801" s="28" t="str">
        <f>IF('Paste SD Data'!J798="","",'Paste SD Data'!J798)</f>
        <v/>
      </c>
      <c r="J801" s="34">
        <f t="shared" si="12"/>
        <v>1227</v>
      </c>
      <c r="K801" s="29" t="str">
        <f>IF('Paste SD Data'!O798="","",'Paste SD Data'!O798)</f>
        <v/>
      </c>
    </row>
    <row r="802" spans="1:11" ht="30" customHeight="1" x14ac:dyDescent="0.25">
      <c r="A802" s="25" t="str">
        <f>IF(Table1[[#This Row],[Name of Student]]="","",ROWS($A$1:A798))</f>
        <v/>
      </c>
      <c r="B802" s="26" t="str">
        <f>IF('Paste SD Data'!A799="","",'Paste SD Data'!A799)</f>
        <v/>
      </c>
      <c r="C802" s="26" t="str">
        <f>IF('Paste SD Data'!B799="","",'Paste SD Data'!B799)</f>
        <v/>
      </c>
      <c r="D802" s="26" t="str">
        <f>IF('Paste SD Data'!C799="","",'Paste SD Data'!C799)</f>
        <v/>
      </c>
      <c r="E802" s="27" t="str">
        <f>IF('Paste SD Data'!E799="","",UPPER('Paste SD Data'!E799))</f>
        <v/>
      </c>
      <c r="F802" s="27" t="str">
        <f>IF('Paste SD Data'!G799="","",UPPER('Paste SD Data'!G799))</f>
        <v/>
      </c>
      <c r="G802" s="27" t="str">
        <f>IF('Paste SD Data'!H799="","",UPPER('Paste SD Data'!H799))</f>
        <v/>
      </c>
      <c r="H802" s="26" t="str">
        <f>IF('Paste SD Data'!I799="","",IF('Paste SD Data'!I799="M","BOY","GIRL"))</f>
        <v/>
      </c>
      <c r="I802" s="28" t="str">
        <f>IF('Paste SD Data'!J799="","",'Paste SD Data'!J799)</f>
        <v/>
      </c>
      <c r="J802" s="34">
        <f t="shared" si="12"/>
        <v>1228</v>
      </c>
      <c r="K802" s="29" t="str">
        <f>IF('Paste SD Data'!O799="","",'Paste SD Data'!O799)</f>
        <v/>
      </c>
    </row>
    <row r="803" spans="1:11" ht="30" customHeight="1" x14ac:dyDescent="0.25">
      <c r="A803" s="25" t="str">
        <f>IF(Table1[[#This Row],[Name of Student]]="","",ROWS($A$1:A799))</f>
        <v/>
      </c>
      <c r="B803" s="26" t="str">
        <f>IF('Paste SD Data'!A800="","",'Paste SD Data'!A800)</f>
        <v/>
      </c>
      <c r="C803" s="26" t="str">
        <f>IF('Paste SD Data'!B800="","",'Paste SD Data'!B800)</f>
        <v/>
      </c>
      <c r="D803" s="26" t="str">
        <f>IF('Paste SD Data'!C800="","",'Paste SD Data'!C800)</f>
        <v/>
      </c>
      <c r="E803" s="27" t="str">
        <f>IF('Paste SD Data'!E800="","",UPPER('Paste SD Data'!E800))</f>
        <v/>
      </c>
      <c r="F803" s="27" t="str">
        <f>IF('Paste SD Data'!G800="","",UPPER('Paste SD Data'!G800))</f>
        <v/>
      </c>
      <c r="G803" s="27" t="str">
        <f>IF('Paste SD Data'!H800="","",UPPER('Paste SD Data'!H800))</f>
        <v/>
      </c>
      <c r="H803" s="26" t="str">
        <f>IF('Paste SD Data'!I800="","",IF('Paste SD Data'!I800="M","BOY","GIRL"))</f>
        <v/>
      </c>
      <c r="I803" s="28" t="str">
        <f>IF('Paste SD Data'!J800="","",'Paste SD Data'!J800)</f>
        <v/>
      </c>
      <c r="J803" s="34">
        <f t="shared" si="12"/>
        <v>1229</v>
      </c>
      <c r="K803" s="29" t="str">
        <f>IF('Paste SD Data'!O800="","",'Paste SD Data'!O800)</f>
        <v/>
      </c>
    </row>
    <row r="804" spans="1:11" ht="30" customHeight="1" x14ac:dyDescent="0.25">
      <c r="A804" s="25" t="str">
        <f>IF(Table1[[#This Row],[Name of Student]]="","",ROWS($A$1:A800))</f>
        <v/>
      </c>
      <c r="B804" s="26" t="str">
        <f>IF('Paste SD Data'!A801="","",'Paste SD Data'!A801)</f>
        <v/>
      </c>
      <c r="C804" s="26" t="str">
        <f>IF('Paste SD Data'!B801="","",'Paste SD Data'!B801)</f>
        <v/>
      </c>
      <c r="D804" s="26" t="str">
        <f>IF('Paste SD Data'!C801="","",'Paste SD Data'!C801)</f>
        <v/>
      </c>
      <c r="E804" s="27" t="str">
        <f>IF('Paste SD Data'!E801="","",UPPER('Paste SD Data'!E801))</f>
        <v/>
      </c>
      <c r="F804" s="27" t="str">
        <f>IF('Paste SD Data'!G801="","",UPPER('Paste SD Data'!G801))</f>
        <v/>
      </c>
      <c r="G804" s="27" t="str">
        <f>IF('Paste SD Data'!H801="","",UPPER('Paste SD Data'!H801))</f>
        <v/>
      </c>
      <c r="H804" s="26" t="str">
        <f>IF('Paste SD Data'!I801="","",IF('Paste SD Data'!I801="M","BOY","GIRL"))</f>
        <v/>
      </c>
      <c r="I804" s="28" t="str">
        <f>IF('Paste SD Data'!J801="","",'Paste SD Data'!J801)</f>
        <v/>
      </c>
      <c r="J804" s="34">
        <f t="shared" si="12"/>
        <v>1230</v>
      </c>
      <c r="K804" s="29" t="str">
        <f>IF('Paste SD Data'!O801="","",'Paste SD Data'!O801)</f>
        <v/>
      </c>
    </row>
    <row r="805" spans="1:11" ht="30" customHeight="1" x14ac:dyDescent="0.25">
      <c r="A805" s="25" t="str">
        <f>IF(Table1[[#This Row],[Name of Student]]="","",ROWS($A$1:A801))</f>
        <v/>
      </c>
      <c r="B805" s="26" t="str">
        <f>IF('Paste SD Data'!A802="","",'Paste SD Data'!A802)</f>
        <v/>
      </c>
      <c r="C805" s="26" t="str">
        <f>IF('Paste SD Data'!B802="","",'Paste SD Data'!B802)</f>
        <v/>
      </c>
      <c r="D805" s="26" t="str">
        <f>IF('Paste SD Data'!C802="","",'Paste SD Data'!C802)</f>
        <v/>
      </c>
      <c r="E805" s="27" t="str">
        <f>IF('Paste SD Data'!E802="","",UPPER('Paste SD Data'!E802))</f>
        <v/>
      </c>
      <c r="F805" s="27" t="str">
        <f>IF('Paste SD Data'!G802="","",UPPER('Paste SD Data'!G802))</f>
        <v/>
      </c>
      <c r="G805" s="27" t="str">
        <f>IF('Paste SD Data'!H802="","",UPPER('Paste SD Data'!H802))</f>
        <v/>
      </c>
      <c r="H805" s="26" t="str">
        <f>IF('Paste SD Data'!I802="","",IF('Paste SD Data'!I802="M","BOY","GIRL"))</f>
        <v/>
      </c>
      <c r="I805" s="28" t="str">
        <f>IF('Paste SD Data'!J802="","",'Paste SD Data'!J802)</f>
        <v/>
      </c>
      <c r="J805" s="34">
        <f t="shared" si="12"/>
        <v>1231</v>
      </c>
      <c r="K805" s="29" t="str">
        <f>IF('Paste SD Data'!O802="","",'Paste SD Data'!O802)</f>
        <v/>
      </c>
    </row>
    <row r="806" spans="1:11" ht="30" customHeight="1" x14ac:dyDescent="0.25">
      <c r="A806" s="25" t="str">
        <f>IF(Table1[[#This Row],[Name of Student]]="","",ROWS($A$1:A802))</f>
        <v/>
      </c>
      <c r="B806" s="26" t="str">
        <f>IF('Paste SD Data'!A803="","",'Paste SD Data'!A803)</f>
        <v/>
      </c>
      <c r="C806" s="26" t="str">
        <f>IF('Paste SD Data'!B803="","",'Paste SD Data'!B803)</f>
        <v/>
      </c>
      <c r="D806" s="26" t="str">
        <f>IF('Paste SD Data'!C803="","",'Paste SD Data'!C803)</f>
        <v/>
      </c>
      <c r="E806" s="27" t="str">
        <f>IF('Paste SD Data'!E803="","",UPPER('Paste SD Data'!E803))</f>
        <v/>
      </c>
      <c r="F806" s="27" t="str">
        <f>IF('Paste SD Data'!G803="","",UPPER('Paste SD Data'!G803))</f>
        <v/>
      </c>
      <c r="G806" s="27" t="str">
        <f>IF('Paste SD Data'!H803="","",UPPER('Paste SD Data'!H803))</f>
        <v/>
      </c>
      <c r="H806" s="26" t="str">
        <f>IF('Paste SD Data'!I803="","",IF('Paste SD Data'!I803="M","BOY","GIRL"))</f>
        <v/>
      </c>
      <c r="I806" s="28" t="str">
        <f>IF('Paste SD Data'!J803="","",'Paste SD Data'!J803)</f>
        <v/>
      </c>
      <c r="J806" s="34">
        <f t="shared" si="12"/>
        <v>1232</v>
      </c>
      <c r="K806" s="29" t="str">
        <f>IF('Paste SD Data'!O803="","",'Paste SD Data'!O803)</f>
        <v/>
      </c>
    </row>
    <row r="807" spans="1:11" ht="30" customHeight="1" x14ac:dyDescent="0.25">
      <c r="A807" s="25" t="str">
        <f>IF(Table1[[#This Row],[Name of Student]]="","",ROWS($A$1:A803))</f>
        <v/>
      </c>
      <c r="B807" s="26" t="str">
        <f>IF('Paste SD Data'!A804="","",'Paste SD Data'!A804)</f>
        <v/>
      </c>
      <c r="C807" s="26" t="str">
        <f>IF('Paste SD Data'!B804="","",'Paste SD Data'!B804)</f>
        <v/>
      </c>
      <c r="D807" s="26" t="str">
        <f>IF('Paste SD Data'!C804="","",'Paste SD Data'!C804)</f>
        <v/>
      </c>
      <c r="E807" s="27" t="str">
        <f>IF('Paste SD Data'!E804="","",UPPER('Paste SD Data'!E804))</f>
        <v/>
      </c>
      <c r="F807" s="27" t="str">
        <f>IF('Paste SD Data'!G804="","",UPPER('Paste SD Data'!G804))</f>
        <v/>
      </c>
      <c r="G807" s="27" t="str">
        <f>IF('Paste SD Data'!H804="","",UPPER('Paste SD Data'!H804))</f>
        <v/>
      </c>
      <c r="H807" s="26" t="str">
        <f>IF('Paste SD Data'!I804="","",IF('Paste SD Data'!I804="M","BOY","GIRL"))</f>
        <v/>
      </c>
      <c r="I807" s="28" t="str">
        <f>IF('Paste SD Data'!J804="","",'Paste SD Data'!J804)</f>
        <v/>
      </c>
      <c r="J807" s="34">
        <f t="shared" si="12"/>
        <v>1233</v>
      </c>
      <c r="K807" s="29" t="str">
        <f>IF('Paste SD Data'!O804="","",'Paste SD Data'!O804)</f>
        <v/>
      </c>
    </row>
    <row r="808" spans="1:11" ht="30" customHeight="1" x14ac:dyDescent="0.25">
      <c r="A808" s="25" t="str">
        <f>IF(Table1[[#This Row],[Name of Student]]="","",ROWS($A$1:A804))</f>
        <v/>
      </c>
      <c r="B808" s="26" t="str">
        <f>IF('Paste SD Data'!A805="","",'Paste SD Data'!A805)</f>
        <v/>
      </c>
      <c r="C808" s="26" t="str">
        <f>IF('Paste SD Data'!B805="","",'Paste SD Data'!B805)</f>
        <v/>
      </c>
      <c r="D808" s="26" t="str">
        <f>IF('Paste SD Data'!C805="","",'Paste SD Data'!C805)</f>
        <v/>
      </c>
      <c r="E808" s="27" t="str">
        <f>IF('Paste SD Data'!E805="","",UPPER('Paste SD Data'!E805))</f>
        <v/>
      </c>
      <c r="F808" s="27" t="str">
        <f>IF('Paste SD Data'!G805="","",UPPER('Paste SD Data'!G805))</f>
        <v/>
      </c>
      <c r="G808" s="27" t="str">
        <f>IF('Paste SD Data'!H805="","",UPPER('Paste SD Data'!H805))</f>
        <v/>
      </c>
      <c r="H808" s="26" t="str">
        <f>IF('Paste SD Data'!I805="","",IF('Paste SD Data'!I805="M","BOY","GIRL"))</f>
        <v/>
      </c>
      <c r="I808" s="28" t="str">
        <f>IF('Paste SD Data'!J805="","",'Paste SD Data'!J805)</f>
        <v/>
      </c>
      <c r="J808" s="34">
        <f t="shared" si="12"/>
        <v>1234</v>
      </c>
      <c r="K808" s="29" t="str">
        <f>IF('Paste SD Data'!O805="","",'Paste SD Data'!O805)</f>
        <v/>
      </c>
    </row>
    <row r="809" spans="1:11" ht="30" customHeight="1" x14ac:dyDescent="0.25">
      <c r="A809" s="25" t="str">
        <f>IF(Table1[[#This Row],[Name of Student]]="","",ROWS($A$1:A805))</f>
        <v/>
      </c>
      <c r="B809" s="26" t="str">
        <f>IF('Paste SD Data'!A806="","",'Paste SD Data'!A806)</f>
        <v/>
      </c>
      <c r="C809" s="26" t="str">
        <f>IF('Paste SD Data'!B806="","",'Paste SD Data'!B806)</f>
        <v/>
      </c>
      <c r="D809" s="26" t="str">
        <f>IF('Paste SD Data'!C806="","",'Paste SD Data'!C806)</f>
        <v/>
      </c>
      <c r="E809" s="27" t="str">
        <f>IF('Paste SD Data'!E806="","",UPPER('Paste SD Data'!E806))</f>
        <v/>
      </c>
      <c r="F809" s="27" t="str">
        <f>IF('Paste SD Data'!G806="","",UPPER('Paste SD Data'!G806))</f>
        <v/>
      </c>
      <c r="G809" s="27" t="str">
        <f>IF('Paste SD Data'!H806="","",UPPER('Paste SD Data'!H806))</f>
        <v/>
      </c>
      <c r="H809" s="26" t="str">
        <f>IF('Paste SD Data'!I806="","",IF('Paste SD Data'!I806="M","BOY","GIRL"))</f>
        <v/>
      </c>
      <c r="I809" s="28" t="str">
        <f>IF('Paste SD Data'!J806="","",'Paste SD Data'!J806)</f>
        <v/>
      </c>
      <c r="J809" s="34">
        <f t="shared" si="12"/>
        <v>1235</v>
      </c>
      <c r="K809" s="29" t="str">
        <f>IF('Paste SD Data'!O806="","",'Paste SD Data'!O806)</f>
        <v/>
      </c>
    </row>
    <row r="810" spans="1:11" ht="30" customHeight="1" x14ac:dyDescent="0.25">
      <c r="A810" s="25" t="str">
        <f>IF(Table1[[#This Row],[Name of Student]]="","",ROWS($A$1:A806))</f>
        <v/>
      </c>
      <c r="B810" s="26" t="str">
        <f>IF('Paste SD Data'!A807="","",'Paste SD Data'!A807)</f>
        <v/>
      </c>
      <c r="C810" s="26" t="str">
        <f>IF('Paste SD Data'!B807="","",'Paste SD Data'!B807)</f>
        <v/>
      </c>
      <c r="D810" s="26" t="str">
        <f>IF('Paste SD Data'!C807="","",'Paste SD Data'!C807)</f>
        <v/>
      </c>
      <c r="E810" s="27" t="str">
        <f>IF('Paste SD Data'!E807="","",UPPER('Paste SD Data'!E807))</f>
        <v/>
      </c>
      <c r="F810" s="27" t="str">
        <f>IF('Paste SD Data'!G807="","",UPPER('Paste SD Data'!G807))</f>
        <v/>
      </c>
      <c r="G810" s="27" t="str">
        <f>IF('Paste SD Data'!H807="","",UPPER('Paste SD Data'!H807))</f>
        <v/>
      </c>
      <c r="H810" s="26" t="str">
        <f>IF('Paste SD Data'!I807="","",IF('Paste SD Data'!I807="M","BOY","GIRL"))</f>
        <v/>
      </c>
      <c r="I810" s="28" t="str">
        <f>IF('Paste SD Data'!J807="","",'Paste SD Data'!J807)</f>
        <v/>
      </c>
      <c r="J810" s="34">
        <f t="shared" si="12"/>
        <v>1236</v>
      </c>
      <c r="K810" s="29" t="str">
        <f>IF('Paste SD Data'!O807="","",'Paste SD Data'!O807)</f>
        <v/>
      </c>
    </row>
    <row r="811" spans="1:11" ht="30" customHeight="1" x14ac:dyDescent="0.25">
      <c r="A811" s="25" t="str">
        <f>IF(Table1[[#This Row],[Name of Student]]="","",ROWS($A$1:A807))</f>
        <v/>
      </c>
      <c r="B811" s="26" t="str">
        <f>IF('Paste SD Data'!A808="","",'Paste SD Data'!A808)</f>
        <v/>
      </c>
      <c r="C811" s="26" t="str">
        <f>IF('Paste SD Data'!B808="","",'Paste SD Data'!B808)</f>
        <v/>
      </c>
      <c r="D811" s="26" t="str">
        <f>IF('Paste SD Data'!C808="","",'Paste SD Data'!C808)</f>
        <v/>
      </c>
      <c r="E811" s="27" t="str">
        <f>IF('Paste SD Data'!E808="","",UPPER('Paste SD Data'!E808))</f>
        <v/>
      </c>
      <c r="F811" s="27" t="str">
        <f>IF('Paste SD Data'!G808="","",UPPER('Paste SD Data'!G808))</f>
        <v/>
      </c>
      <c r="G811" s="27" t="str">
        <f>IF('Paste SD Data'!H808="","",UPPER('Paste SD Data'!H808))</f>
        <v/>
      </c>
      <c r="H811" s="26" t="str">
        <f>IF('Paste SD Data'!I808="","",IF('Paste SD Data'!I808="M","BOY","GIRL"))</f>
        <v/>
      </c>
      <c r="I811" s="28" t="str">
        <f>IF('Paste SD Data'!J808="","",'Paste SD Data'!J808)</f>
        <v/>
      </c>
      <c r="J811" s="34">
        <f t="shared" si="12"/>
        <v>1237</v>
      </c>
      <c r="K811" s="29" t="str">
        <f>IF('Paste SD Data'!O808="","",'Paste SD Data'!O808)</f>
        <v/>
      </c>
    </row>
    <row r="812" spans="1:11" ht="30" customHeight="1" x14ac:dyDescent="0.25">
      <c r="A812" s="25" t="str">
        <f>IF(Table1[[#This Row],[Name of Student]]="","",ROWS($A$1:A808))</f>
        <v/>
      </c>
      <c r="B812" s="26" t="str">
        <f>IF('Paste SD Data'!A809="","",'Paste SD Data'!A809)</f>
        <v/>
      </c>
      <c r="C812" s="26" t="str">
        <f>IF('Paste SD Data'!B809="","",'Paste SD Data'!B809)</f>
        <v/>
      </c>
      <c r="D812" s="26" t="str">
        <f>IF('Paste SD Data'!C809="","",'Paste SD Data'!C809)</f>
        <v/>
      </c>
      <c r="E812" s="27" t="str">
        <f>IF('Paste SD Data'!E809="","",UPPER('Paste SD Data'!E809))</f>
        <v/>
      </c>
      <c r="F812" s="27" t="str">
        <f>IF('Paste SD Data'!G809="","",UPPER('Paste SD Data'!G809))</f>
        <v/>
      </c>
      <c r="G812" s="27" t="str">
        <f>IF('Paste SD Data'!H809="","",UPPER('Paste SD Data'!H809))</f>
        <v/>
      </c>
      <c r="H812" s="26" t="str">
        <f>IF('Paste SD Data'!I809="","",IF('Paste SD Data'!I809="M","BOY","GIRL"))</f>
        <v/>
      </c>
      <c r="I812" s="28" t="str">
        <f>IF('Paste SD Data'!J809="","",'Paste SD Data'!J809)</f>
        <v/>
      </c>
      <c r="J812" s="34">
        <f t="shared" si="12"/>
        <v>1238</v>
      </c>
      <c r="K812" s="29" t="str">
        <f>IF('Paste SD Data'!O809="","",'Paste SD Data'!O809)</f>
        <v/>
      </c>
    </row>
    <row r="813" spans="1:11" ht="30" customHeight="1" x14ac:dyDescent="0.25">
      <c r="A813" s="25" t="str">
        <f>IF(Table1[[#This Row],[Name of Student]]="","",ROWS($A$1:A809))</f>
        <v/>
      </c>
      <c r="B813" s="26" t="str">
        <f>IF('Paste SD Data'!A810="","",'Paste SD Data'!A810)</f>
        <v/>
      </c>
      <c r="C813" s="26" t="str">
        <f>IF('Paste SD Data'!B810="","",'Paste SD Data'!B810)</f>
        <v/>
      </c>
      <c r="D813" s="26" t="str">
        <f>IF('Paste SD Data'!C810="","",'Paste SD Data'!C810)</f>
        <v/>
      </c>
      <c r="E813" s="27" t="str">
        <f>IF('Paste SD Data'!E810="","",UPPER('Paste SD Data'!E810))</f>
        <v/>
      </c>
      <c r="F813" s="27" t="str">
        <f>IF('Paste SD Data'!G810="","",UPPER('Paste SD Data'!G810))</f>
        <v/>
      </c>
      <c r="G813" s="27" t="str">
        <f>IF('Paste SD Data'!H810="","",UPPER('Paste SD Data'!H810))</f>
        <v/>
      </c>
      <c r="H813" s="26" t="str">
        <f>IF('Paste SD Data'!I810="","",IF('Paste SD Data'!I810="M","BOY","GIRL"))</f>
        <v/>
      </c>
      <c r="I813" s="28" t="str">
        <f>IF('Paste SD Data'!J810="","",'Paste SD Data'!J810)</f>
        <v/>
      </c>
      <c r="J813" s="34">
        <f t="shared" si="12"/>
        <v>1239</v>
      </c>
      <c r="K813" s="29" t="str">
        <f>IF('Paste SD Data'!O810="","",'Paste SD Data'!O810)</f>
        <v/>
      </c>
    </row>
    <row r="814" spans="1:11" ht="30" customHeight="1" x14ac:dyDescent="0.25">
      <c r="A814" s="25" t="str">
        <f>IF(Table1[[#This Row],[Name of Student]]="","",ROWS($A$1:A810))</f>
        <v/>
      </c>
      <c r="B814" s="26" t="str">
        <f>IF('Paste SD Data'!A811="","",'Paste SD Data'!A811)</f>
        <v/>
      </c>
      <c r="C814" s="26" t="str">
        <f>IF('Paste SD Data'!B811="","",'Paste SD Data'!B811)</f>
        <v/>
      </c>
      <c r="D814" s="26" t="str">
        <f>IF('Paste SD Data'!C811="","",'Paste SD Data'!C811)</f>
        <v/>
      </c>
      <c r="E814" s="27" t="str">
        <f>IF('Paste SD Data'!E811="","",UPPER('Paste SD Data'!E811))</f>
        <v/>
      </c>
      <c r="F814" s="27" t="str">
        <f>IF('Paste SD Data'!G811="","",UPPER('Paste SD Data'!G811))</f>
        <v/>
      </c>
      <c r="G814" s="27" t="str">
        <f>IF('Paste SD Data'!H811="","",UPPER('Paste SD Data'!H811))</f>
        <v/>
      </c>
      <c r="H814" s="26" t="str">
        <f>IF('Paste SD Data'!I811="","",IF('Paste SD Data'!I811="M","BOY","GIRL"))</f>
        <v/>
      </c>
      <c r="I814" s="28" t="str">
        <f>IF('Paste SD Data'!J811="","",'Paste SD Data'!J811)</f>
        <v/>
      </c>
      <c r="J814" s="34">
        <f t="shared" si="12"/>
        <v>1240</v>
      </c>
      <c r="K814" s="29" t="str">
        <f>IF('Paste SD Data'!O811="","",'Paste SD Data'!O811)</f>
        <v/>
      </c>
    </row>
    <row r="815" spans="1:11" ht="30" customHeight="1" x14ac:dyDescent="0.25">
      <c r="A815" s="25" t="str">
        <f>IF(Table1[[#This Row],[Name of Student]]="","",ROWS($A$1:A811))</f>
        <v/>
      </c>
      <c r="B815" s="26" t="str">
        <f>IF('Paste SD Data'!A812="","",'Paste SD Data'!A812)</f>
        <v/>
      </c>
      <c r="C815" s="26" t="str">
        <f>IF('Paste SD Data'!B812="","",'Paste SD Data'!B812)</f>
        <v/>
      </c>
      <c r="D815" s="26" t="str">
        <f>IF('Paste SD Data'!C812="","",'Paste SD Data'!C812)</f>
        <v/>
      </c>
      <c r="E815" s="27" t="str">
        <f>IF('Paste SD Data'!E812="","",UPPER('Paste SD Data'!E812))</f>
        <v/>
      </c>
      <c r="F815" s="27" t="str">
        <f>IF('Paste SD Data'!G812="","",UPPER('Paste SD Data'!G812))</f>
        <v/>
      </c>
      <c r="G815" s="27" t="str">
        <f>IF('Paste SD Data'!H812="","",UPPER('Paste SD Data'!H812))</f>
        <v/>
      </c>
      <c r="H815" s="26" t="str">
        <f>IF('Paste SD Data'!I812="","",IF('Paste SD Data'!I812="M","BOY","GIRL"))</f>
        <v/>
      </c>
      <c r="I815" s="28" t="str">
        <f>IF('Paste SD Data'!J812="","",'Paste SD Data'!J812)</f>
        <v/>
      </c>
      <c r="J815" s="34">
        <f t="shared" si="12"/>
        <v>1241</v>
      </c>
      <c r="K815" s="29" t="str">
        <f>IF('Paste SD Data'!O812="","",'Paste SD Data'!O812)</f>
        <v/>
      </c>
    </row>
    <row r="816" spans="1:11" ht="30" customHeight="1" x14ac:dyDescent="0.25">
      <c r="A816" s="25" t="str">
        <f>IF(Table1[[#This Row],[Name of Student]]="","",ROWS($A$1:A812))</f>
        <v/>
      </c>
      <c r="B816" s="26" t="str">
        <f>IF('Paste SD Data'!A813="","",'Paste SD Data'!A813)</f>
        <v/>
      </c>
      <c r="C816" s="26" t="str">
        <f>IF('Paste SD Data'!B813="","",'Paste SD Data'!B813)</f>
        <v/>
      </c>
      <c r="D816" s="26" t="str">
        <f>IF('Paste SD Data'!C813="","",'Paste SD Data'!C813)</f>
        <v/>
      </c>
      <c r="E816" s="27" t="str">
        <f>IF('Paste SD Data'!E813="","",UPPER('Paste SD Data'!E813))</f>
        <v/>
      </c>
      <c r="F816" s="27" t="str">
        <f>IF('Paste SD Data'!G813="","",UPPER('Paste SD Data'!G813))</f>
        <v/>
      </c>
      <c r="G816" s="27" t="str">
        <f>IF('Paste SD Data'!H813="","",UPPER('Paste SD Data'!H813))</f>
        <v/>
      </c>
      <c r="H816" s="26" t="str">
        <f>IF('Paste SD Data'!I813="","",IF('Paste SD Data'!I813="M","BOY","GIRL"))</f>
        <v/>
      </c>
      <c r="I816" s="28" t="str">
        <f>IF('Paste SD Data'!J813="","",'Paste SD Data'!J813)</f>
        <v/>
      </c>
      <c r="J816" s="34">
        <f t="shared" si="12"/>
        <v>1242</v>
      </c>
      <c r="K816" s="29" t="str">
        <f>IF('Paste SD Data'!O813="","",'Paste SD Data'!O813)</f>
        <v/>
      </c>
    </row>
    <row r="817" spans="1:11" ht="30" customHeight="1" x14ac:dyDescent="0.25">
      <c r="A817" s="25" t="str">
        <f>IF(Table1[[#This Row],[Name of Student]]="","",ROWS($A$1:A813))</f>
        <v/>
      </c>
      <c r="B817" s="26" t="str">
        <f>IF('Paste SD Data'!A814="","",'Paste SD Data'!A814)</f>
        <v/>
      </c>
      <c r="C817" s="26" t="str">
        <f>IF('Paste SD Data'!B814="","",'Paste SD Data'!B814)</f>
        <v/>
      </c>
      <c r="D817" s="26" t="str">
        <f>IF('Paste SD Data'!C814="","",'Paste SD Data'!C814)</f>
        <v/>
      </c>
      <c r="E817" s="27" t="str">
        <f>IF('Paste SD Data'!E814="","",UPPER('Paste SD Data'!E814))</f>
        <v/>
      </c>
      <c r="F817" s="27" t="str">
        <f>IF('Paste SD Data'!G814="","",UPPER('Paste SD Data'!G814))</f>
        <v/>
      </c>
      <c r="G817" s="27" t="str">
        <f>IF('Paste SD Data'!H814="","",UPPER('Paste SD Data'!H814))</f>
        <v/>
      </c>
      <c r="H817" s="26" t="str">
        <f>IF('Paste SD Data'!I814="","",IF('Paste SD Data'!I814="M","BOY","GIRL"))</f>
        <v/>
      </c>
      <c r="I817" s="28" t="str">
        <f>IF('Paste SD Data'!J814="","",'Paste SD Data'!J814)</f>
        <v/>
      </c>
      <c r="J817" s="34">
        <f t="shared" si="12"/>
        <v>1243</v>
      </c>
      <c r="K817" s="29" t="str">
        <f>IF('Paste SD Data'!O814="","",'Paste SD Data'!O814)</f>
        <v/>
      </c>
    </row>
    <row r="818" spans="1:11" ht="30" customHeight="1" x14ac:dyDescent="0.25">
      <c r="A818" s="25" t="str">
        <f>IF(Table1[[#This Row],[Name of Student]]="","",ROWS($A$1:A814))</f>
        <v/>
      </c>
      <c r="B818" s="26" t="str">
        <f>IF('Paste SD Data'!A815="","",'Paste SD Data'!A815)</f>
        <v/>
      </c>
      <c r="C818" s="26" t="str">
        <f>IF('Paste SD Data'!B815="","",'Paste SD Data'!B815)</f>
        <v/>
      </c>
      <c r="D818" s="26" t="str">
        <f>IF('Paste SD Data'!C815="","",'Paste SD Data'!C815)</f>
        <v/>
      </c>
      <c r="E818" s="27" t="str">
        <f>IF('Paste SD Data'!E815="","",UPPER('Paste SD Data'!E815))</f>
        <v/>
      </c>
      <c r="F818" s="27" t="str">
        <f>IF('Paste SD Data'!G815="","",UPPER('Paste SD Data'!G815))</f>
        <v/>
      </c>
      <c r="G818" s="27" t="str">
        <f>IF('Paste SD Data'!H815="","",UPPER('Paste SD Data'!H815))</f>
        <v/>
      </c>
      <c r="H818" s="26" t="str">
        <f>IF('Paste SD Data'!I815="","",IF('Paste SD Data'!I815="M","BOY","GIRL"))</f>
        <v/>
      </c>
      <c r="I818" s="28" t="str">
        <f>IF('Paste SD Data'!J815="","",'Paste SD Data'!J815)</f>
        <v/>
      </c>
      <c r="J818" s="34">
        <f t="shared" si="12"/>
        <v>1244</v>
      </c>
      <c r="K818" s="29" t="str">
        <f>IF('Paste SD Data'!O815="","",'Paste SD Data'!O815)</f>
        <v/>
      </c>
    </row>
    <row r="819" spans="1:11" ht="30" customHeight="1" x14ac:dyDescent="0.25">
      <c r="A819" s="25" t="str">
        <f>IF(Table1[[#This Row],[Name of Student]]="","",ROWS($A$1:A815))</f>
        <v/>
      </c>
      <c r="B819" s="26" t="str">
        <f>IF('Paste SD Data'!A816="","",'Paste SD Data'!A816)</f>
        <v/>
      </c>
      <c r="C819" s="26" t="str">
        <f>IF('Paste SD Data'!B816="","",'Paste SD Data'!B816)</f>
        <v/>
      </c>
      <c r="D819" s="26" t="str">
        <f>IF('Paste SD Data'!C816="","",'Paste SD Data'!C816)</f>
        <v/>
      </c>
      <c r="E819" s="27" t="str">
        <f>IF('Paste SD Data'!E816="","",UPPER('Paste SD Data'!E816))</f>
        <v/>
      </c>
      <c r="F819" s="27" t="str">
        <f>IF('Paste SD Data'!G816="","",UPPER('Paste SD Data'!G816))</f>
        <v/>
      </c>
      <c r="G819" s="27" t="str">
        <f>IF('Paste SD Data'!H816="","",UPPER('Paste SD Data'!H816))</f>
        <v/>
      </c>
      <c r="H819" s="26" t="str">
        <f>IF('Paste SD Data'!I816="","",IF('Paste SD Data'!I816="M","BOY","GIRL"))</f>
        <v/>
      </c>
      <c r="I819" s="28" t="str">
        <f>IF('Paste SD Data'!J816="","",'Paste SD Data'!J816)</f>
        <v/>
      </c>
      <c r="J819" s="34">
        <f t="shared" si="12"/>
        <v>1245</v>
      </c>
      <c r="K819" s="29" t="str">
        <f>IF('Paste SD Data'!O816="","",'Paste SD Data'!O816)</f>
        <v/>
      </c>
    </row>
    <row r="820" spans="1:11" ht="30" customHeight="1" x14ac:dyDescent="0.25">
      <c r="A820" s="25" t="str">
        <f>IF(Table1[[#This Row],[Name of Student]]="","",ROWS($A$1:A816))</f>
        <v/>
      </c>
      <c r="B820" s="26" t="str">
        <f>IF('Paste SD Data'!A817="","",'Paste SD Data'!A817)</f>
        <v/>
      </c>
      <c r="C820" s="26" t="str">
        <f>IF('Paste SD Data'!B817="","",'Paste SD Data'!B817)</f>
        <v/>
      </c>
      <c r="D820" s="26" t="str">
        <f>IF('Paste SD Data'!C817="","",'Paste SD Data'!C817)</f>
        <v/>
      </c>
      <c r="E820" s="27" t="str">
        <f>IF('Paste SD Data'!E817="","",UPPER('Paste SD Data'!E817))</f>
        <v/>
      </c>
      <c r="F820" s="27" t="str">
        <f>IF('Paste SD Data'!G817="","",UPPER('Paste SD Data'!G817))</f>
        <v/>
      </c>
      <c r="G820" s="27" t="str">
        <f>IF('Paste SD Data'!H817="","",UPPER('Paste SD Data'!H817))</f>
        <v/>
      </c>
      <c r="H820" s="26" t="str">
        <f>IF('Paste SD Data'!I817="","",IF('Paste SD Data'!I817="M","BOY","GIRL"))</f>
        <v/>
      </c>
      <c r="I820" s="28" t="str">
        <f>IF('Paste SD Data'!J817="","",'Paste SD Data'!J817)</f>
        <v/>
      </c>
      <c r="J820" s="34">
        <f t="shared" si="12"/>
        <v>1246</v>
      </c>
      <c r="K820" s="29" t="str">
        <f>IF('Paste SD Data'!O817="","",'Paste SD Data'!O817)</f>
        <v/>
      </c>
    </row>
    <row r="821" spans="1:11" ht="30" customHeight="1" x14ac:dyDescent="0.25">
      <c r="A821" s="25" t="str">
        <f>IF(Table1[[#This Row],[Name of Student]]="","",ROWS($A$1:A817))</f>
        <v/>
      </c>
      <c r="B821" s="26" t="str">
        <f>IF('Paste SD Data'!A818="","",'Paste SD Data'!A818)</f>
        <v/>
      </c>
      <c r="C821" s="26" t="str">
        <f>IF('Paste SD Data'!B818="","",'Paste SD Data'!B818)</f>
        <v/>
      </c>
      <c r="D821" s="26" t="str">
        <f>IF('Paste SD Data'!C818="","",'Paste SD Data'!C818)</f>
        <v/>
      </c>
      <c r="E821" s="27" t="str">
        <f>IF('Paste SD Data'!E818="","",UPPER('Paste SD Data'!E818))</f>
        <v/>
      </c>
      <c r="F821" s="27" t="str">
        <f>IF('Paste SD Data'!G818="","",UPPER('Paste SD Data'!G818))</f>
        <v/>
      </c>
      <c r="G821" s="27" t="str">
        <f>IF('Paste SD Data'!H818="","",UPPER('Paste SD Data'!H818))</f>
        <v/>
      </c>
      <c r="H821" s="26" t="str">
        <f>IF('Paste SD Data'!I818="","",IF('Paste SD Data'!I818="M","BOY","GIRL"))</f>
        <v/>
      </c>
      <c r="I821" s="28" t="str">
        <f>IF('Paste SD Data'!J818="","",'Paste SD Data'!J818)</f>
        <v/>
      </c>
      <c r="J821" s="34">
        <f t="shared" si="12"/>
        <v>1247</v>
      </c>
      <c r="K821" s="29" t="str">
        <f>IF('Paste SD Data'!O818="","",'Paste SD Data'!O818)</f>
        <v/>
      </c>
    </row>
    <row r="822" spans="1:11" ht="30" customHeight="1" x14ac:dyDescent="0.25">
      <c r="A822" s="25" t="str">
        <f>IF(Table1[[#This Row],[Name of Student]]="","",ROWS($A$1:A818))</f>
        <v/>
      </c>
      <c r="B822" s="26" t="str">
        <f>IF('Paste SD Data'!A819="","",'Paste SD Data'!A819)</f>
        <v/>
      </c>
      <c r="C822" s="26" t="str">
        <f>IF('Paste SD Data'!B819="","",'Paste SD Data'!B819)</f>
        <v/>
      </c>
      <c r="D822" s="26" t="str">
        <f>IF('Paste SD Data'!C819="","",'Paste SD Data'!C819)</f>
        <v/>
      </c>
      <c r="E822" s="27" t="str">
        <f>IF('Paste SD Data'!E819="","",UPPER('Paste SD Data'!E819))</f>
        <v/>
      </c>
      <c r="F822" s="27" t="str">
        <f>IF('Paste SD Data'!G819="","",UPPER('Paste SD Data'!G819))</f>
        <v/>
      </c>
      <c r="G822" s="27" t="str">
        <f>IF('Paste SD Data'!H819="","",UPPER('Paste SD Data'!H819))</f>
        <v/>
      </c>
      <c r="H822" s="26" t="str">
        <f>IF('Paste SD Data'!I819="","",IF('Paste SD Data'!I819="M","BOY","GIRL"))</f>
        <v/>
      </c>
      <c r="I822" s="28" t="str">
        <f>IF('Paste SD Data'!J819="","",'Paste SD Data'!J819)</f>
        <v/>
      </c>
      <c r="J822" s="34">
        <f t="shared" si="12"/>
        <v>1248</v>
      </c>
      <c r="K822" s="29" t="str">
        <f>IF('Paste SD Data'!O819="","",'Paste SD Data'!O819)</f>
        <v/>
      </c>
    </row>
    <row r="823" spans="1:11" ht="30" customHeight="1" x14ac:dyDescent="0.25">
      <c r="A823" s="25" t="str">
        <f>IF(Table1[[#This Row],[Name of Student]]="","",ROWS($A$1:A819))</f>
        <v/>
      </c>
      <c r="B823" s="26" t="str">
        <f>IF('Paste SD Data'!A820="","",'Paste SD Data'!A820)</f>
        <v/>
      </c>
      <c r="C823" s="26" t="str">
        <f>IF('Paste SD Data'!B820="","",'Paste SD Data'!B820)</f>
        <v/>
      </c>
      <c r="D823" s="26" t="str">
        <f>IF('Paste SD Data'!C820="","",'Paste SD Data'!C820)</f>
        <v/>
      </c>
      <c r="E823" s="27" t="str">
        <f>IF('Paste SD Data'!E820="","",UPPER('Paste SD Data'!E820))</f>
        <v/>
      </c>
      <c r="F823" s="27" t="str">
        <f>IF('Paste SD Data'!G820="","",UPPER('Paste SD Data'!G820))</f>
        <v/>
      </c>
      <c r="G823" s="27" t="str">
        <f>IF('Paste SD Data'!H820="","",UPPER('Paste SD Data'!H820))</f>
        <v/>
      </c>
      <c r="H823" s="26" t="str">
        <f>IF('Paste SD Data'!I820="","",IF('Paste SD Data'!I820="M","BOY","GIRL"))</f>
        <v/>
      </c>
      <c r="I823" s="28" t="str">
        <f>IF('Paste SD Data'!J820="","",'Paste SD Data'!J820)</f>
        <v/>
      </c>
      <c r="J823" s="34">
        <f t="shared" si="12"/>
        <v>1249</v>
      </c>
      <c r="K823" s="29" t="str">
        <f>IF('Paste SD Data'!O820="","",'Paste SD Data'!O820)</f>
        <v/>
      </c>
    </row>
    <row r="824" spans="1:11" ht="30" customHeight="1" x14ac:dyDescent="0.25">
      <c r="A824" s="25" t="str">
        <f>IF(Table1[[#This Row],[Name of Student]]="","",ROWS($A$1:A820))</f>
        <v/>
      </c>
      <c r="B824" s="26" t="str">
        <f>IF('Paste SD Data'!A821="","",'Paste SD Data'!A821)</f>
        <v/>
      </c>
      <c r="C824" s="26" t="str">
        <f>IF('Paste SD Data'!B821="","",'Paste SD Data'!B821)</f>
        <v/>
      </c>
      <c r="D824" s="26" t="str">
        <f>IF('Paste SD Data'!C821="","",'Paste SD Data'!C821)</f>
        <v/>
      </c>
      <c r="E824" s="27" t="str">
        <f>IF('Paste SD Data'!E821="","",UPPER('Paste SD Data'!E821))</f>
        <v/>
      </c>
      <c r="F824" s="27" t="str">
        <f>IF('Paste SD Data'!G821="","",UPPER('Paste SD Data'!G821))</f>
        <v/>
      </c>
      <c r="G824" s="27" t="str">
        <f>IF('Paste SD Data'!H821="","",UPPER('Paste SD Data'!H821))</f>
        <v/>
      </c>
      <c r="H824" s="26" t="str">
        <f>IF('Paste SD Data'!I821="","",IF('Paste SD Data'!I821="M","BOY","GIRL"))</f>
        <v/>
      </c>
      <c r="I824" s="28" t="str">
        <f>IF('Paste SD Data'!J821="","",'Paste SD Data'!J821)</f>
        <v/>
      </c>
      <c r="J824" s="34">
        <f t="shared" si="12"/>
        <v>1250</v>
      </c>
      <c r="K824" s="29" t="str">
        <f>IF('Paste SD Data'!O821="","",'Paste SD Data'!O821)</f>
        <v/>
      </c>
    </row>
    <row r="825" spans="1:11" ht="30" customHeight="1" x14ac:dyDescent="0.25">
      <c r="A825" s="25" t="str">
        <f>IF(Table1[[#This Row],[Name of Student]]="","",ROWS($A$1:A821))</f>
        <v/>
      </c>
      <c r="B825" s="26" t="str">
        <f>IF('Paste SD Data'!A822="","",'Paste SD Data'!A822)</f>
        <v/>
      </c>
      <c r="C825" s="26" t="str">
        <f>IF('Paste SD Data'!B822="","",'Paste SD Data'!B822)</f>
        <v/>
      </c>
      <c r="D825" s="26" t="str">
        <f>IF('Paste SD Data'!C822="","",'Paste SD Data'!C822)</f>
        <v/>
      </c>
      <c r="E825" s="27" t="str">
        <f>IF('Paste SD Data'!E822="","",UPPER('Paste SD Data'!E822))</f>
        <v/>
      </c>
      <c r="F825" s="27" t="str">
        <f>IF('Paste SD Data'!G822="","",UPPER('Paste SD Data'!G822))</f>
        <v/>
      </c>
      <c r="G825" s="27" t="str">
        <f>IF('Paste SD Data'!H822="","",UPPER('Paste SD Data'!H822))</f>
        <v/>
      </c>
      <c r="H825" s="26" t="str">
        <f>IF('Paste SD Data'!I822="","",IF('Paste SD Data'!I822="M","BOY","GIRL"))</f>
        <v/>
      </c>
      <c r="I825" s="28" t="str">
        <f>IF('Paste SD Data'!J822="","",'Paste SD Data'!J822)</f>
        <v/>
      </c>
      <c r="J825" s="34">
        <f t="shared" si="12"/>
        <v>1251</v>
      </c>
      <c r="K825" s="29" t="str">
        <f>IF('Paste SD Data'!O822="","",'Paste SD Data'!O822)</f>
        <v/>
      </c>
    </row>
    <row r="826" spans="1:11" ht="30" customHeight="1" x14ac:dyDescent="0.25">
      <c r="A826" s="25" t="str">
        <f>IF(Table1[[#This Row],[Name of Student]]="","",ROWS($A$1:A822))</f>
        <v/>
      </c>
      <c r="B826" s="26" t="str">
        <f>IF('Paste SD Data'!A823="","",'Paste SD Data'!A823)</f>
        <v/>
      </c>
      <c r="C826" s="26" t="str">
        <f>IF('Paste SD Data'!B823="","",'Paste SD Data'!B823)</f>
        <v/>
      </c>
      <c r="D826" s="26" t="str">
        <f>IF('Paste SD Data'!C823="","",'Paste SD Data'!C823)</f>
        <v/>
      </c>
      <c r="E826" s="27" t="str">
        <f>IF('Paste SD Data'!E823="","",UPPER('Paste SD Data'!E823))</f>
        <v/>
      </c>
      <c r="F826" s="27" t="str">
        <f>IF('Paste SD Data'!G823="","",UPPER('Paste SD Data'!G823))</f>
        <v/>
      </c>
      <c r="G826" s="27" t="str">
        <f>IF('Paste SD Data'!H823="","",UPPER('Paste SD Data'!H823))</f>
        <v/>
      </c>
      <c r="H826" s="26" t="str">
        <f>IF('Paste SD Data'!I823="","",IF('Paste SD Data'!I823="M","BOY","GIRL"))</f>
        <v/>
      </c>
      <c r="I826" s="28" t="str">
        <f>IF('Paste SD Data'!J823="","",'Paste SD Data'!J823)</f>
        <v/>
      </c>
      <c r="J826" s="34">
        <f t="shared" si="12"/>
        <v>1252</v>
      </c>
      <c r="K826" s="29" t="str">
        <f>IF('Paste SD Data'!O823="","",'Paste SD Data'!O823)</f>
        <v/>
      </c>
    </row>
    <row r="827" spans="1:11" ht="30" customHeight="1" x14ac:dyDescent="0.25">
      <c r="A827" s="25" t="str">
        <f>IF(Table1[[#This Row],[Name of Student]]="","",ROWS($A$1:A823))</f>
        <v/>
      </c>
      <c r="B827" s="26" t="str">
        <f>IF('Paste SD Data'!A824="","",'Paste SD Data'!A824)</f>
        <v/>
      </c>
      <c r="C827" s="26" t="str">
        <f>IF('Paste SD Data'!B824="","",'Paste SD Data'!B824)</f>
        <v/>
      </c>
      <c r="D827" s="26" t="str">
        <f>IF('Paste SD Data'!C824="","",'Paste SD Data'!C824)</f>
        <v/>
      </c>
      <c r="E827" s="27" t="str">
        <f>IF('Paste SD Data'!E824="","",UPPER('Paste SD Data'!E824))</f>
        <v/>
      </c>
      <c r="F827" s="27" t="str">
        <f>IF('Paste SD Data'!G824="","",UPPER('Paste SD Data'!G824))</f>
        <v/>
      </c>
      <c r="G827" s="27" t="str">
        <f>IF('Paste SD Data'!H824="","",UPPER('Paste SD Data'!H824))</f>
        <v/>
      </c>
      <c r="H827" s="26" t="str">
        <f>IF('Paste SD Data'!I824="","",IF('Paste SD Data'!I824="M","BOY","GIRL"))</f>
        <v/>
      </c>
      <c r="I827" s="28" t="str">
        <f>IF('Paste SD Data'!J824="","",'Paste SD Data'!J824)</f>
        <v/>
      </c>
      <c r="J827" s="34">
        <f t="shared" si="12"/>
        <v>1253</v>
      </c>
      <c r="K827" s="29" t="str">
        <f>IF('Paste SD Data'!O824="","",'Paste SD Data'!O824)</f>
        <v/>
      </c>
    </row>
    <row r="828" spans="1:11" ht="30" customHeight="1" x14ac:dyDescent="0.25">
      <c r="A828" s="25" t="str">
        <f>IF(Table1[[#This Row],[Name of Student]]="","",ROWS($A$1:A824))</f>
        <v/>
      </c>
      <c r="B828" s="26" t="str">
        <f>IF('Paste SD Data'!A825="","",'Paste SD Data'!A825)</f>
        <v/>
      </c>
      <c r="C828" s="26" t="str">
        <f>IF('Paste SD Data'!B825="","",'Paste SD Data'!B825)</f>
        <v/>
      </c>
      <c r="D828" s="26" t="str">
        <f>IF('Paste SD Data'!C825="","",'Paste SD Data'!C825)</f>
        <v/>
      </c>
      <c r="E828" s="27" t="str">
        <f>IF('Paste SD Data'!E825="","",UPPER('Paste SD Data'!E825))</f>
        <v/>
      </c>
      <c r="F828" s="27" t="str">
        <f>IF('Paste SD Data'!G825="","",UPPER('Paste SD Data'!G825))</f>
        <v/>
      </c>
      <c r="G828" s="27" t="str">
        <f>IF('Paste SD Data'!H825="","",UPPER('Paste SD Data'!H825))</f>
        <v/>
      </c>
      <c r="H828" s="26" t="str">
        <f>IF('Paste SD Data'!I825="","",IF('Paste SD Data'!I825="M","BOY","GIRL"))</f>
        <v/>
      </c>
      <c r="I828" s="28" t="str">
        <f>IF('Paste SD Data'!J825="","",'Paste SD Data'!J825)</f>
        <v/>
      </c>
      <c r="J828" s="34">
        <f t="shared" si="12"/>
        <v>1254</v>
      </c>
      <c r="K828" s="29" t="str">
        <f>IF('Paste SD Data'!O825="","",'Paste SD Data'!O825)</f>
        <v/>
      </c>
    </row>
    <row r="829" spans="1:11" ht="30" customHeight="1" x14ac:dyDescent="0.25">
      <c r="A829" s="25" t="str">
        <f>IF(Table1[[#This Row],[Name of Student]]="","",ROWS($A$1:A825))</f>
        <v/>
      </c>
      <c r="B829" s="26" t="str">
        <f>IF('Paste SD Data'!A826="","",'Paste SD Data'!A826)</f>
        <v/>
      </c>
      <c r="C829" s="26" t="str">
        <f>IF('Paste SD Data'!B826="","",'Paste SD Data'!B826)</f>
        <v/>
      </c>
      <c r="D829" s="26" t="str">
        <f>IF('Paste SD Data'!C826="","",'Paste SD Data'!C826)</f>
        <v/>
      </c>
      <c r="E829" s="27" t="str">
        <f>IF('Paste SD Data'!E826="","",UPPER('Paste SD Data'!E826))</f>
        <v/>
      </c>
      <c r="F829" s="27" t="str">
        <f>IF('Paste SD Data'!G826="","",UPPER('Paste SD Data'!G826))</f>
        <v/>
      </c>
      <c r="G829" s="27" t="str">
        <f>IF('Paste SD Data'!H826="","",UPPER('Paste SD Data'!H826))</f>
        <v/>
      </c>
      <c r="H829" s="26" t="str">
        <f>IF('Paste SD Data'!I826="","",IF('Paste SD Data'!I826="M","BOY","GIRL"))</f>
        <v/>
      </c>
      <c r="I829" s="28" t="str">
        <f>IF('Paste SD Data'!J826="","",'Paste SD Data'!J826)</f>
        <v/>
      </c>
      <c r="J829" s="34">
        <f t="shared" si="12"/>
        <v>1255</v>
      </c>
      <c r="K829" s="29" t="str">
        <f>IF('Paste SD Data'!O826="","",'Paste SD Data'!O826)</f>
        <v/>
      </c>
    </row>
    <row r="830" spans="1:11" ht="30" customHeight="1" x14ac:dyDescent="0.25">
      <c r="A830" s="25" t="str">
        <f>IF(Table1[[#This Row],[Name of Student]]="","",ROWS($A$1:A826))</f>
        <v/>
      </c>
      <c r="B830" s="26" t="str">
        <f>IF('Paste SD Data'!A827="","",'Paste SD Data'!A827)</f>
        <v/>
      </c>
      <c r="C830" s="26" t="str">
        <f>IF('Paste SD Data'!B827="","",'Paste SD Data'!B827)</f>
        <v/>
      </c>
      <c r="D830" s="26" t="str">
        <f>IF('Paste SD Data'!C827="","",'Paste SD Data'!C827)</f>
        <v/>
      </c>
      <c r="E830" s="27" t="str">
        <f>IF('Paste SD Data'!E827="","",UPPER('Paste SD Data'!E827))</f>
        <v/>
      </c>
      <c r="F830" s="27" t="str">
        <f>IF('Paste SD Data'!G827="","",UPPER('Paste SD Data'!G827))</f>
        <v/>
      </c>
      <c r="G830" s="27" t="str">
        <f>IF('Paste SD Data'!H827="","",UPPER('Paste SD Data'!H827))</f>
        <v/>
      </c>
      <c r="H830" s="26" t="str">
        <f>IF('Paste SD Data'!I827="","",IF('Paste SD Data'!I827="M","BOY","GIRL"))</f>
        <v/>
      </c>
      <c r="I830" s="28" t="str">
        <f>IF('Paste SD Data'!J827="","",'Paste SD Data'!J827)</f>
        <v/>
      </c>
      <c r="J830" s="34">
        <f t="shared" si="12"/>
        <v>1256</v>
      </c>
      <c r="K830" s="29" t="str">
        <f>IF('Paste SD Data'!O827="","",'Paste SD Data'!O827)</f>
        <v/>
      </c>
    </row>
    <row r="831" spans="1:11" ht="30" customHeight="1" x14ac:dyDescent="0.25">
      <c r="A831" s="25" t="str">
        <f>IF(Table1[[#This Row],[Name of Student]]="","",ROWS($A$1:A827))</f>
        <v/>
      </c>
      <c r="B831" s="26" t="str">
        <f>IF('Paste SD Data'!A828="","",'Paste SD Data'!A828)</f>
        <v/>
      </c>
      <c r="C831" s="26" t="str">
        <f>IF('Paste SD Data'!B828="","",'Paste SD Data'!B828)</f>
        <v/>
      </c>
      <c r="D831" s="26" t="str">
        <f>IF('Paste SD Data'!C828="","",'Paste SD Data'!C828)</f>
        <v/>
      </c>
      <c r="E831" s="27" t="str">
        <f>IF('Paste SD Data'!E828="","",UPPER('Paste SD Data'!E828))</f>
        <v/>
      </c>
      <c r="F831" s="27" t="str">
        <f>IF('Paste SD Data'!G828="","",UPPER('Paste SD Data'!G828))</f>
        <v/>
      </c>
      <c r="G831" s="27" t="str">
        <f>IF('Paste SD Data'!H828="","",UPPER('Paste SD Data'!H828))</f>
        <v/>
      </c>
      <c r="H831" s="26" t="str">
        <f>IF('Paste SD Data'!I828="","",IF('Paste SD Data'!I828="M","BOY","GIRL"))</f>
        <v/>
      </c>
      <c r="I831" s="28" t="str">
        <f>IF('Paste SD Data'!J828="","",'Paste SD Data'!J828)</f>
        <v/>
      </c>
      <c r="J831" s="34">
        <f t="shared" si="12"/>
        <v>1257</v>
      </c>
      <c r="K831" s="29" t="str">
        <f>IF('Paste SD Data'!O828="","",'Paste SD Data'!O828)</f>
        <v/>
      </c>
    </row>
    <row r="832" spans="1:11" ht="30" customHeight="1" x14ac:dyDescent="0.25">
      <c r="A832" s="25" t="str">
        <f>IF(Table1[[#This Row],[Name of Student]]="","",ROWS($A$1:A828))</f>
        <v/>
      </c>
      <c r="B832" s="26" t="str">
        <f>IF('Paste SD Data'!A829="","",'Paste SD Data'!A829)</f>
        <v/>
      </c>
      <c r="C832" s="26" t="str">
        <f>IF('Paste SD Data'!B829="","",'Paste SD Data'!B829)</f>
        <v/>
      </c>
      <c r="D832" s="26" t="str">
        <f>IF('Paste SD Data'!C829="","",'Paste SD Data'!C829)</f>
        <v/>
      </c>
      <c r="E832" s="27" t="str">
        <f>IF('Paste SD Data'!E829="","",UPPER('Paste SD Data'!E829))</f>
        <v/>
      </c>
      <c r="F832" s="27" t="str">
        <f>IF('Paste SD Data'!G829="","",UPPER('Paste SD Data'!G829))</f>
        <v/>
      </c>
      <c r="G832" s="27" t="str">
        <f>IF('Paste SD Data'!H829="","",UPPER('Paste SD Data'!H829))</f>
        <v/>
      </c>
      <c r="H832" s="26" t="str">
        <f>IF('Paste SD Data'!I829="","",IF('Paste SD Data'!I829="M","BOY","GIRL"))</f>
        <v/>
      </c>
      <c r="I832" s="28" t="str">
        <f>IF('Paste SD Data'!J829="","",'Paste SD Data'!J829)</f>
        <v/>
      </c>
      <c r="J832" s="34">
        <f t="shared" si="12"/>
        <v>1258</v>
      </c>
      <c r="K832" s="29" t="str">
        <f>IF('Paste SD Data'!O829="","",'Paste SD Data'!O829)</f>
        <v/>
      </c>
    </row>
    <row r="833" spans="1:11" ht="30" customHeight="1" x14ac:dyDescent="0.25">
      <c r="A833" s="25" t="str">
        <f>IF(Table1[[#This Row],[Name of Student]]="","",ROWS($A$1:A829))</f>
        <v/>
      </c>
      <c r="B833" s="26" t="str">
        <f>IF('Paste SD Data'!A830="","",'Paste SD Data'!A830)</f>
        <v/>
      </c>
      <c r="C833" s="26" t="str">
        <f>IF('Paste SD Data'!B830="","",'Paste SD Data'!B830)</f>
        <v/>
      </c>
      <c r="D833" s="26" t="str">
        <f>IF('Paste SD Data'!C830="","",'Paste SD Data'!C830)</f>
        <v/>
      </c>
      <c r="E833" s="27" t="str">
        <f>IF('Paste SD Data'!E830="","",UPPER('Paste SD Data'!E830))</f>
        <v/>
      </c>
      <c r="F833" s="27" t="str">
        <f>IF('Paste SD Data'!G830="","",UPPER('Paste SD Data'!G830))</f>
        <v/>
      </c>
      <c r="G833" s="27" t="str">
        <f>IF('Paste SD Data'!H830="","",UPPER('Paste SD Data'!H830))</f>
        <v/>
      </c>
      <c r="H833" s="26" t="str">
        <f>IF('Paste SD Data'!I830="","",IF('Paste SD Data'!I830="M","BOY","GIRL"))</f>
        <v/>
      </c>
      <c r="I833" s="28" t="str">
        <f>IF('Paste SD Data'!J830="","",'Paste SD Data'!J830)</f>
        <v/>
      </c>
      <c r="J833" s="34">
        <f t="shared" si="12"/>
        <v>1259</v>
      </c>
      <c r="K833" s="29" t="str">
        <f>IF('Paste SD Data'!O830="","",'Paste SD Data'!O830)</f>
        <v/>
      </c>
    </row>
    <row r="834" spans="1:11" ht="30" customHeight="1" x14ac:dyDescent="0.25">
      <c r="A834" s="25" t="str">
        <f>IF(Table1[[#This Row],[Name of Student]]="","",ROWS($A$1:A830))</f>
        <v/>
      </c>
      <c r="B834" s="26" t="str">
        <f>IF('Paste SD Data'!A831="","",'Paste SD Data'!A831)</f>
        <v/>
      </c>
      <c r="C834" s="26" t="str">
        <f>IF('Paste SD Data'!B831="","",'Paste SD Data'!B831)</f>
        <v/>
      </c>
      <c r="D834" s="26" t="str">
        <f>IF('Paste SD Data'!C831="","",'Paste SD Data'!C831)</f>
        <v/>
      </c>
      <c r="E834" s="27" t="str">
        <f>IF('Paste SD Data'!E831="","",UPPER('Paste SD Data'!E831))</f>
        <v/>
      </c>
      <c r="F834" s="27" t="str">
        <f>IF('Paste SD Data'!G831="","",UPPER('Paste SD Data'!G831))</f>
        <v/>
      </c>
      <c r="G834" s="27" t="str">
        <f>IF('Paste SD Data'!H831="","",UPPER('Paste SD Data'!H831))</f>
        <v/>
      </c>
      <c r="H834" s="26" t="str">
        <f>IF('Paste SD Data'!I831="","",IF('Paste SD Data'!I831="M","BOY","GIRL"))</f>
        <v/>
      </c>
      <c r="I834" s="28" t="str">
        <f>IF('Paste SD Data'!J831="","",'Paste SD Data'!J831)</f>
        <v/>
      </c>
      <c r="J834" s="34">
        <f t="shared" si="12"/>
        <v>1260</v>
      </c>
      <c r="K834" s="29" t="str">
        <f>IF('Paste SD Data'!O831="","",'Paste SD Data'!O831)</f>
        <v/>
      </c>
    </row>
    <row r="835" spans="1:11" ht="30" customHeight="1" x14ac:dyDescent="0.25">
      <c r="A835" s="25" t="str">
        <f>IF(Table1[[#This Row],[Name of Student]]="","",ROWS($A$1:A831))</f>
        <v/>
      </c>
      <c r="B835" s="26" t="str">
        <f>IF('Paste SD Data'!A832="","",'Paste SD Data'!A832)</f>
        <v/>
      </c>
      <c r="C835" s="26" t="str">
        <f>IF('Paste SD Data'!B832="","",'Paste SD Data'!B832)</f>
        <v/>
      </c>
      <c r="D835" s="26" t="str">
        <f>IF('Paste SD Data'!C832="","",'Paste SD Data'!C832)</f>
        <v/>
      </c>
      <c r="E835" s="27" t="str">
        <f>IF('Paste SD Data'!E832="","",UPPER('Paste SD Data'!E832))</f>
        <v/>
      </c>
      <c r="F835" s="27" t="str">
        <f>IF('Paste SD Data'!G832="","",UPPER('Paste SD Data'!G832))</f>
        <v/>
      </c>
      <c r="G835" s="27" t="str">
        <f>IF('Paste SD Data'!H832="","",UPPER('Paste SD Data'!H832))</f>
        <v/>
      </c>
      <c r="H835" s="26" t="str">
        <f>IF('Paste SD Data'!I832="","",IF('Paste SD Data'!I832="M","BOY","GIRL"))</f>
        <v/>
      </c>
      <c r="I835" s="28" t="str">
        <f>IF('Paste SD Data'!J832="","",'Paste SD Data'!J832)</f>
        <v/>
      </c>
      <c r="J835" s="34">
        <f t="shared" si="12"/>
        <v>1261</v>
      </c>
      <c r="K835" s="29" t="str">
        <f>IF('Paste SD Data'!O832="","",'Paste SD Data'!O832)</f>
        <v/>
      </c>
    </row>
    <row r="836" spans="1:11" ht="30" customHeight="1" x14ac:dyDescent="0.25">
      <c r="A836" s="25" t="str">
        <f>IF(Table1[[#This Row],[Name of Student]]="","",ROWS($A$1:A832))</f>
        <v/>
      </c>
      <c r="B836" s="26" t="str">
        <f>IF('Paste SD Data'!A833="","",'Paste SD Data'!A833)</f>
        <v/>
      </c>
      <c r="C836" s="26" t="str">
        <f>IF('Paste SD Data'!B833="","",'Paste SD Data'!B833)</f>
        <v/>
      </c>
      <c r="D836" s="26" t="str">
        <f>IF('Paste SD Data'!C833="","",'Paste SD Data'!C833)</f>
        <v/>
      </c>
      <c r="E836" s="27" t="str">
        <f>IF('Paste SD Data'!E833="","",UPPER('Paste SD Data'!E833))</f>
        <v/>
      </c>
      <c r="F836" s="27" t="str">
        <f>IF('Paste SD Data'!G833="","",UPPER('Paste SD Data'!G833))</f>
        <v/>
      </c>
      <c r="G836" s="27" t="str">
        <f>IF('Paste SD Data'!H833="","",UPPER('Paste SD Data'!H833))</f>
        <v/>
      </c>
      <c r="H836" s="26" t="str">
        <f>IF('Paste SD Data'!I833="","",IF('Paste SD Data'!I833="M","BOY","GIRL"))</f>
        <v/>
      </c>
      <c r="I836" s="28" t="str">
        <f>IF('Paste SD Data'!J833="","",'Paste SD Data'!J833)</f>
        <v/>
      </c>
      <c r="J836" s="34">
        <f t="shared" si="12"/>
        <v>1262</v>
      </c>
      <c r="K836" s="29" t="str">
        <f>IF('Paste SD Data'!O833="","",'Paste SD Data'!O833)</f>
        <v/>
      </c>
    </row>
    <row r="837" spans="1:11" ht="30" customHeight="1" x14ac:dyDescent="0.25">
      <c r="A837" s="25" t="str">
        <f>IF(Table1[[#This Row],[Name of Student]]="","",ROWS($A$1:A833))</f>
        <v/>
      </c>
      <c r="B837" s="26" t="str">
        <f>IF('Paste SD Data'!A834="","",'Paste SD Data'!A834)</f>
        <v/>
      </c>
      <c r="C837" s="26" t="str">
        <f>IF('Paste SD Data'!B834="","",'Paste SD Data'!B834)</f>
        <v/>
      </c>
      <c r="D837" s="26" t="str">
        <f>IF('Paste SD Data'!C834="","",'Paste SD Data'!C834)</f>
        <v/>
      </c>
      <c r="E837" s="27" t="str">
        <f>IF('Paste SD Data'!E834="","",UPPER('Paste SD Data'!E834))</f>
        <v/>
      </c>
      <c r="F837" s="27" t="str">
        <f>IF('Paste SD Data'!G834="","",UPPER('Paste SD Data'!G834))</f>
        <v/>
      </c>
      <c r="G837" s="27" t="str">
        <f>IF('Paste SD Data'!H834="","",UPPER('Paste SD Data'!H834))</f>
        <v/>
      </c>
      <c r="H837" s="26" t="str">
        <f>IF('Paste SD Data'!I834="","",IF('Paste SD Data'!I834="M","BOY","GIRL"))</f>
        <v/>
      </c>
      <c r="I837" s="28" t="str">
        <f>IF('Paste SD Data'!J834="","",'Paste SD Data'!J834)</f>
        <v/>
      </c>
      <c r="J837" s="34">
        <f t="shared" si="12"/>
        <v>1263</v>
      </c>
      <c r="K837" s="29" t="str">
        <f>IF('Paste SD Data'!O834="","",'Paste SD Data'!O834)</f>
        <v/>
      </c>
    </row>
    <row r="838" spans="1:11" ht="30" customHeight="1" x14ac:dyDescent="0.25">
      <c r="A838" s="25" t="str">
        <f>IF(Table1[[#This Row],[Name of Student]]="","",ROWS($A$1:A834))</f>
        <v/>
      </c>
      <c r="B838" s="26" t="str">
        <f>IF('Paste SD Data'!A835="","",'Paste SD Data'!A835)</f>
        <v/>
      </c>
      <c r="C838" s="26" t="str">
        <f>IF('Paste SD Data'!B835="","",'Paste SD Data'!B835)</f>
        <v/>
      </c>
      <c r="D838" s="26" t="str">
        <f>IF('Paste SD Data'!C835="","",'Paste SD Data'!C835)</f>
        <v/>
      </c>
      <c r="E838" s="27" t="str">
        <f>IF('Paste SD Data'!E835="","",UPPER('Paste SD Data'!E835))</f>
        <v/>
      </c>
      <c r="F838" s="27" t="str">
        <f>IF('Paste SD Data'!G835="","",UPPER('Paste SD Data'!G835))</f>
        <v/>
      </c>
      <c r="G838" s="27" t="str">
        <f>IF('Paste SD Data'!H835="","",UPPER('Paste SD Data'!H835))</f>
        <v/>
      </c>
      <c r="H838" s="26" t="str">
        <f>IF('Paste SD Data'!I835="","",IF('Paste SD Data'!I835="M","BOY","GIRL"))</f>
        <v/>
      </c>
      <c r="I838" s="28" t="str">
        <f>IF('Paste SD Data'!J835="","",'Paste SD Data'!J835)</f>
        <v/>
      </c>
      <c r="J838" s="34">
        <f t="shared" si="12"/>
        <v>1264</v>
      </c>
      <c r="K838" s="29" t="str">
        <f>IF('Paste SD Data'!O835="","",'Paste SD Data'!O835)</f>
        <v/>
      </c>
    </row>
    <row r="839" spans="1:11" ht="30" customHeight="1" x14ac:dyDescent="0.25">
      <c r="A839" s="25" t="str">
        <f>IF(Table1[[#This Row],[Name of Student]]="","",ROWS($A$1:A835))</f>
        <v/>
      </c>
      <c r="B839" s="26" t="str">
        <f>IF('Paste SD Data'!A836="","",'Paste SD Data'!A836)</f>
        <v/>
      </c>
      <c r="C839" s="26" t="str">
        <f>IF('Paste SD Data'!B836="","",'Paste SD Data'!B836)</f>
        <v/>
      </c>
      <c r="D839" s="26" t="str">
        <f>IF('Paste SD Data'!C836="","",'Paste SD Data'!C836)</f>
        <v/>
      </c>
      <c r="E839" s="27" t="str">
        <f>IF('Paste SD Data'!E836="","",UPPER('Paste SD Data'!E836))</f>
        <v/>
      </c>
      <c r="F839" s="27" t="str">
        <f>IF('Paste SD Data'!G836="","",UPPER('Paste SD Data'!G836))</f>
        <v/>
      </c>
      <c r="G839" s="27" t="str">
        <f>IF('Paste SD Data'!H836="","",UPPER('Paste SD Data'!H836))</f>
        <v/>
      </c>
      <c r="H839" s="26" t="str">
        <f>IF('Paste SD Data'!I836="","",IF('Paste SD Data'!I836="M","BOY","GIRL"))</f>
        <v/>
      </c>
      <c r="I839" s="28" t="str">
        <f>IF('Paste SD Data'!J836="","",'Paste SD Data'!J836)</f>
        <v/>
      </c>
      <c r="J839" s="34">
        <f t="shared" ref="J839:J902" si="13">J838+1</f>
        <v>1265</v>
      </c>
      <c r="K839" s="29" t="str">
        <f>IF('Paste SD Data'!O836="","",'Paste SD Data'!O836)</f>
        <v/>
      </c>
    </row>
    <row r="840" spans="1:11" ht="30" customHeight="1" x14ac:dyDescent="0.25">
      <c r="A840" s="25" t="str">
        <f>IF(Table1[[#This Row],[Name of Student]]="","",ROWS($A$1:A836))</f>
        <v/>
      </c>
      <c r="B840" s="26" t="str">
        <f>IF('Paste SD Data'!A837="","",'Paste SD Data'!A837)</f>
        <v/>
      </c>
      <c r="C840" s="26" t="str">
        <f>IF('Paste SD Data'!B837="","",'Paste SD Data'!B837)</f>
        <v/>
      </c>
      <c r="D840" s="26" t="str">
        <f>IF('Paste SD Data'!C837="","",'Paste SD Data'!C837)</f>
        <v/>
      </c>
      <c r="E840" s="27" t="str">
        <f>IF('Paste SD Data'!E837="","",UPPER('Paste SD Data'!E837))</f>
        <v/>
      </c>
      <c r="F840" s="27" t="str">
        <f>IF('Paste SD Data'!G837="","",UPPER('Paste SD Data'!G837))</f>
        <v/>
      </c>
      <c r="G840" s="27" t="str">
        <f>IF('Paste SD Data'!H837="","",UPPER('Paste SD Data'!H837))</f>
        <v/>
      </c>
      <c r="H840" s="26" t="str">
        <f>IF('Paste SD Data'!I837="","",IF('Paste SD Data'!I837="M","BOY","GIRL"))</f>
        <v/>
      </c>
      <c r="I840" s="28" t="str">
        <f>IF('Paste SD Data'!J837="","",'Paste SD Data'!J837)</f>
        <v/>
      </c>
      <c r="J840" s="34">
        <f t="shared" si="13"/>
        <v>1266</v>
      </c>
      <c r="K840" s="29" t="str">
        <f>IF('Paste SD Data'!O837="","",'Paste SD Data'!O837)</f>
        <v/>
      </c>
    </row>
    <row r="841" spans="1:11" ht="30" customHeight="1" x14ac:dyDescent="0.25">
      <c r="A841" s="25" t="str">
        <f>IF(Table1[[#This Row],[Name of Student]]="","",ROWS($A$1:A837))</f>
        <v/>
      </c>
      <c r="B841" s="26" t="str">
        <f>IF('Paste SD Data'!A838="","",'Paste SD Data'!A838)</f>
        <v/>
      </c>
      <c r="C841" s="26" t="str">
        <f>IF('Paste SD Data'!B838="","",'Paste SD Data'!B838)</f>
        <v/>
      </c>
      <c r="D841" s="26" t="str">
        <f>IF('Paste SD Data'!C838="","",'Paste SD Data'!C838)</f>
        <v/>
      </c>
      <c r="E841" s="27" t="str">
        <f>IF('Paste SD Data'!E838="","",UPPER('Paste SD Data'!E838))</f>
        <v/>
      </c>
      <c r="F841" s="27" t="str">
        <f>IF('Paste SD Data'!G838="","",UPPER('Paste SD Data'!G838))</f>
        <v/>
      </c>
      <c r="G841" s="27" t="str">
        <f>IF('Paste SD Data'!H838="","",UPPER('Paste SD Data'!H838))</f>
        <v/>
      </c>
      <c r="H841" s="26" t="str">
        <f>IF('Paste SD Data'!I838="","",IF('Paste SD Data'!I838="M","BOY","GIRL"))</f>
        <v/>
      </c>
      <c r="I841" s="28" t="str">
        <f>IF('Paste SD Data'!J838="","",'Paste SD Data'!J838)</f>
        <v/>
      </c>
      <c r="J841" s="34">
        <f t="shared" si="13"/>
        <v>1267</v>
      </c>
      <c r="K841" s="29" t="str">
        <f>IF('Paste SD Data'!O838="","",'Paste SD Data'!O838)</f>
        <v/>
      </c>
    </row>
    <row r="842" spans="1:11" ht="30" customHeight="1" x14ac:dyDescent="0.25">
      <c r="A842" s="25" t="str">
        <f>IF(Table1[[#This Row],[Name of Student]]="","",ROWS($A$1:A838))</f>
        <v/>
      </c>
      <c r="B842" s="26" t="str">
        <f>IF('Paste SD Data'!A839="","",'Paste SD Data'!A839)</f>
        <v/>
      </c>
      <c r="C842" s="26" t="str">
        <f>IF('Paste SD Data'!B839="","",'Paste SD Data'!B839)</f>
        <v/>
      </c>
      <c r="D842" s="26" t="str">
        <f>IF('Paste SD Data'!C839="","",'Paste SD Data'!C839)</f>
        <v/>
      </c>
      <c r="E842" s="27" t="str">
        <f>IF('Paste SD Data'!E839="","",UPPER('Paste SD Data'!E839))</f>
        <v/>
      </c>
      <c r="F842" s="27" t="str">
        <f>IF('Paste SD Data'!G839="","",UPPER('Paste SD Data'!G839))</f>
        <v/>
      </c>
      <c r="G842" s="27" t="str">
        <f>IF('Paste SD Data'!H839="","",UPPER('Paste SD Data'!H839))</f>
        <v/>
      </c>
      <c r="H842" s="26" t="str">
        <f>IF('Paste SD Data'!I839="","",IF('Paste SD Data'!I839="M","BOY","GIRL"))</f>
        <v/>
      </c>
      <c r="I842" s="28" t="str">
        <f>IF('Paste SD Data'!J839="","",'Paste SD Data'!J839)</f>
        <v/>
      </c>
      <c r="J842" s="34">
        <f t="shared" si="13"/>
        <v>1268</v>
      </c>
      <c r="K842" s="29" t="str">
        <f>IF('Paste SD Data'!O839="","",'Paste SD Data'!O839)</f>
        <v/>
      </c>
    </row>
    <row r="843" spans="1:11" ht="30" customHeight="1" x14ac:dyDescent="0.25">
      <c r="A843" s="25" t="str">
        <f>IF(Table1[[#This Row],[Name of Student]]="","",ROWS($A$1:A839))</f>
        <v/>
      </c>
      <c r="B843" s="26" t="str">
        <f>IF('Paste SD Data'!A840="","",'Paste SD Data'!A840)</f>
        <v/>
      </c>
      <c r="C843" s="26" t="str">
        <f>IF('Paste SD Data'!B840="","",'Paste SD Data'!B840)</f>
        <v/>
      </c>
      <c r="D843" s="26" t="str">
        <f>IF('Paste SD Data'!C840="","",'Paste SD Data'!C840)</f>
        <v/>
      </c>
      <c r="E843" s="27" t="str">
        <f>IF('Paste SD Data'!E840="","",UPPER('Paste SD Data'!E840))</f>
        <v/>
      </c>
      <c r="F843" s="27" t="str">
        <f>IF('Paste SD Data'!G840="","",UPPER('Paste SD Data'!G840))</f>
        <v/>
      </c>
      <c r="G843" s="27" t="str">
        <f>IF('Paste SD Data'!H840="","",UPPER('Paste SD Data'!H840))</f>
        <v/>
      </c>
      <c r="H843" s="26" t="str">
        <f>IF('Paste SD Data'!I840="","",IF('Paste SD Data'!I840="M","BOY","GIRL"))</f>
        <v/>
      </c>
      <c r="I843" s="28" t="str">
        <f>IF('Paste SD Data'!J840="","",'Paste SD Data'!J840)</f>
        <v/>
      </c>
      <c r="J843" s="34">
        <f t="shared" si="13"/>
        <v>1269</v>
      </c>
      <c r="K843" s="29" t="str">
        <f>IF('Paste SD Data'!O840="","",'Paste SD Data'!O840)</f>
        <v/>
      </c>
    </row>
    <row r="844" spans="1:11" ht="30" customHeight="1" x14ac:dyDescent="0.25">
      <c r="A844" s="25" t="str">
        <f>IF(Table1[[#This Row],[Name of Student]]="","",ROWS($A$1:A840))</f>
        <v/>
      </c>
      <c r="B844" s="26" t="str">
        <f>IF('Paste SD Data'!A841="","",'Paste SD Data'!A841)</f>
        <v/>
      </c>
      <c r="C844" s="26" t="str">
        <f>IF('Paste SD Data'!B841="","",'Paste SD Data'!B841)</f>
        <v/>
      </c>
      <c r="D844" s="26" t="str">
        <f>IF('Paste SD Data'!C841="","",'Paste SD Data'!C841)</f>
        <v/>
      </c>
      <c r="E844" s="27" t="str">
        <f>IF('Paste SD Data'!E841="","",UPPER('Paste SD Data'!E841))</f>
        <v/>
      </c>
      <c r="F844" s="27" t="str">
        <f>IF('Paste SD Data'!G841="","",UPPER('Paste SD Data'!G841))</f>
        <v/>
      </c>
      <c r="G844" s="27" t="str">
        <f>IF('Paste SD Data'!H841="","",UPPER('Paste SD Data'!H841))</f>
        <v/>
      </c>
      <c r="H844" s="26" t="str">
        <f>IF('Paste SD Data'!I841="","",IF('Paste SD Data'!I841="M","BOY","GIRL"))</f>
        <v/>
      </c>
      <c r="I844" s="28" t="str">
        <f>IF('Paste SD Data'!J841="","",'Paste SD Data'!J841)</f>
        <v/>
      </c>
      <c r="J844" s="34">
        <f t="shared" si="13"/>
        <v>1270</v>
      </c>
      <c r="K844" s="29" t="str">
        <f>IF('Paste SD Data'!O841="","",'Paste SD Data'!O841)</f>
        <v/>
      </c>
    </row>
    <row r="845" spans="1:11" ht="30" customHeight="1" x14ac:dyDescent="0.25">
      <c r="A845" s="25" t="str">
        <f>IF(Table1[[#This Row],[Name of Student]]="","",ROWS($A$1:A841))</f>
        <v/>
      </c>
      <c r="B845" s="26" t="str">
        <f>IF('Paste SD Data'!A842="","",'Paste SD Data'!A842)</f>
        <v/>
      </c>
      <c r="C845" s="26" t="str">
        <f>IF('Paste SD Data'!B842="","",'Paste SD Data'!B842)</f>
        <v/>
      </c>
      <c r="D845" s="26" t="str">
        <f>IF('Paste SD Data'!C842="","",'Paste SD Data'!C842)</f>
        <v/>
      </c>
      <c r="E845" s="27" t="str">
        <f>IF('Paste SD Data'!E842="","",UPPER('Paste SD Data'!E842))</f>
        <v/>
      </c>
      <c r="F845" s="27" t="str">
        <f>IF('Paste SD Data'!G842="","",UPPER('Paste SD Data'!G842))</f>
        <v/>
      </c>
      <c r="G845" s="27" t="str">
        <f>IF('Paste SD Data'!H842="","",UPPER('Paste SD Data'!H842))</f>
        <v/>
      </c>
      <c r="H845" s="26" t="str">
        <f>IF('Paste SD Data'!I842="","",IF('Paste SD Data'!I842="M","BOY","GIRL"))</f>
        <v/>
      </c>
      <c r="I845" s="28" t="str">
        <f>IF('Paste SD Data'!J842="","",'Paste SD Data'!J842)</f>
        <v/>
      </c>
      <c r="J845" s="34">
        <f t="shared" si="13"/>
        <v>1271</v>
      </c>
      <c r="K845" s="29" t="str">
        <f>IF('Paste SD Data'!O842="","",'Paste SD Data'!O842)</f>
        <v/>
      </c>
    </row>
    <row r="846" spans="1:11" ht="30" customHeight="1" x14ac:dyDescent="0.25">
      <c r="A846" s="25" t="str">
        <f>IF(Table1[[#This Row],[Name of Student]]="","",ROWS($A$1:A842))</f>
        <v/>
      </c>
      <c r="B846" s="26" t="str">
        <f>IF('Paste SD Data'!A843="","",'Paste SD Data'!A843)</f>
        <v/>
      </c>
      <c r="C846" s="26" t="str">
        <f>IF('Paste SD Data'!B843="","",'Paste SD Data'!B843)</f>
        <v/>
      </c>
      <c r="D846" s="26" t="str">
        <f>IF('Paste SD Data'!C843="","",'Paste SD Data'!C843)</f>
        <v/>
      </c>
      <c r="E846" s="27" t="str">
        <f>IF('Paste SD Data'!E843="","",UPPER('Paste SD Data'!E843))</f>
        <v/>
      </c>
      <c r="F846" s="27" t="str">
        <f>IF('Paste SD Data'!G843="","",UPPER('Paste SD Data'!G843))</f>
        <v/>
      </c>
      <c r="G846" s="27" t="str">
        <f>IF('Paste SD Data'!H843="","",UPPER('Paste SD Data'!H843))</f>
        <v/>
      </c>
      <c r="H846" s="26" t="str">
        <f>IF('Paste SD Data'!I843="","",IF('Paste SD Data'!I843="M","BOY","GIRL"))</f>
        <v/>
      </c>
      <c r="I846" s="28" t="str">
        <f>IF('Paste SD Data'!J843="","",'Paste SD Data'!J843)</f>
        <v/>
      </c>
      <c r="J846" s="34">
        <f t="shared" si="13"/>
        <v>1272</v>
      </c>
      <c r="K846" s="29" t="str">
        <f>IF('Paste SD Data'!O843="","",'Paste SD Data'!O843)</f>
        <v/>
      </c>
    </row>
    <row r="847" spans="1:11" ht="30" customHeight="1" x14ac:dyDescent="0.25">
      <c r="A847" s="25" t="str">
        <f>IF(Table1[[#This Row],[Name of Student]]="","",ROWS($A$1:A843))</f>
        <v/>
      </c>
      <c r="B847" s="26" t="str">
        <f>IF('Paste SD Data'!A844="","",'Paste SD Data'!A844)</f>
        <v/>
      </c>
      <c r="C847" s="26" t="str">
        <f>IF('Paste SD Data'!B844="","",'Paste SD Data'!B844)</f>
        <v/>
      </c>
      <c r="D847" s="26" t="str">
        <f>IF('Paste SD Data'!C844="","",'Paste SD Data'!C844)</f>
        <v/>
      </c>
      <c r="E847" s="27" t="str">
        <f>IF('Paste SD Data'!E844="","",UPPER('Paste SD Data'!E844))</f>
        <v/>
      </c>
      <c r="F847" s="27" t="str">
        <f>IF('Paste SD Data'!G844="","",UPPER('Paste SD Data'!G844))</f>
        <v/>
      </c>
      <c r="G847" s="27" t="str">
        <f>IF('Paste SD Data'!H844="","",UPPER('Paste SD Data'!H844))</f>
        <v/>
      </c>
      <c r="H847" s="26" t="str">
        <f>IF('Paste SD Data'!I844="","",IF('Paste SD Data'!I844="M","BOY","GIRL"))</f>
        <v/>
      </c>
      <c r="I847" s="28" t="str">
        <f>IF('Paste SD Data'!J844="","",'Paste SD Data'!J844)</f>
        <v/>
      </c>
      <c r="J847" s="34">
        <f t="shared" si="13"/>
        <v>1273</v>
      </c>
      <c r="K847" s="29" t="str">
        <f>IF('Paste SD Data'!O844="","",'Paste SD Data'!O844)</f>
        <v/>
      </c>
    </row>
    <row r="848" spans="1:11" ht="30" customHeight="1" x14ac:dyDescent="0.25">
      <c r="A848" s="25" t="str">
        <f>IF(Table1[[#This Row],[Name of Student]]="","",ROWS($A$1:A844))</f>
        <v/>
      </c>
      <c r="B848" s="26" t="str">
        <f>IF('Paste SD Data'!A845="","",'Paste SD Data'!A845)</f>
        <v/>
      </c>
      <c r="C848" s="26" t="str">
        <f>IF('Paste SD Data'!B845="","",'Paste SD Data'!B845)</f>
        <v/>
      </c>
      <c r="D848" s="26" t="str">
        <f>IF('Paste SD Data'!C845="","",'Paste SD Data'!C845)</f>
        <v/>
      </c>
      <c r="E848" s="27" t="str">
        <f>IF('Paste SD Data'!E845="","",UPPER('Paste SD Data'!E845))</f>
        <v/>
      </c>
      <c r="F848" s="27" t="str">
        <f>IF('Paste SD Data'!G845="","",UPPER('Paste SD Data'!G845))</f>
        <v/>
      </c>
      <c r="G848" s="27" t="str">
        <f>IF('Paste SD Data'!H845="","",UPPER('Paste SD Data'!H845))</f>
        <v/>
      </c>
      <c r="H848" s="26" t="str">
        <f>IF('Paste SD Data'!I845="","",IF('Paste SD Data'!I845="M","BOY","GIRL"))</f>
        <v/>
      </c>
      <c r="I848" s="28" t="str">
        <f>IF('Paste SD Data'!J845="","",'Paste SD Data'!J845)</f>
        <v/>
      </c>
      <c r="J848" s="34">
        <f t="shared" si="13"/>
        <v>1274</v>
      </c>
      <c r="K848" s="29" t="str">
        <f>IF('Paste SD Data'!O845="","",'Paste SD Data'!O845)</f>
        <v/>
      </c>
    </row>
    <row r="849" spans="1:11" ht="30" customHeight="1" x14ac:dyDescent="0.25">
      <c r="A849" s="25" t="str">
        <f>IF(Table1[[#This Row],[Name of Student]]="","",ROWS($A$1:A845))</f>
        <v/>
      </c>
      <c r="B849" s="26" t="str">
        <f>IF('Paste SD Data'!A846="","",'Paste SD Data'!A846)</f>
        <v/>
      </c>
      <c r="C849" s="26" t="str">
        <f>IF('Paste SD Data'!B846="","",'Paste SD Data'!B846)</f>
        <v/>
      </c>
      <c r="D849" s="26" t="str">
        <f>IF('Paste SD Data'!C846="","",'Paste SD Data'!C846)</f>
        <v/>
      </c>
      <c r="E849" s="27" t="str">
        <f>IF('Paste SD Data'!E846="","",UPPER('Paste SD Data'!E846))</f>
        <v/>
      </c>
      <c r="F849" s="27" t="str">
        <f>IF('Paste SD Data'!G846="","",UPPER('Paste SD Data'!G846))</f>
        <v/>
      </c>
      <c r="G849" s="27" t="str">
        <f>IF('Paste SD Data'!H846="","",UPPER('Paste SD Data'!H846))</f>
        <v/>
      </c>
      <c r="H849" s="26" t="str">
        <f>IF('Paste SD Data'!I846="","",IF('Paste SD Data'!I846="M","BOY","GIRL"))</f>
        <v/>
      </c>
      <c r="I849" s="28" t="str">
        <f>IF('Paste SD Data'!J846="","",'Paste SD Data'!J846)</f>
        <v/>
      </c>
      <c r="J849" s="34">
        <f t="shared" si="13"/>
        <v>1275</v>
      </c>
      <c r="K849" s="29" t="str">
        <f>IF('Paste SD Data'!O846="","",'Paste SD Data'!O846)</f>
        <v/>
      </c>
    </row>
    <row r="850" spans="1:11" ht="30" customHeight="1" x14ac:dyDescent="0.25">
      <c r="A850" s="25" t="str">
        <f>IF(Table1[[#This Row],[Name of Student]]="","",ROWS($A$1:A846))</f>
        <v/>
      </c>
      <c r="B850" s="26" t="str">
        <f>IF('Paste SD Data'!A847="","",'Paste SD Data'!A847)</f>
        <v/>
      </c>
      <c r="C850" s="26" t="str">
        <f>IF('Paste SD Data'!B847="","",'Paste SD Data'!B847)</f>
        <v/>
      </c>
      <c r="D850" s="26" t="str">
        <f>IF('Paste SD Data'!C847="","",'Paste SD Data'!C847)</f>
        <v/>
      </c>
      <c r="E850" s="27" t="str">
        <f>IF('Paste SD Data'!E847="","",UPPER('Paste SD Data'!E847))</f>
        <v/>
      </c>
      <c r="F850" s="27" t="str">
        <f>IF('Paste SD Data'!G847="","",UPPER('Paste SD Data'!G847))</f>
        <v/>
      </c>
      <c r="G850" s="27" t="str">
        <f>IF('Paste SD Data'!H847="","",UPPER('Paste SD Data'!H847))</f>
        <v/>
      </c>
      <c r="H850" s="26" t="str">
        <f>IF('Paste SD Data'!I847="","",IF('Paste SD Data'!I847="M","BOY","GIRL"))</f>
        <v/>
      </c>
      <c r="I850" s="28" t="str">
        <f>IF('Paste SD Data'!J847="","",'Paste SD Data'!J847)</f>
        <v/>
      </c>
      <c r="J850" s="34">
        <f t="shared" si="13"/>
        <v>1276</v>
      </c>
      <c r="K850" s="29" t="str">
        <f>IF('Paste SD Data'!O847="","",'Paste SD Data'!O847)</f>
        <v/>
      </c>
    </row>
    <row r="851" spans="1:11" ht="30" customHeight="1" x14ac:dyDescent="0.25">
      <c r="A851" s="25" t="str">
        <f>IF(Table1[[#This Row],[Name of Student]]="","",ROWS($A$1:A847))</f>
        <v/>
      </c>
      <c r="B851" s="26" t="str">
        <f>IF('Paste SD Data'!A848="","",'Paste SD Data'!A848)</f>
        <v/>
      </c>
      <c r="C851" s="26" t="str">
        <f>IF('Paste SD Data'!B848="","",'Paste SD Data'!B848)</f>
        <v/>
      </c>
      <c r="D851" s="26" t="str">
        <f>IF('Paste SD Data'!C848="","",'Paste SD Data'!C848)</f>
        <v/>
      </c>
      <c r="E851" s="27" t="str">
        <f>IF('Paste SD Data'!E848="","",UPPER('Paste SD Data'!E848))</f>
        <v/>
      </c>
      <c r="F851" s="27" t="str">
        <f>IF('Paste SD Data'!G848="","",UPPER('Paste SD Data'!G848))</f>
        <v/>
      </c>
      <c r="G851" s="27" t="str">
        <f>IF('Paste SD Data'!H848="","",UPPER('Paste SD Data'!H848))</f>
        <v/>
      </c>
      <c r="H851" s="26" t="str">
        <f>IF('Paste SD Data'!I848="","",IF('Paste SD Data'!I848="M","BOY","GIRL"))</f>
        <v/>
      </c>
      <c r="I851" s="28" t="str">
        <f>IF('Paste SD Data'!J848="","",'Paste SD Data'!J848)</f>
        <v/>
      </c>
      <c r="J851" s="34">
        <f t="shared" si="13"/>
        <v>1277</v>
      </c>
      <c r="K851" s="29" t="str">
        <f>IF('Paste SD Data'!O848="","",'Paste SD Data'!O848)</f>
        <v/>
      </c>
    </row>
    <row r="852" spans="1:11" ht="30" customHeight="1" x14ac:dyDescent="0.25">
      <c r="A852" s="25" t="str">
        <f>IF(Table1[[#This Row],[Name of Student]]="","",ROWS($A$1:A848))</f>
        <v/>
      </c>
      <c r="B852" s="26" t="str">
        <f>IF('Paste SD Data'!A849="","",'Paste SD Data'!A849)</f>
        <v/>
      </c>
      <c r="C852" s="26" t="str">
        <f>IF('Paste SD Data'!B849="","",'Paste SD Data'!B849)</f>
        <v/>
      </c>
      <c r="D852" s="26" t="str">
        <f>IF('Paste SD Data'!C849="","",'Paste SD Data'!C849)</f>
        <v/>
      </c>
      <c r="E852" s="27" t="str">
        <f>IF('Paste SD Data'!E849="","",UPPER('Paste SD Data'!E849))</f>
        <v/>
      </c>
      <c r="F852" s="27" t="str">
        <f>IF('Paste SD Data'!G849="","",UPPER('Paste SD Data'!G849))</f>
        <v/>
      </c>
      <c r="G852" s="27" t="str">
        <f>IF('Paste SD Data'!H849="","",UPPER('Paste SD Data'!H849))</f>
        <v/>
      </c>
      <c r="H852" s="26" t="str">
        <f>IF('Paste SD Data'!I849="","",IF('Paste SD Data'!I849="M","BOY","GIRL"))</f>
        <v/>
      </c>
      <c r="I852" s="28" t="str">
        <f>IF('Paste SD Data'!J849="","",'Paste SD Data'!J849)</f>
        <v/>
      </c>
      <c r="J852" s="34">
        <f t="shared" si="13"/>
        <v>1278</v>
      </c>
      <c r="K852" s="29" t="str">
        <f>IF('Paste SD Data'!O849="","",'Paste SD Data'!O849)</f>
        <v/>
      </c>
    </row>
    <row r="853" spans="1:11" ht="30" customHeight="1" x14ac:dyDescent="0.25">
      <c r="A853" s="25" t="str">
        <f>IF(Table1[[#This Row],[Name of Student]]="","",ROWS($A$1:A849))</f>
        <v/>
      </c>
      <c r="B853" s="26" t="str">
        <f>IF('Paste SD Data'!A850="","",'Paste SD Data'!A850)</f>
        <v/>
      </c>
      <c r="C853" s="26" t="str">
        <f>IF('Paste SD Data'!B850="","",'Paste SD Data'!B850)</f>
        <v/>
      </c>
      <c r="D853" s="26" t="str">
        <f>IF('Paste SD Data'!C850="","",'Paste SD Data'!C850)</f>
        <v/>
      </c>
      <c r="E853" s="27" t="str">
        <f>IF('Paste SD Data'!E850="","",UPPER('Paste SD Data'!E850))</f>
        <v/>
      </c>
      <c r="F853" s="27" t="str">
        <f>IF('Paste SD Data'!G850="","",UPPER('Paste SD Data'!G850))</f>
        <v/>
      </c>
      <c r="G853" s="27" t="str">
        <f>IF('Paste SD Data'!H850="","",UPPER('Paste SD Data'!H850))</f>
        <v/>
      </c>
      <c r="H853" s="26" t="str">
        <f>IF('Paste SD Data'!I850="","",IF('Paste SD Data'!I850="M","BOY","GIRL"))</f>
        <v/>
      </c>
      <c r="I853" s="28" t="str">
        <f>IF('Paste SD Data'!J850="","",'Paste SD Data'!J850)</f>
        <v/>
      </c>
      <c r="J853" s="34">
        <f t="shared" si="13"/>
        <v>1279</v>
      </c>
      <c r="K853" s="29" t="str">
        <f>IF('Paste SD Data'!O850="","",'Paste SD Data'!O850)</f>
        <v/>
      </c>
    </row>
    <row r="854" spans="1:11" ht="30" customHeight="1" x14ac:dyDescent="0.25">
      <c r="A854" s="25" t="str">
        <f>IF(Table1[[#This Row],[Name of Student]]="","",ROWS($A$1:A850))</f>
        <v/>
      </c>
      <c r="B854" s="26" t="str">
        <f>IF('Paste SD Data'!A851="","",'Paste SD Data'!A851)</f>
        <v/>
      </c>
      <c r="C854" s="26" t="str">
        <f>IF('Paste SD Data'!B851="","",'Paste SD Data'!B851)</f>
        <v/>
      </c>
      <c r="D854" s="26" t="str">
        <f>IF('Paste SD Data'!C851="","",'Paste SD Data'!C851)</f>
        <v/>
      </c>
      <c r="E854" s="27" t="str">
        <f>IF('Paste SD Data'!E851="","",UPPER('Paste SD Data'!E851))</f>
        <v/>
      </c>
      <c r="F854" s="27" t="str">
        <f>IF('Paste SD Data'!G851="","",UPPER('Paste SD Data'!G851))</f>
        <v/>
      </c>
      <c r="G854" s="27" t="str">
        <f>IF('Paste SD Data'!H851="","",UPPER('Paste SD Data'!H851))</f>
        <v/>
      </c>
      <c r="H854" s="26" t="str">
        <f>IF('Paste SD Data'!I851="","",IF('Paste SD Data'!I851="M","BOY","GIRL"))</f>
        <v/>
      </c>
      <c r="I854" s="28" t="str">
        <f>IF('Paste SD Data'!J851="","",'Paste SD Data'!J851)</f>
        <v/>
      </c>
      <c r="J854" s="34">
        <f t="shared" si="13"/>
        <v>1280</v>
      </c>
      <c r="K854" s="29" t="str">
        <f>IF('Paste SD Data'!O851="","",'Paste SD Data'!O851)</f>
        <v/>
      </c>
    </row>
    <row r="855" spans="1:11" ht="30" customHeight="1" x14ac:dyDescent="0.25">
      <c r="A855" s="25" t="str">
        <f>IF(Table1[[#This Row],[Name of Student]]="","",ROWS($A$1:A851))</f>
        <v/>
      </c>
      <c r="B855" s="26" t="str">
        <f>IF('Paste SD Data'!A852="","",'Paste SD Data'!A852)</f>
        <v/>
      </c>
      <c r="C855" s="26" t="str">
        <f>IF('Paste SD Data'!B852="","",'Paste SD Data'!B852)</f>
        <v/>
      </c>
      <c r="D855" s="26" t="str">
        <f>IF('Paste SD Data'!C852="","",'Paste SD Data'!C852)</f>
        <v/>
      </c>
      <c r="E855" s="27" t="str">
        <f>IF('Paste SD Data'!E852="","",UPPER('Paste SD Data'!E852))</f>
        <v/>
      </c>
      <c r="F855" s="27" t="str">
        <f>IF('Paste SD Data'!G852="","",UPPER('Paste SD Data'!G852))</f>
        <v/>
      </c>
      <c r="G855" s="27" t="str">
        <f>IF('Paste SD Data'!H852="","",UPPER('Paste SD Data'!H852))</f>
        <v/>
      </c>
      <c r="H855" s="26" t="str">
        <f>IF('Paste SD Data'!I852="","",IF('Paste SD Data'!I852="M","BOY","GIRL"))</f>
        <v/>
      </c>
      <c r="I855" s="28" t="str">
        <f>IF('Paste SD Data'!J852="","",'Paste SD Data'!J852)</f>
        <v/>
      </c>
      <c r="J855" s="34">
        <f t="shared" si="13"/>
        <v>1281</v>
      </c>
      <c r="K855" s="29" t="str">
        <f>IF('Paste SD Data'!O852="","",'Paste SD Data'!O852)</f>
        <v/>
      </c>
    </row>
    <row r="856" spans="1:11" ht="30" customHeight="1" x14ac:dyDescent="0.25">
      <c r="A856" s="25" t="str">
        <f>IF(Table1[[#This Row],[Name of Student]]="","",ROWS($A$1:A852))</f>
        <v/>
      </c>
      <c r="B856" s="26" t="str">
        <f>IF('Paste SD Data'!A853="","",'Paste SD Data'!A853)</f>
        <v/>
      </c>
      <c r="C856" s="26" t="str">
        <f>IF('Paste SD Data'!B853="","",'Paste SD Data'!B853)</f>
        <v/>
      </c>
      <c r="D856" s="26" t="str">
        <f>IF('Paste SD Data'!C853="","",'Paste SD Data'!C853)</f>
        <v/>
      </c>
      <c r="E856" s="27" t="str">
        <f>IF('Paste SD Data'!E853="","",UPPER('Paste SD Data'!E853))</f>
        <v/>
      </c>
      <c r="F856" s="27" t="str">
        <f>IF('Paste SD Data'!G853="","",UPPER('Paste SD Data'!G853))</f>
        <v/>
      </c>
      <c r="G856" s="27" t="str">
        <f>IF('Paste SD Data'!H853="","",UPPER('Paste SD Data'!H853))</f>
        <v/>
      </c>
      <c r="H856" s="26" t="str">
        <f>IF('Paste SD Data'!I853="","",IF('Paste SD Data'!I853="M","BOY","GIRL"))</f>
        <v/>
      </c>
      <c r="I856" s="28" t="str">
        <f>IF('Paste SD Data'!J853="","",'Paste SD Data'!J853)</f>
        <v/>
      </c>
      <c r="J856" s="34">
        <f t="shared" si="13"/>
        <v>1282</v>
      </c>
      <c r="K856" s="29" t="str">
        <f>IF('Paste SD Data'!O853="","",'Paste SD Data'!O853)</f>
        <v/>
      </c>
    </row>
    <row r="857" spans="1:11" ht="30" customHeight="1" x14ac:dyDescent="0.25">
      <c r="A857" s="25" t="str">
        <f>IF(Table1[[#This Row],[Name of Student]]="","",ROWS($A$1:A853))</f>
        <v/>
      </c>
      <c r="B857" s="26" t="str">
        <f>IF('Paste SD Data'!A854="","",'Paste SD Data'!A854)</f>
        <v/>
      </c>
      <c r="C857" s="26" t="str">
        <f>IF('Paste SD Data'!B854="","",'Paste SD Data'!B854)</f>
        <v/>
      </c>
      <c r="D857" s="26" t="str">
        <f>IF('Paste SD Data'!C854="","",'Paste SD Data'!C854)</f>
        <v/>
      </c>
      <c r="E857" s="27" t="str">
        <f>IF('Paste SD Data'!E854="","",UPPER('Paste SD Data'!E854))</f>
        <v/>
      </c>
      <c r="F857" s="27" t="str">
        <f>IF('Paste SD Data'!G854="","",UPPER('Paste SD Data'!G854))</f>
        <v/>
      </c>
      <c r="G857" s="27" t="str">
        <f>IF('Paste SD Data'!H854="","",UPPER('Paste SD Data'!H854))</f>
        <v/>
      </c>
      <c r="H857" s="26" t="str">
        <f>IF('Paste SD Data'!I854="","",IF('Paste SD Data'!I854="M","BOY","GIRL"))</f>
        <v/>
      </c>
      <c r="I857" s="28" t="str">
        <f>IF('Paste SD Data'!J854="","",'Paste SD Data'!J854)</f>
        <v/>
      </c>
      <c r="J857" s="34">
        <f t="shared" si="13"/>
        <v>1283</v>
      </c>
      <c r="K857" s="29" t="str">
        <f>IF('Paste SD Data'!O854="","",'Paste SD Data'!O854)</f>
        <v/>
      </c>
    </row>
    <row r="858" spans="1:11" ht="30" customHeight="1" x14ac:dyDescent="0.25">
      <c r="A858" s="25" t="str">
        <f>IF(Table1[[#This Row],[Name of Student]]="","",ROWS($A$1:A854))</f>
        <v/>
      </c>
      <c r="B858" s="26" t="str">
        <f>IF('Paste SD Data'!A855="","",'Paste SD Data'!A855)</f>
        <v/>
      </c>
      <c r="C858" s="26" t="str">
        <f>IF('Paste SD Data'!B855="","",'Paste SD Data'!B855)</f>
        <v/>
      </c>
      <c r="D858" s="26" t="str">
        <f>IF('Paste SD Data'!C855="","",'Paste SD Data'!C855)</f>
        <v/>
      </c>
      <c r="E858" s="27" t="str">
        <f>IF('Paste SD Data'!E855="","",UPPER('Paste SD Data'!E855))</f>
        <v/>
      </c>
      <c r="F858" s="27" t="str">
        <f>IF('Paste SD Data'!G855="","",UPPER('Paste SD Data'!G855))</f>
        <v/>
      </c>
      <c r="G858" s="27" t="str">
        <f>IF('Paste SD Data'!H855="","",UPPER('Paste SD Data'!H855))</f>
        <v/>
      </c>
      <c r="H858" s="26" t="str">
        <f>IF('Paste SD Data'!I855="","",IF('Paste SD Data'!I855="M","BOY","GIRL"))</f>
        <v/>
      </c>
      <c r="I858" s="28" t="str">
        <f>IF('Paste SD Data'!J855="","",'Paste SD Data'!J855)</f>
        <v/>
      </c>
      <c r="J858" s="34">
        <f t="shared" si="13"/>
        <v>1284</v>
      </c>
      <c r="K858" s="29" t="str">
        <f>IF('Paste SD Data'!O855="","",'Paste SD Data'!O855)</f>
        <v/>
      </c>
    </row>
    <row r="859" spans="1:11" ht="30" customHeight="1" x14ac:dyDescent="0.25">
      <c r="A859" s="25" t="str">
        <f>IF(Table1[[#This Row],[Name of Student]]="","",ROWS($A$1:A855))</f>
        <v/>
      </c>
      <c r="B859" s="26" t="str">
        <f>IF('Paste SD Data'!A856="","",'Paste SD Data'!A856)</f>
        <v/>
      </c>
      <c r="C859" s="26" t="str">
        <f>IF('Paste SD Data'!B856="","",'Paste SD Data'!B856)</f>
        <v/>
      </c>
      <c r="D859" s="26" t="str">
        <f>IF('Paste SD Data'!C856="","",'Paste SD Data'!C856)</f>
        <v/>
      </c>
      <c r="E859" s="27" t="str">
        <f>IF('Paste SD Data'!E856="","",UPPER('Paste SD Data'!E856))</f>
        <v/>
      </c>
      <c r="F859" s="27" t="str">
        <f>IF('Paste SD Data'!G856="","",UPPER('Paste SD Data'!G856))</f>
        <v/>
      </c>
      <c r="G859" s="27" t="str">
        <f>IF('Paste SD Data'!H856="","",UPPER('Paste SD Data'!H856))</f>
        <v/>
      </c>
      <c r="H859" s="26" t="str">
        <f>IF('Paste SD Data'!I856="","",IF('Paste SD Data'!I856="M","BOY","GIRL"))</f>
        <v/>
      </c>
      <c r="I859" s="28" t="str">
        <f>IF('Paste SD Data'!J856="","",'Paste SD Data'!J856)</f>
        <v/>
      </c>
      <c r="J859" s="34">
        <f t="shared" si="13"/>
        <v>1285</v>
      </c>
      <c r="K859" s="29" t="str">
        <f>IF('Paste SD Data'!O856="","",'Paste SD Data'!O856)</f>
        <v/>
      </c>
    </row>
    <row r="860" spans="1:11" ht="30" customHeight="1" x14ac:dyDescent="0.25">
      <c r="A860" s="25" t="str">
        <f>IF(Table1[[#This Row],[Name of Student]]="","",ROWS($A$1:A856))</f>
        <v/>
      </c>
      <c r="B860" s="26" t="str">
        <f>IF('Paste SD Data'!A857="","",'Paste SD Data'!A857)</f>
        <v/>
      </c>
      <c r="C860" s="26" t="str">
        <f>IF('Paste SD Data'!B857="","",'Paste SD Data'!B857)</f>
        <v/>
      </c>
      <c r="D860" s="26" t="str">
        <f>IF('Paste SD Data'!C857="","",'Paste SD Data'!C857)</f>
        <v/>
      </c>
      <c r="E860" s="27" t="str">
        <f>IF('Paste SD Data'!E857="","",UPPER('Paste SD Data'!E857))</f>
        <v/>
      </c>
      <c r="F860" s="27" t="str">
        <f>IF('Paste SD Data'!G857="","",UPPER('Paste SD Data'!G857))</f>
        <v/>
      </c>
      <c r="G860" s="27" t="str">
        <f>IF('Paste SD Data'!H857="","",UPPER('Paste SD Data'!H857))</f>
        <v/>
      </c>
      <c r="H860" s="26" t="str">
        <f>IF('Paste SD Data'!I857="","",IF('Paste SD Data'!I857="M","BOY","GIRL"))</f>
        <v/>
      </c>
      <c r="I860" s="28" t="str">
        <f>IF('Paste SD Data'!J857="","",'Paste SD Data'!J857)</f>
        <v/>
      </c>
      <c r="J860" s="34">
        <f t="shared" si="13"/>
        <v>1286</v>
      </c>
      <c r="K860" s="29" t="str">
        <f>IF('Paste SD Data'!O857="","",'Paste SD Data'!O857)</f>
        <v/>
      </c>
    </row>
    <row r="861" spans="1:11" ht="30" customHeight="1" x14ac:dyDescent="0.25">
      <c r="A861" s="25" t="str">
        <f>IF(Table1[[#This Row],[Name of Student]]="","",ROWS($A$1:A857))</f>
        <v/>
      </c>
      <c r="B861" s="26" t="str">
        <f>IF('Paste SD Data'!A858="","",'Paste SD Data'!A858)</f>
        <v/>
      </c>
      <c r="C861" s="26" t="str">
        <f>IF('Paste SD Data'!B858="","",'Paste SD Data'!B858)</f>
        <v/>
      </c>
      <c r="D861" s="26" t="str">
        <f>IF('Paste SD Data'!C858="","",'Paste SD Data'!C858)</f>
        <v/>
      </c>
      <c r="E861" s="27" t="str">
        <f>IF('Paste SD Data'!E858="","",UPPER('Paste SD Data'!E858))</f>
        <v/>
      </c>
      <c r="F861" s="27" t="str">
        <f>IF('Paste SD Data'!G858="","",UPPER('Paste SD Data'!G858))</f>
        <v/>
      </c>
      <c r="G861" s="27" t="str">
        <f>IF('Paste SD Data'!H858="","",UPPER('Paste SD Data'!H858))</f>
        <v/>
      </c>
      <c r="H861" s="26" t="str">
        <f>IF('Paste SD Data'!I858="","",IF('Paste SD Data'!I858="M","BOY","GIRL"))</f>
        <v/>
      </c>
      <c r="I861" s="28" t="str">
        <f>IF('Paste SD Data'!J858="","",'Paste SD Data'!J858)</f>
        <v/>
      </c>
      <c r="J861" s="34">
        <f t="shared" si="13"/>
        <v>1287</v>
      </c>
      <c r="K861" s="29" t="str">
        <f>IF('Paste SD Data'!O858="","",'Paste SD Data'!O858)</f>
        <v/>
      </c>
    </row>
    <row r="862" spans="1:11" ht="30" customHeight="1" x14ac:dyDescent="0.25">
      <c r="A862" s="25" t="str">
        <f>IF(Table1[[#This Row],[Name of Student]]="","",ROWS($A$1:A858))</f>
        <v/>
      </c>
      <c r="B862" s="26" t="str">
        <f>IF('Paste SD Data'!A859="","",'Paste SD Data'!A859)</f>
        <v/>
      </c>
      <c r="C862" s="26" t="str">
        <f>IF('Paste SD Data'!B859="","",'Paste SD Data'!B859)</f>
        <v/>
      </c>
      <c r="D862" s="26" t="str">
        <f>IF('Paste SD Data'!C859="","",'Paste SD Data'!C859)</f>
        <v/>
      </c>
      <c r="E862" s="27" t="str">
        <f>IF('Paste SD Data'!E859="","",UPPER('Paste SD Data'!E859))</f>
        <v/>
      </c>
      <c r="F862" s="27" t="str">
        <f>IF('Paste SD Data'!G859="","",UPPER('Paste SD Data'!G859))</f>
        <v/>
      </c>
      <c r="G862" s="27" t="str">
        <f>IF('Paste SD Data'!H859="","",UPPER('Paste SD Data'!H859))</f>
        <v/>
      </c>
      <c r="H862" s="26" t="str">
        <f>IF('Paste SD Data'!I859="","",IF('Paste SD Data'!I859="M","BOY","GIRL"))</f>
        <v/>
      </c>
      <c r="I862" s="28" t="str">
        <f>IF('Paste SD Data'!J859="","",'Paste SD Data'!J859)</f>
        <v/>
      </c>
      <c r="J862" s="34">
        <f t="shared" si="13"/>
        <v>1288</v>
      </c>
      <c r="K862" s="29" t="str">
        <f>IF('Paste SD Data'!O859="","",'Paste SD Data'!O859)</f>
        <v/>
      </c>
    </row>
    <row r="863" spans="1:11" ht="30" customHeight="1" x14ac:dyDescent="0.25">
      <c r="A863" s="25" t="str">
        <f>IF(Table1[[#This Row],[Name of Student]]="","",ROWS($A$1:A859))</f>
        <v/>
      </c>
      <c r="B863" s="26" t="str">
        <f>IF('Paste SD Data'!A860="","",'Paste SD Data'!A860)</f>
        <v/>
      </c>
      <c r="C863" s="26" t="str">
        <f>IF('Paste SD Data'!B860="","",'Paste SD Data'!B860)</f>
        <v/>
      </c>
      <c r="D863" s="26" t="str">
        <f>IF('Paste SD Data'!C860="","",'Paste SD Data'!C860)</f>
        <v/>
      </c>
      <c r="E863" s="27" t="str">
        <f>IF('Paste SD Data'!E860="","",UPPER('Paste SD Data'!E860))</f>
        <v/>
      </c>
      <c r="F863" s="27" t="str">
        <f>IF('Paste SD Data'!G860="","",UPPER('Paste SD Data'!G860))</f>
        <v/>
      </c>
      <c r="G863" s="27" t="str">
        <f>IF('Paste SD Data'!H860="","",UPPER('Paste SD Data'!H860))</f>
        <v/>
      </c>
      <c r="H863" s="26" t="str">
        <f>IF('Paste SD Data'!I860="","",IF('Paste SD Data'!I860="M","BOY","GIRL"))</f>
        <v/>
      </c>
      <c r="I863" s="28" t="str">
        <f>IF('Paste SD Data'!J860="","",'Paste SD Data'!J860)</f>
        <v/>
      </c>
      <c r="J863" s="34">
        <f t="shared" si="13"/>
        <v>1289</v>
      </c>
      <c r="K863" s="29" t="str">
        <f>IF('Paste SD Data'!O860="","",'Paste SD Data'!O860)</f>
        <v/>
      </c>
    </row>
    <row r="864" spans="1:11" ht="30" customHeight="1" x14ac:dyDescent="0.25">
      <c r="A864" s="25" t="str">
        <f>IF(Table1[[#This Row],[Name of Student]]="","",ROWS($A$1:A860))</f>
        <v/>
      </c>
      <c r="B864" s="26" t="str">
        <f>IF('Paste SD Data'!A861="","",'Paste SD Data'!A861)</f>
        <v/>
      </c>
      <c r="C864" s="26" t="str">
        <f>IF('Paste SD Data'!B861="","",'Paste SD Data'!B861)</f>
        <v/>
      </c>
      <c r="D864" s="26" t="str">
        <f>IF('Paste SD Data'!C861="","",'Paste SD Data'!C861)</f>
        <v/>
      </c>
      <c r="E864" s="27" t="str">
        <f>IF('Paste SD Data'!E861="","",UPPER('Paste SD Data'!E861))</f>
        <v/>
      </c>
      <c r="F864" s="27" t="str">
        <f>IF('Paste SD Data'!G861="","",UPPER('Paste SD Data'!G861))</f>
        <v/>
      </c>
      <c r="G864" s="27" t="str">
        <f>IF('Paste SD Data'!H861="","",UPPER('Paste SD Data'!H861))</f>
        <v/>
      </c>
      <c r="H864" s="26" t="str">
        <f>IF('Paste SD Data'!I861="","",IF('Paste SD Data'!I861="M","BOY","GIRL"))</f>
        <v/>
      </c>
      <c r="I864" s="28" t="str">
        <f>IF('Paste SD Data'!J861="","",'Paste SD Data'!J861)</f>
        <v/>
      </c>
      <c r="J864" s="34">
        <f t="shared" si="13"/>
        <v>1290</v>
      </c>
      <c r="K864" s="29" t="str">
        <f>IF('Paste SD Data'!O861="","",'Paste SD Data'!O861)</f>
        <v/>
      </c>
    </row>
    <row r="865" spans="1:11" ht="30" customHeight="1" x14ac:dyDescent="0.25">
      <c r="A865" s="25" t="str">
        <f>IF(Table1[[#This Row],[Name of Student]]="","",ROWS($A$1:A861))</f>
        <v/>
      </c>
      <c r="B865" s="26" t="str">
        <f>IF('Paste SD Data'!A862="","",'Paste SD Data'!A862)</f>
        <v/>
      </c>
      <c r="C865" s="26" t="str">
        <f>IF('Paste SD Data'!B862="","",'Paste SD Data'!B862)</f>
        <v/>
      </c>
      <c r="D865" s="26" t="str">
        <f>IF('Paste SD Data'!C862="","",'Paste SD Data'!C862)</f>
        <v/>
      </c>
      <c r="E865" s="27" t="str">
        <f>IF('Paste SD Data'!E862="","",UPPER('Paste SD Data'!E862))</f>
        <v/>
      </c>
      <c r="F865" s="27" t="str">
        <f>IF('Paste SD Data'!G862="","",UPPER('Paste SD Data'!G862))</f>
        <v/>
      </c>
      <c r="G865" s="27" t="str">
        <f>IF('Paste SD Data'!H862="","",UPPER('Paste SD Data'!H862))</f>
        <v/>
      </c>
      <c r="H865" s="26" t="str">
        <f>IF('Paste SD Data'!I862="","",IF('Paste SD Data'!I862="M","BOY","GIRL"))</f>
        <v/>
      </c>
      <c r="I865" s="28" t="str">
        <f>IF('Paste SD Data'!J862="","",'Paste SD Data'!J862)</f>
        <v/>
      </c>
      <c r="J865" s="34">
        <f t="shared" si="13"/>
        <v>1291</v>
      </c>
      <c r="K865" s="29" t="str">
        <f>IF('Paste SD Data'!O862="","",'Paste SD Data'!O862)</f>
        <v/>
      </c>
    </row>
    <row r="866" spans="1:11" ht="30" customHeight="1" x14ac:dyDescent="0.25">
      <c r="A866" s="25" t="str">
        <f>IF(Table1[[#This Row],[Name of Student]]="","",ROWS($A$1:A862))</f>
        <v/>
      </c>
      <c r="B866" s="26" t="str">
        <f>IF('Paste SD Data'!A863="","",'Paste SD Data'!A863)</f>
        <v/>
      </c>
      <c r="C866" s="26" t="str">
        <f>IF('Paste SD Data'!B863="","",'Paste SD Data'!B863)</f>
        <v/>
      </c>
      <c r="D866" s="26" t="str">
        <f>IF('Paste SD Data'!C863="","",'Paste SD Data'!C863)</f>
        <v/>
      </c>
      <c r="E866" s="27" t="str">
        <f>IF('Paste SD Data'!E863="","",UPPER('Paste SD Data'!E863))</f>
        <v/>
      </c>
      <c r="F866" s="27" t="str">
        <f>IF('Paste SD Data'!G863="","",UPPER('Paste SD Data'!G863))</f>
        <v/>
      </c>
      <c r="G866" s="27" t="str">
        <f>IF('Paste SD Data'!H863="","",UPPER('Paste SD Data'!H863))</f>
        <v/>
      </c>
      <c r="H866" s="26" t="str">
        <f>IF('Paste SD Data'!I863="","",IF('Paste SD Data'!I863="M","BOY","GIRL"))</f>
        <v/>
      </c>
      <c r="I866" s="28" t="str">
        <f>IF('Paste SD Data'!J863="","",'Paste SD Data'!J863)</f>
        <v/>
      </c>
      <c r="J866" s="34">
        <f t="shared" si="13"/>
        <v>1292</v>
      </c>
      <c r="K866" s="29" t="str">
        <f>IF('Paste SD Data'!O863="","",'Paste SD Data'!O863)</f>
        <v/>
      </c>
    </row>
    <row r="867" spans="1:11" ht="30" customHeight="1" x14ac:dyDescent="0.25">
      <c r="A867" s="25" t="str">
        <f>IF(Table1[[#This Row],[Name of Student]]="","",ROWS($A$1:A863))</f>
        <v/>
      </c>
      <c r="B867" s="26" t="str">
        <f>IF('Paste SD Data'!A864="","",'Paste SD Data'!A864)</f>
        <v/>
      </c>
      <c r="C867" s="26" t="str">
        <f>IF('Paste SD Data'!B864="","",'Paste SD Data'!B864)</f>
        <v/>
      </c>
      <c r="D867" s="26" t="str">
        <f>IF('Paste SD Data'!C864="","",'Paste SD Data'!C864)</f>
        <v/>
      </c>
      <c r="E867" s="27" t="str">
        <f>IF('Paste SD Data'!E864="","",UPPER('Paste SD Data'!E864))</f>
        <v/>
      </c>
      <c r="F867" s="27" t="str">
        <f>IF('Paste SD Data'!G864="","",UPPER('Paste SD Data'!G864))</f>
        <v/>
      </c>
      <c r="G867" s="27" t="str">
        <f>IF('Paste SD Data'!H864="","",UPPER('Paste SD Data'!H864))</f>
        <v/>
      </c>
      <c r="H867" s="26" t="str">
        <f>IF('Paste SD Data'!I864="","",IF('Paste SD Data'!I864="M","BOY","GIRL"))</f>
        <v/>
      </c>
      <c r="I867" s="28" t="str">
        <f>IF('Paste SD Data'!J864="","",'Paste SD Data'!J864)</f>
        <v/>
      </c>
      <c r="J867" s="34">
        <f t="shared" si="13"/>
        <v>1293</v>
      </c>
      <c r="K867" s="29" t="str">
        <f>IF('Paste SD Data'!O864="","",'Paste SD Data'!O864)</f>
        <v/>
      </c>
    </row>
    <row r="868" spans="1:11" ht="30" customHeight="1" x14ac:dyDescent="0.25">
      <c r="A868" s="25" t="str">
        <f>IF(Table1[[#This Row],[Name of Student]]="","",ROWS($A$1:A864))</f>
        <v/>
      </c>
      <c r="B868" s="26" t="str">
        <f>IF('Paste SD Data'!A865="","",'Paste SD Data'!A865)</f>
        <v/>
      </c>
      <c r="C868" s="26" t="str">
        <f>IF('Paste SD Data'!B865="","",'Paste SD Data'!B865)</f>
        <v/>
      </c>
      <c r="D868" s="26" t="str">
        <f>IF('Paste SD Data'!C865="","",'Paste SD Data'!C865)</f>
        <v/>
      </c>
      <c r="E868" s="27" t="str">
        <f>IF('Paste SD Data'!E865="","",UPPER('Paste SD Data'!E865))</f>
        <v/>
      </c>
      <c r="F868" s="27" t="str">
        <f>IF('Paste SD Data'!G865="","",UPPER('Paste SD Data'!G865))</f>
        <v/>
      </c>
      <c r="G868" s="27" t="str">
        <f>IF('Paste SD Data'!H865="","",UPPER('Paste SD Data'!H865))</f>
        <v/>
      </c>
      <c r="H868" s="26" t="str">
        <f>IF('Paste SD Data'!I865="","",IF('Paste SD Data'!I865="M","BOY","GIRL"))</f>
        <v/>
      </c>
      <c r="I868" s="28" t="str">
        <f>IF('Paste SD Data'!J865="","",'Paste SD Data'!J865)</f>
        <v/>
      </c>
      <c r="J868" s="34">
        <f t="shared" si="13"/>
        <v>1294</v>
      </c>
      <c r="K868" s="29" t="str">
        <f>IF('Paste SD Data'!O865="","",'Paste SD Data'!O865)</f>
        <v/>
      </c>
    </row>
    <row r="869" spans="1:11" ht="30" customHeight="1" x14ac:dyDescent="0.25">
      <c r="A869" s="25" t="str">
        <f>IF(Table1[[#This Row],[Name of Student]]="","",ROWS($A$1:A865))</f>
        <v/>
      </c>
      <c r="B869" s="26" t="str">
        <f>IF('Paste SD Data'!A866="","",'Paste SD Data'!A866)</f>
        <v/>
      </c>
      <c r="C869" s="26" t="str">
        <f>IF('Paste SD Data'!B866="","",'Paste SD Data'!B866)</f>
        <v/>
      </c>
      <c r="D869" s="26" t="str">
        <f>IF('Paste SD Data'!C866="","",'Paste SD Data'!C866)</f>
        <v/>
      </c>
      <c r="E869" s="27" t="str">
        <f>IF('Paste SD Data'!E866="","",UPPER('Paste SD Data'!E866))</f>
        <v/>
      </c>
      <c r="F869" s="27" t="str">
        <f>IF('Paste SD Data'!G866="","",UPPER('Paste SD Data'!G866))</f>
        <v/>
      </c>
      <c r="G869" s="27" t="str">
        <f>IF('Paste SD Data'!H866="","",UPPER('Paste SD Data'!H866))</f>
        <v/>
      </c>
      <c r="H869" s="26" t="str">
        <f>IF('Paste SD Data'!I866="","",IF('Paste SD Data'!I866="M","BOY","GIRL"))</f>
        <v/>
      </c>
      <c r="I869" s="28" t="str">
        <f>IF('Paste SD Data'!J866="","",'Paste SD Data'!J866)</f>
        <v/>
      </c>
      <c r="J869" s="34">
        <f t="shared" si="13"/>
        <v>1295</v>
      </c>
      <c r="K869" s="29" t="str">
        <f>IF('Paste SD Data'!O866="","",'Paste SD Data'!O866)</f>
        <v/>
      </c>
    </row>
    <row r="870" spans="1:11" ht="30" customHeight="1" x14ac:dyDescent="0.25">
      <c r="A870" s="25" t="str">
        <f>IF(Table1[[#This Row],[Name of Student]]="","",ROWS($A$1:A866))</f>
        <v/>
      </c>
      <c r="B870" s="26" t="str">
        <f>IF('Paste SD Data'!A867="","",'Paste SD Data'!A867)</f>
        <v/>
      </c>
      <c r="C870" s="26" t="str">
        <f>IF('Paste SD Data'!B867="","",'Paste SD Data'!B867)</f>
        <v/>
      </c>
      <c r="D870" s="26" t="str">
        <f>IF('Paste SD Data'!C867="","",'Paste SD Data'!C867)</f>
        <v/>
      </c>
      <c r="E870" s="27" t="str">
        <f>IF('Paste SD Data'!E867="","",UPPER('Paste SD Data'!E867))</f>
        <v/>
      </c>
      <c r="F870" s="27" t="str">
        <f>IF('Paste SD Data'!G867="","",UPPER('Paste SD Data'!G867))</f>
        <v/>
      </c>
      <c r="G870" s="27" t="str">
        <f>IF('Paste SD Data'!H867="","",UPPER('Paste SD Data'!H867))</f>
        <v/>
      </c>
      <c r="H870" s="26" t="str">
        <f>IF('Paste SD Data'!I867="","",IF('Paste SD Data'!I867="M","BOY","GIRL"))</f>
        <v/>
      </c>
      <c r="I870" s="28" t="str">
        <f>IF('Paste SD Data'!J867="","",'Paste SD Data'!J867)</f>
        <v/>
      </c>
      <c r="J870" s="34">
        <f t="shared" si="13"/>
        <v>1296</v>
      </c>
      <c r="K870" s="29" t="str">
        <f>IF('Paste SD Data'!O867="","",'Paste SD Data'!O867)</f>
        <v/>
      </c>
    </row>
    <row r="871" spans="1:11" ht="30" customHeight="1" x14ac:dyDescent="0.25">
      <c r="A871" s="25" t="str">
        <f>IF(Table1[[#This Row],[Name of Student]]="","",ROWS($A$1:A867))</f>
        <v/>
      </c>
      <c r="B871" s="26" t="str">
        <f>IF('Paste SD Data'!A868="","",'Paste SD Data'!A868)</f>
        <v/>
      </c>
      <c r="C871" s="26" t="str">
        <f>IF('Paste SD Data'!B868="","",'Paste SD Data'!B868)</f>
        <v/>
      </c>
      <c r="D871" s="26" t="str">
        <f>IF('Paste SD Data'!C868="","",'Paste SD Data'!C868)</f>
        <v/>
      </c>
      <c r="E871" s="27" t="str">
        <f>IF('Paste SD Data'!E868="","",UPPER('Paste SD Data'!E868))</f>
        <v/>
      </c>
      <c r="F871" s="27" t="str">
        <f>IF('Paste SD Data'!G868="","",UPPER('Paste SD Data'!G868))</f>
        <v/>
      </c>
      <c r="G871" s="27" t="str">
        <f>IF('Paste SD Data'!H868="","",UPPER('Paste SD Data'!H868))</f>
        <v/>
      </c>
      <c r="H871" s="26" t="str">
        <f>IF('Paste SD Data'!I868="","",IF('Paste SD Data'!I868="M","BOY","GIRL"))</f>
        <v/>
      </c>
      <c r="I871" s="28" t="str">
        <f>IF('Paste SD Data'!J868="","",'Paste SD Data'!J868)</f>
        <v/>
      </c>
      <c r="J871" s="34">
        <f t="shared" si="13"/>
        <v>1297</v>
      </c>
      <c r="K871" s="29" t="str">
        <f>IF('Paste SD Data'!O868="","",'Paste SD Data'!O868)</f>
        <v/>
      </c>
    </row>
    <row r="872" spans="1:11" ht="30" customHeight="1" x14ac:dyDescent="0.25">
      <c r="A872" s="25" t="str">
        <f>IF(Table1[[#This Row],[Name of Student]]="","",ROWS($A$1:A868))</f>
        <v/>
      </c>
      <c r="B872" s="26" t="str">
        <f>IF('Paste SD Data'!A869="","",'Paste SD Data'!A869)</f>
        <v/>
      </c>
      <c r="C872" s="26" t="str">
        <f>IF('Paste SD Data'!B869="","",'Paste SD Data'!B869)</f>
        <v/>
      </c>
      <c r="D872" s="26" t="str">
        <f>IF('Paste SD Data'!C869="","",'Paste SD Data'!C869)</f>
        <v/>
      </c>
      <c r="E872" s="27" t="str">
        <f>IF('Paste SD Data'!E869="","",UPPER('Paste SD Data'!E869))</f>
        <v/>
      </c>
      <c r="F872" s="27" t="str">
        <f>IF('Paste SD Data'!G869="","",UPPER('Paste SD Data'!G869))</f>
        <v/>
      </c>
      <c r="G872" s="27" t="str">
        <f>IF('Paste SD Data'!H869="","",UPPER('Paste SD Data'!H869))</f>
        <v/>
      </c>
      <c r="H872" s="26" t="str">
        <f>IF('Paste SD Data'!I869="","",IF('Paste SD Data'!I869="M","BOY","GIRL"))</f>
        <v/>
      </c>
      <c r="I872" s="28" t="str">
        <f>IF('Paste SD Data'!J869="","",'Paste SD Data'!J869)</f>
        <v/>
      </c>
      <c r="J872" s="34">
        <f t="shared" si="13"/>
        <v>1298</v>
      </c>
      <c r="K872" s="29" t="str">
        <f>IF('Paste SD Data'!O869="","",'Paste SD Data'!O869)</f>
        <v/>
      </c>
    </row>
    <row r="873" spans="1:11" ht="30" customHeight="1" x14ac:dyDescent="0.25">
      <c r="A873" s="25" t="str">
        <f>IF(Table1[[#This Row],[Name of Student]]="","",ROWS($A$1:A869))</f>
        <v/>
      </c>
      <c r="B873" s="26" t="str">
        <f>IF('Paste SD Data'!A870="","",'Paste SD Data'!A870)</f>
        <v/>
      </c>
      <c r="C873" s="26" t="str">
        <f>IF('Paste SD Data'!B870="","",'Paste SD Data'!B870)</f>
        <v/>
      </c>
      <c r="D873" s="26" t="str">
        <f>IF('Paste SD Data'!C870="","",'Paste SD Data'!C870)</f>
        <v/>
      </c>
      <c r="E873" s="27" t="str">
        <f>IF('Paste SD Data'!E870="","",UPPER('Paste SD Data'!E870))</f>
        <v/>
      </c>
      <c r="F873" s="27" t="str">
        <f>IF('Paste SD Data'!G870="","",UPPER('Paste SD Data'!G870))</f>
        <v/>
      </c>
      <c r="G873" s="27" t="str">
        <f>IF('Paste SD Data'!H870="","",UPPER('Paste SD Data'!H870))</f>
        <v/>
      </c>
      <c r="H873" s="26" t="str">
        <f>IF('Paste SD Data'!I870="","",IF('Paste SD Data'!I870="M","BOY","GIRL"))</f>
        <v/>
      </c>
      <c r="I873" s="28" t="str">
        <f>IF('Paste SD Data'!J870="","",'Paste SD Data'!J870)</f>
        <v/>
      </c>
      <c r="J873" s="34">
        <f t="shared" si="13"/>
        <v>1299</v>
      </c>
      <c r="K873" s="29" t="str">
        <f>IF('Paste SD Data'!O870="","",'Paste SD Data'!O870)</f>
        <v/>
      </c>
    </row>
    <row r="874" spans="1:11" ht="30" customHeight="1" x14ac:dyDescent="0.25">
      <c r="A874" s="25" t="str">
        <f>IF(Table1[[#This Row],[Name of Student]]="","",ROWS($A$1:A870))</f>
        <v/>
      </c>
      <c r="B874" s="26" t="str">
        <f>IF('Paste SD Data'!A871="","",'Paste SD Data'!A871)</f>
        <v/>
      </c>
      <c r="C874" s="26" t="str">
        <f>IF('Paste SD Data'!B871="","",'Paste SD Data'!B871)</f>
        <v/>
      </c>
      <c r="D874" s="26" t="str">
        <f>IF('Paste SD Data'!C871="","",'Paste SD Data'!C871)</f>
        <v/>
      </c>
      <c r="E874" s="27" t="str">
        <f>IF('Paste SD Data'!E871="","",UPPER('Paste SD Data'!E871))</f>
        <v/>
      </c>
      <c r="F874" s="27" t="str">
        <f>IF('Paste SD Data'!G871="","",UPPER('Paste SD Data'!G871))</f>
        <v/>
      </c>
      <c r="G874" s="27" t="str">
        <f>IF('Paste SD Data'!H871="","",UPPER('Paste SD Data'!H871))</f>
        <v/>
      </c>
      <c r="H874" s="26" t="str">
        <f>IF('Paste SD Data'!I871="","",IF('Paste SD Data'!I871="M","BOY","GIRL"))</f>
        <v/>
      </c>
      <c r="I874" s="28" t="str">
        <f>IF('Paste SD Data'!J871="","",'Paste SD Data'!J871)</f>
        <v/>
      </c>
      <c r="J874" s="34">
        <f t="shared" si="13"/>
        <v>1300</v>
      </c>
      <c r="K874" s="29" t="str">
        <f>IF('Paste SD Data'!O871="","",'Paste SD Data'!O871)</f>
        <v/>
      </c>
    </row>
    <row r="875" spans="1:11" ht="30" customHeight="1" x14ac:dyDescent="0.25">
      <c r="A875" s="25" t="str">
        <f>IF(Table1[[#This Row],[Name of Student]]="","",ROWS($A$1:A871))</f>
        <v/>
      </c>
      <c r="B875" s="26" t="str">
        <f>IF('Paste SD Data'!A872="","",'Paste SD Data'!A872)</f>
        <v/>
      </c>
      <c r="C875" s="26" t="str">
        <f>IF('Paste SD Data'!B872="","",'Paste SD Data'!B872)</f>
        <v/>
      </c>
      <c r="D875" s="26" t="str">
        <f>IF('Paste SD Data'!C872="","",'Paste SD Data'!C872)</f>
        <v/>
      </c>
      <c r="E875" s="27" t="str">
        <f>IF('Paste SD Data'!E872="","",UPPER('Paste SD Data'!E872))</f>
        <v/>
      </c>
      <c r="F875" s="27" t="str">
        <f>IF('Paste SD Data'!G872="","",UPPER('Paste SD Data'!G872))</f>
        <v/>
      </c>
      <c r="G875" s="27" t="str">
        <f>IF('Paste SD Data'!H872="","",UPPER('Paste SD Data'!H872))</f>
        <v/>
      </c>
      <c r="H875" s="26" t="str">
        <f>IF('Paste SD Data'!I872="","",IF('Paste SD Data'!I872="M","BOY","GIRL"))</f>
        <v/>
      </c>
      <c r="I875" s="28" t="str">
        <f>IF('Paste SD Data'!J872="","",'Paste SD Data'!J872)</f>
        <v/>
      </c>
      <c r="J875" s="34">
        <f t="shared" si="13"/>
        <v>1301</v>
      </c>
      <c r="K875" s="29" t="str">
        <f>IF('Paste SD Data'!O872="","",'Paste SD Data'!O872)</f>
        <v/>
      </c>
    </row>
    <row r="876" spans="1:11" ht="30" customHeight="1" x14ac:dyDescent="0.25">
      <c r="A876" s="25" t="str">
        <f>IF(Table1[[#This Row],[Name of Student]]="","",ROWS($A$1:A872))</f>
        <v/>
      </c>
      <c r="B876" s="26" t="str">
        <f>IF('Paste SD Data'!A873="","",'Paste SD Data'!A873)</f>
        <v/>
      </c>
      <c r="C876" s="26" t="str">
        <f>IF('Paste SD Data'!B873="","",'Paste SD Data'!B873)</f>
        <v/>
      </c>
      <c r="D876" s="26" t="str">
        <f>IF('Paste SD Data'!C873="","",'Paste SD Data'!C873)</f>
        <v/>
      </c>
      <c r="E876" s="27" t="str">
        <f>IF('Paste SD Data'!E873="","",UPPER('Paste SD Data'!E873))</f>
        <v/>
      </c>
      <c r="F876" s="27" t="str">
        <f>IF('Paste SD Data'!G873="","",UPPER('Paste SD Data'!G873))</f>
        <v/>
      </c>
      <c r="G876" s="27" t="str">
        <f>IF('Paste SD Data'!H873="","",UPPER('Paste SD Data'!H873))</f>
        <v/>
      </c>
      <c r="H876" s="26" t="str">
        <f>IF('Paste SD Data'!I873="","",IF('Paste SD Data'!I873="M","BOY","GIRL"))</f>
        <v/>
      </c>
      <c r="I876" s="28" t="str">
        <f>IF('Paste SD Data'!J873="","",'Paste SD Data'!J873)</f>
        <v/>
      </c>
      <c r="J876" s="34">
        <f t="shared" si="13"/>
        <v>1302</v>
      </c>
      <c r="K876" s="29" t="str">
        <f>IF('Paste SD Data'!O873="","",'Paste SD Data'!O873)</f>
        <v/>
      </c>
    </row>
    <row r="877" spans="1:11" ht="30" customHeight="1" x14ac:dyDescent="0.25">
      <c r="A877" s="25" t="str">
        <f>IF(Table1[[#This Row],[Name of Student]]="","",ROWS($A$1:A873))</f>
        <v/>
      </c>
      <c r="B877" s="26" t="str">
        <f>IF('Paste SD Data'!A874="","",'Paste SD Data'!A874)</f>
        <v/>
      </c>
      <c r="C877" s="26" t="str">
        <f>IF('Paste SD Data'!B874="","",'Paste SD Data'!B874)</f>
        <v/>
      </c>
      <c r="D877" s="26" t="str">
        <f>IF('Paste SD Data'!C874="","",'Paste SD Data'!C874)</f>
        <v/>
      </c>
      <c r="E877" s="27" t="str">
        <f>IF('Paste SD Data'!E874="","",UPPER('Paste SD Data'!E874))</f>
        <v/>
      </c>
      <c r="F877" s="27" t="str">
        <f>IF('Paste SD Data'!G874="","",UPPER('Paste SD Data'!G874))</f>
        <v/>
      </c>
      <c r="G877" s="27" t="str">
        <f>IF('Paste SD Data'!H874="","",UPPER('Paste SD Data'!H874))</f>
        <v/>
      </c>
      <c r="H877" s="26" t="str">
        <f>IF('Paste SD Data'!I874="","",IF('Paste SD Data'!I874="M","BOY","GIRL"))</f>
        <v/>
      </c>
      <c r="I877" s="28" t="str">
        <f>IF('Paste SD Data'!J874="","",'Paste SD Data'!J874)</f>
        <v/>
      </c>
      <c r="J877" s="34">
        <f t="shared" si="13"/>
        <v>1303</v>
      </c>
      <c r="K877" s="29" t="str">
        <f>IF('Paste SD Data'!O874="","",'Paste SD Data'!O874)</f>
        <v/>
      </c>
    </row>
    <row r="878" spans="1:11" ht="30" customHeight="1" x14ac:dyDescent="0.25">
      <c r="A878" s="25" t="str">
        <f>IF(Table1[[#This Row],[Name of Student]]="","",ROWS($A$1:A874))</f>
        <v/>
      </c>
      <c r="B878" s="26" t="str">
        <f>IF('Paste SD Data'!A875="","",'Paste SD Data'!A875)</f>
        <v/>
      </c>
      <c r="C878" s="26" t="str">
        <f>IF('Paste SD Data'!B875="","",'Paste SD Data'!B875)</f>
        <v/>
      </c>
      <c r="D878" s="26" t="str">
        <f>IF('Paste SD Data'!C875="","",'Paste SD Data'!C875)</f>
        <v/>
      </c>
      <c r="E878" s="27" t="str">
        <f>IF('Paste SD Data'!E875="","",UPPER('Paste SD Data'!E875))</f>
        <v/>
      </c>
      <c r="F878" s="27" t="str">
        <f>IF('Paste SD Data'!G875="","",UPPER('Paste SD Data'!G875))</f>
        <v/>
      </c>
      <c r="G878" s="27" t="str">
        <f>IF('Paste SD Data'!H875="","",UPPER('Paste SD Data'!H875))</f>
        <v/>
      </c>
      <c r="H878" s="26" t="str">
        <f>IF('Paste SD Data'!I875="","",IF('Paste SD Data'!I875="M","BOY","GIRL"))</f>
        <v/>
      </c>
      <c r="I878" s="28" t="str">
        <f>IF('Paste SD Data'!J875="","",'Paste SD Data'!J875)</f>
        <v/>
      </c>
      <c r="J878" s="34">
        <f t="shared" si="13"/>
        <v>1304</v>
      </c>
      <c r="K878" s="29" t="str">
        <f>IF('Paste SD Data'!O875="","",'Paste SD Data'!O875)</f>
        <v/>
      </c>
    </row>
    <row r="879" spans="1:11" ht="30" customHeight="1" x14ac:dyDescent="0.25">
      <c r="A879" s="25" t="str">
        <f>IF(Table1[[#This Row],[Name of Student]]="","",ROWS($A$1:A875))</f>
        <v/>
      </c>
      <c r="B879" s="26" t="str">
        <f>IF('Paste SD Data'!A876="","",'Paste SD Data'!A876)</f>
        <v/>
      </c>
      <c r="C879" s="26" t="str">
        <f>IF('Paste SD Data'!B876="","",'Paste SD Data'!B876)</f>
        <v/>
      </c>
      <c r="D879" s="26" t="str">
        <f>IF('Paste SD Data'!C876="","",'Paste SD Data'!C876)</f>
        <v/>
      </c>
      <c r="E879" s="27" t="str">
        <f>IF('Paste SD Data'!E876="","",UPPER('Paste SD Data'!E876))</f>
        <v/>
      </c>
      <c r="F879" s="27" t="str">
        <f>IF('Paste SD Data'!G876="","",UPPER('Paste SD Data'!G876))</f>
        <v/>
      </c>
      <c r="G879" s="27" t="str">
        <f>IF('Paste SD Data'!H876="","",UPPER('Paste SD Data'!H876))</f>
        <v/>
      </c>
      <c r="H879" s="26" t="str">
        <f>IF('Paste SD Data'!I876="","",IF('Paste SD Data'!I876="M","BOY","GIRL"))</f>
        <v/>
      </c>
      <c r="I879" s="28" t="str">
        <f>IF('Paste SD Data'!J876="","",'Paste SD Data'!J876)</f>
        <v/>
      </c>
      <c r="J879" s="34">
        <f t="shared" si="13"/>
        <v>1305</v>
      </c>
      <c r="K879" s="29" t="str">
        <f>IF('Paste SD Data'!O876="","",'Paste SD Data'!O876)</f>
        <v/>
      </c>
    </row>
    <row r="880" spans="1:11" ht="30" customHeight="1" x14ac:dyDescent="0.25">
      <c r="A880" s="25" t="str">
        <f>IF(Table1[[#This Row],[Name of Student]]="","",ROWS($A$1:A876))</f>
        <v/>
      </c>
      <c r="B880" s="26" t="str">
        <f>IF('Paste SD Data'!A877="","",'Paste SD Data'!A877)</f>
        <v/>
      </c>
      <c r="C880" s="26" t="str">
        <f>IF('Paste SD Data'!B877="","",'Paste SD Data'!B877)</f>
        <v/>
      </c>
      <c r="D880" s="26" t="str">
        <f>IF('Paste SD Data'!C877="","",'Paste SD Data'!C877)</f>
        <v/>
      </c>
      <c r="E880" s="27" t="str">
        <f>IF('Paste SD Data'!E877="","",UPPER('Paste SD Data'!E877))</f>
        <v/>
      </c>
      <c r="F880" s="27" t="str">
        <f>IF('Paste SD Data'!G877="","",UPPER('Paste SD Data'!G877))</f>
        <v/>
      </c>
      <c r="G880" s="27" t="str">
        <f>IF('Paste SD Data'!H877="","",UPPER('Paste SD Data'!H877))</f>
        <v/>
      </c>
      <c r="H880" s="26" t="str">
        <f>IF('Paste SD Data'!I877="","",IF('Paste SD Data'!I877="M","BOY","GIRL"))</f>
        <v/>
      </c>
      <c r="I880" s="28" t="str">
        <f>IF('Paste SD Data'!J877="","",'Paste SD Data'!J877)</f>
        <v/>
      </c>
      <c r="J880" s="34">
        <f t="shared" si="13"/>
        <v>1306</v>
      </c>
      <c r="K880" s="29" t="str">
        <f>IF('Paste SD Data'!O877="","",'Paste SD Data'!O877)</f>
        <v/>
      </c>
    </row>
    <row r="881" spans="1:11" ht="30" customHeight="1" x14ac:dyDescent="0.25">
      <c r="A881" s="25" t="str">
        <f>IF(Table1[[#This Row],[Name of Student]]="","",ROWS($A$1:A877))</f>
        <v/>
      </c>
      <c r="B881" s="26" t="str">
        <f>IF('Paste SD Data'!A878="","",'Paste SD Data'!A878)</f>
        <v/>
      </c>
      <c r="C881" s="26" t="str">
        <f>IF('Paste SD Data'!B878="","",'Paste SD Data'!B878)</f>
        <v/>
      </c>
      <c r="D881" s="26" t="str">
        <f>IF('Paste SD Data'!C878="","",'Paste SD Data'!C878)</f>
        <v/>
      </c>
      <c r="E881" s="27" t="str">
        <f>IF('Paste SD Data'!E878="","",UPPER('Paste SD Data'!E878))</f>
        <v/>
      </c>
      <c r="F881" s="27" t="str">
        <f>IF('Paste SD Data'!G878="","",UPPER('Paste SD Data'!G878))</f>
        <v/>
      </c>
      <c r="G881" s="27" t="str">
        <f>IF('Paste SD Data'!H878="","",UPPER('Paste SD Data'!H878))</f>
        <v/>
      </c>
      <c r="H881" s="26" t="str">
        <f>IF('Paste SD Data'!I878="","",IF('Paste SD Data'!I878="M","BOY","GIRL"))</f>
        <v/>
      </c>
      <c r="I881" s="28" t="str">
        <f>IF('Paste SD Data'!J878="","",'Paste SD Data'!J878)</f>
        <v/>
      </c>
      <c r="J881" s="34">
        <f t="shared" si="13"/>
        <v>1307</v>
      </c>
      <c r="K881" s="29" t="str">
        <f>IF('Paste SD Data'!O878="","",'Paste SD Data'!O878)</f>
        <v/>
      </c>
    </row>
    <row r="882" spans="1:11" ht="30" customHeight="1" x14ac:dyDescent="0.25">
      <c r="A882" s="25" t="str">
        <f>IF(Table1[[#This Row],[Name of Student]]="","",ROWS($A$1:A878))</f>
        <v/>
      </c>
      <c r="B882" s="26" t="str">
        <f>IF('Paste SD Data'!A879="","",'Paste SD Data'!A879)</f>
        <v/>
      </c>
      <c r="C882" s="26" t="str">
        <f>IF('Paste SD Data'!B879="","",'Paste SD Data'!B879)</f>
        <v/>
      </c>
      <c r="D882" s="26" t="str">
        <f>IF('Paste SD Data'!C879="","",'Paste SD Data'!C879)</f>
        <v/>
      </c>
      <c r="E882" s="27" t="str">
        <f>IF('Paste SD Data'!E879="","",UPPER('Paste SD Data'!E879))</f>
        <v/>
      </c>
      <c r="F882" s="27" t="str">
        <f>IF('Paste SD Data'!G879="","",UPPER('Paste SD Data'!G879))</f>
        <v/>
      </c>
      <c r="G882" s="27" t="str">
        <f>IF('Paste SD Data'!H879="","",UPPER('Paste SD Data'!H879))</f>
        <v/>
      </c>
      <c r="H882" s="26" t="str">
        <f>IF('Paste SD Data'!I879="","",IF('Paste SD Data'!I879="M","BOY","GIRL"))</f>
        <v/>
      </c>
      <c r="I882" s="28" t="str">
        <f>IF('Paste SD Data'!J879="","",'Paste SD Data'!J879)</f>
        <v/>
      </c>
      <c r="J882" s="34">
        <f t="shared" si="13"/>
        <v>1308</v>
      </c>
      <c r="K882" s="29" t="str">
        <f>IF('Paste SD Data'!O879="","",'Paste SD Data'!O879)</f>
        <v/>
      </c>
    </row>
    <row r="883" spans="1:11" ht="30" customHeight="1" x14ac:dyDescent="0.25">
      <c r="A883" s="25" t="str">
        <f>IF(Table1[[#This Row],[Name of Student]]="","",ROWS($A$1:A879))</f>
        <v/>
      </c>
      <c r="B883" s="26" t="str">
        <f>IF('Paste SD Data'!A880="","",'Paste SD Data'!A880)</f>
        <v/>
      </c>
      <c r="C883" s="26" t="str">
        <f>IF('Paste SD Data'!B880="","",'Paste SD Data'!B880)</f>
        <v/>
      </c>
      <c r="D883" s="26" t="str">
        <f>IF('Paste SD Data'!C880="","",'Paste SD Data'!C880)</f>
        <v/>
      </c>
      <c r="E883" s="27" t="str">
        <f>IF('Paste SD Data'!E880="","",UPPER('Paste SD Data'!E880))</f>
        <v/>
      </c>
      <c r="F883" s="27" t="str">
        <f>IF('Paste SD Data'!G880="","",UPPER('Paste SD Data'!G880))</f>
        <v/>
      </c>
      <c r="G883" s="27" t="str">
        <f>IF('Paste SD Data'!H880="","",UPPER('Paste SD Data'!H880))</f>
        <v/>
      </c>
      <c r="H883" s="26" t="str">
        <f>IF('Paste SD Data'!I880="","",IF('Paste SD Data'!I880="M","BOY","GIRL"))</f>
        <v/>
      </c>
      <c r="I883" s="28" t="str">
        <f>IF('Paste SD Data'!J880="","",'Paste SD Data'!J880)</f>
        <v/>
      </c>
      <c r="J883" s="34">
        <f t="shared" si="13"/>
        <v>1309</v>
      </c>
      <c r="K883" s="29" t="str">
        <f>IF('Paste SD Data'!O880="","",'Paste SD Data'!O880)</f>
        <v/>
      </c>
    </row>
    <row r="884" spans="1:11" ht="30" customHeight="1" x14ac:dyDescent="0.25">
      <c r="A884" s="25" t="str">
        <f>IF(Table1[[#This Row],[Name of Student]]="","",ROWS($A$1:A880))</f>
        <v/>
      </c>
      <c r="B884" s="26" t="str">
        <f>IF('Paste SD Data'!A881="","",'Paste SD Data'!A881)</f>
        <v/>
      </c>
      <c r="C884" s="26" t="str">
        <f>IF('Paste SD Data'!B881="","",'Paste SD Data'!B881)</f>
        <v/>
      </c>
      <c r="D884" s="26" t="str">
        <f>IF('Paste SD Data'!C881="","",'Paste SD Data'!C881)</f>
        <v/>
      </c>
      <c r="E884" s="27" t="str">
        <f>IF('Paste SD Data'!E881="","",UPPER('Paste SD Data'!E881))</f>
        <v/>
      </c>
      <c r="F884" s="27" t="str">
        <f>IF('Paste SD Data'!G881="","",UPPER('Paste SD Data'!G881))</f>
        <v/>
      </c>
      <c r="G884" s="27" t="str">
        <f>IF('Paste SD Data'!H881="","",UPPER('Paste SD Data'!H881))</f>
        <v/>
      </c>
      <c r="H884" s="26" t="str">
        <f>IF('Paste SD Data'!I881="","",IF('Paste SD Data'!I881="M","BOY","GIRL"))</f>
        <v/>
      </c>
      <c r="I884" s="28" t="str">
        <f>IF('Paste SD Data'!J881="","",'Paste SD Data'!J881)</f>
        <v/>
      </c>
      <c r="J884" s="34">
        <f t="shared" si="13"/>
        <v>1310</v>
      </c>
      <c r="K884" s="29" t="str">
        <f>IF('Paste SD Data'!O881="","",'Paste SD Data'!O881)</f>
        <v/>
      </c>
    </row>
    <row r="885" spans="1:11" ht="30" customHeight="1" x14ac:dyDescent="0.25">
      <c r="A885" s="25" t="str">
        <f>IF(Table1[[#This Row],[Name of Student]]="","",ROWS($A$1:A881))</f>
        <v/>
      </c>
      <c r="B885" s="26" t="str">
        <f>IF('Paste SD Data'!A882="","",'Paste SD Data'!A882)</f>
        <v/>
      </c>
      <c r="C885" s="26" t="str">
        <f>IF('Paste SD Data'!B882="","",'Paste SD Data'!B882)</f>
        <v/>
      </c>
      <c r="D885" s="26" t="str">
        <f>IF('Paste SD Data'!C882="","",'Paste SD Data'!C882)</f>
        <v/>
      </c>
      <c r="E885" s="27" t="str">
        <f>IF('Paste SD Data'!E882="","",UPPER('Paste SD Data'!E882))</f>
        <v/>
      </c>
      <c r="F885" s="27" t="str">
        <f>IF('Paste SD Data'!G882="","",UPPER('Paste SD Data'!G882))</f>
        <v/>
      </c>
      <c r="G885" s="27" t="str">
        <f>IF('Paste SD Data'!H882="","",UPPER('Paste SD Data'!H882))</f>
        <v/>
      </c>
      <c r="H885" s="26" t="str">
        <f>IF('Paste SD Data'!I882="","",IF('Paste SD Data'!I882="M","BOY","GIRL"))</f>
        <v/>
      </c>
      <c r="I885" s="28" t="str">
        <f>IF('Paste SD Data'!J882="","",'Paste SD Data'!J882)</f>
        <v/>
      </c>
      <c r="J885" s="34">
        <f t="shared" si="13"/>
        <v>1311</v>
      </c>
      <c r="K885" s="29" t="str">
        <f>IF('Paste SD Data'!O882="","",'Paste SD Data'!O882)</f>
        <v/>
      </c>
    </row>
    <row r="886" spans="1:11" ht="30" customHeight="1" x14ac:dyDescent="0.25">
      <c r="A886" s="25" t="str">
        <f>IF(Table1[[#This Row],[Name of Student]]="","",ROWS($A$1:A882))</f>
        <v/>
      </c>
      <c r="B886" s="26" t="str">
        <f>IF('Paste SD Data'!A883="","",'Paste SD Data'!A883)</f>
        <v/>
      </c>
      <c r="C886" s="26" t="str">
        <f>IF('Paste SD Data'!B883="","",'Paste SD Data'!B883)</f>
        <v/>
      </c>
      <c r="D886" s="26" t="str">
        <f>IF('Paste SD Data'!C883="","",'Paste SD Data'!C883)</f>
        <v/>
      </c>
      <c r="E886" s="27" t="str">
        <f>IF('Paste SD Data'!E883="","",UPPER('Paste SD Data'!E883))</f>
        <v/>
      </c>
      <c r="F886" s="27" t="str">
        <f>IF('Paste SD Data'!G883="","",UPPER('Paste SD Data'!G883))</f>
        <v/>
      </c>
      <c r="G886" s="27" t="str">
        <f>IF('Paste SD Data'!H883="","",UPPER('Paste SD Data'!H883))</f>
        <v/>
      </c>
      <c r="H886" s="26" t="str">
        <f>IF('Paste SD Data'!I883="","",IF('Paste SD Data'!I883="M","BOY","GIRL"))</f>
        <v/>
      </c>
      <c r="I886" s="28" t="str">
        <f>IF('Paste SD Data'!J883="","",'Paste SD Data'!J883)</f>
        <v/>
      </c>
      <c r="J886" s="34">
        <f t="shared" si="13"/>
        <v>1312</v>
      </c>
      <c r="K886" s="29" t="str">
        <f>IF('Paste SD Data'!O883="","",'Paste SD Data'!O883)</f>
        <v/>
      </c>
    </row>
    <row r="887" spans="1:11" ht="30" customHeight="1" x14ac:dyDescent="0.25">
      <c r="A887" s="25" t="str">
        <f>IF(Table1[[#This Row],[Name of Student]]="","",ROWS($A$1:A883))</f>
        <v/>
      </c>
      <c r="B887" s="26" t="str">
        <f>IF('Paste SD Data'!A884="","",'Paste SD Data'!A884)</f>
        <v/>
      </c>
      <c r="C887" s="26" t="str">
        <f>IF('Paste SD Data'!B884="","",'Paste SD Data'!B884)</f>
        <v/>
      </c>
      <c r="D887" s="26" t="str">
        <f>IF('Paste SD Data'!C884="","",'Paste SD Data'!C884)</f>
        <v/>
      </c>
      <c r="E887" s="27" t="str">
        <f>IF('Paste SD Data'!E884="","",UPPER('Paste SD Data'!E884))</f>
        <v/>
      </c>
      <c r="F887" s="27" t="str">
        <f>IF('Paste SD Data'!G884="","",UPPER('Paste SD Data'!G884))</f>
        <v/>
      </c>
      <c r="G887" s="27" t="str">
        <f>IF('Paste SD Data'!H884="","",UPPER('Paste SD Data'!H884))</f>
        <v/>
      </c>
      <c r="H887" s="26" t="str">
        <f>IF('Paste SD Data'!I884="","",IF('Paste SD Data'!I884="M","BOY","GIRL"))</f>
        <v/>
      </c>
      <c r="I887" s="28" t="str">
        <f>IF('Paste SD Data'!J884="","",'Paste SD Data'!J884)</f>
        <v/>
      </c>
      <c r="J887" s="34">
        <f t="shared" si="13"/>
        <v>1313</v>
      </c>
      <c r="K887" s="29" t="str">
        <f>IF('Paste SD Data'!O884="","",'Paste SD Data'!O884)</f>
        <v/>
      </c>
    </row>
    <row r="888" spans="1:11" ht="30" customHeight="1" x14ac:dyDescent="0.25">
      <c r="A888" s="25" t="str">
        <f>IF(Table1[[#This Row],[Name of Student]]="","",ROWS($A$1:A884))</f>
        <v/>
      </c>
      <c r="B888" s="26" t="str">
        <f>IF('Paste SD Data'!A885="","",'Paste SD Data'!A885)</f>
        <v/>
      </c>
      <c r="C888" s="26" t="str">
        <f>IF('Paste SD Data'!B885="","",'Paste SD Data'!B885)</f>
        <v/>
      </c>
      <c r="D888" s="26" t="str">
        <f>IF('Paste SD Data'!C885="","",'Paste SD Data'!C885)</f>
        <v/>
      </c>
      <c r="E888" s="27" t="str">
        <f>IF('Paste SD Data'!E885="","",UPPER('Paste SD Data'!E885))</f>
        <v/>
      </c>
      <c r="F888" s="27" t="str">
        <f>IF('Paste SD Data'!G885="","",UPPER('Paste SD Data'!G885))</f>
        <v/>
      </c>
      <c r="G888" s="27" t="str">
        <f>IF('Paste SD Data'!H885="","",UPPER('Paste SD Data'!H885))</f>
        <v/>
      </c>
      <c r="H888" s="26" t="str">
        <f>IF('Paste SD Data'!I885="","",IF('Paste SD Data'!I885="M","BOY","GIRL"))</f>
        <v/>
      </c>
      <c r="I888" s="28" t="str">
        <f>IF('Paste SD Data'!J885="","",'Paste SD Data'!J885)</f>
        <v/>
      </c>
      <c r="J888" s="34">
        <f t="shared" si="13"/>
        <v>1314</v>
      </c>
      <c r="K888" s="29" t="str">
        <f>IF('Paste SD Data'!O885="","",'Paste SD Data'!O885)</f>
        <v/>
      </c>
    </row>
    <row r="889" spans="1:11" ht="30" customHeight="1" x14ac:dyDescent="0.25">
      <c r="A889" s="25" t="str">
        <f>IF(Table1[[#This Row],[Name of Student]]="","",ROWS($A$1:A885))</f>
        <v/>
      </c>
      <c r="B889" s="26" t="str">
        <f>IF('Paste SD Data'!A886="","",'Paste SD Data'!A886)</f>
        <v/>
      </c>
      <c r="C889" s="26" t="str">
        <f>IF('Paste SD Data'!B886="","",'Paste SD Data'!B886)</f>
        <v/>
      </c>
      <c r="D889" s="26" t="str">
        <f>IF('Paste SD Data'!C886="","",'Paste SD Data'!C886)</f>
        <v/>
      </c>
      <c r="E889" s="27" t="str">
        <f>IF('Paste SD Data'!E886="","",UPPER('Paste SD Data'!E886))</f>
        <v/>
      </c>
      <c r="F889" s="27" t="str">
        <f>IF('Paste SD Data'!G886="","",UPPER('Paste SD Data'!G886))</f>
        <v/>
      </c>
      <c r="G889" s="27" t="str">
        <f>IF('Paste SD Data'!H886="","",UPPER('Paste SD Data'!H886))</f>
        <v/>
      </c>
      <c r="H889" s="26" t="str">
        <f>IF('Paste SD Data'!I886="","",IF('Paste SD Data'!I886="M","BOY","GIRL"))</f>
        <v/>
      </c>
      <c r="I889" s="28" t="str">
        <f>IF('Paste SD Data'!J886="","",'Paste SD Data'!J886)</f>
        <v/>
      </c>
      <c r="J889" s="34">
        <f t="shared" si="13"/>
        <v>1315</v>
      </c>
      <c r="K889" s="29" t="str">
        <f>IF('Paste SD Data'!O886="","",'Paste SD Data'!O886)</f>
        <v/>
      </c>
    </row>
    <row r="890" spans="1:11" ht="30" customHeight="1" x14ac:dyDescent="0.25">
      <c r="A890" s="25" t="str">
        <f>IF(Table1[[#This Row],[Name of Student]]="","",ROWS($A$1:A886))</f>
        <v/>
      </c>
      <c r="B890" s="26" t="str">
        <f>IF('Paste SD Data'!A887="","",'Paste SD Data'!A887)</f>
        <v/>
      </c>
      <c r="C890" s="26" t="str">
        <f>IF('Paste SD Data'!B887="","",'Paste SD Data'!B887)</f>
        <v/>
      </c>
      <c r="D890" s="26" t="str">
        <f>IF('Paste SD Data'!C887="","",'Paste SD Data'!C887)</f>
        <v/>
      </c>
      <c r="E890" s="27" t="str">
        <f>IF('Paste SD Data'!E887="","",UPPER('Paste SD Data'!E887))</f>
        <v/>
      </c>
      <c r="F890" s="27" t="str">
        <f>IF('Paste SD Data'!G887="","",UPPER('Paste SD Data'!G887))</f>
        <v/>
      </c>
      <c r="G890" s="27" t="str">
        <f>IF('Paste SD Data'!H887="","",UPPER('Paste SD Data'!H887))</f>
        <v/>
      </c>
      <c r="H890" s="26" t="str">
        <f>IF('Paste SD Data'!I887="","",IF('Paste SD Data'!I887="M","BOY","GIRL"))</f>
        <v/>
      </c>
      <c r="I890" s="28" t="str">
        <f>IF('Paste SD Data'!J887="","",'Paste SD Data'!J887)</f>
        <v/>
      </c>
      <c r="J890" s="34">
        <f t="shared" si="13"/>
        <v>1316</v>
      </c>
      <c r="K890" s="29" t="str">
        <f>IF('Paste SD Data'!O887="","",'Paste SD Data'!O887)</f>
        <v/>
      </c>
    </row>
    <row r="891" spans="1:11" ht="30" customHeight="1" x14ac:dyDescent="0.25">
      <c r="A891" s="25" t="str">
        <f>IF(Table1[[#This Row],[Name of Student]]="","",ROWS($A$1:A887))</f>
        <v/>
      </c>
      <c r="B891" s="26" t="str">
        <f>IF('Paste SD Data'!A888="","",'Paste SD Data'!A888)</f>
        <v/>
      </c>
      <c r="C891" s="26" t="str">
        <f>IF('Paste SD Data'!B888="","",'Paste SD Data'!B888)</f>
        <v/>
      </c>
      <c r="D891" s="26" t="str">
        <f>IF('Paste SD Data'!C888="","",'Paste SD Data'!C888)</f>
        <v/>
      </c>
      <c r="E891" s="27" t="str">
        <f>IF('Paste SD Data'!E888="","",UPPER('Paste SD Data'!E888))</f>
        <v/>
      </c>
      <c r="F891" s="27" t="str">
        <f>IF('Paste SD Data'!G888="","",UPPER('Paste SD Data'!G888))</f>
        <v/>
      </c>
      <c r="G891" s="27" t="str">
        <f>IF('Paste SD Data'!H888="","",UPPER('Paste SD Data'!H888))</f>
        <v/>
      </c>
      <c r="H891" s="26" t="str">
        <f>IF('Paste SD Data'!I888="","",IF('Paste SD Data'!I888="M","BOY","GIRL"))</f>
        <v/>
      </c>
      <c r="I891" s="28" t="str">
        <f>IF('Paste SD Data'!J888="","",'Paste SD Data'!J888)</f>
        <v/>
      </c>
      <c r="J891" s="34">
        <f t="shared" si="13"/>
        <v>1317</v>
      </c>
      <c r="K891" s="29" t="str">
        <f>IF('Paste SD Data'!O888="","",'Paste SD Data'!O888)</f>
        <v/>
      </c>
    </row>
    <row r="892" spans="1:11" ht="30" customHeight="1" x14ac:dyDescent="0.25">
      <c r="A892" s="25" t="str">
        <f>IF(Table1[[#This Row],[Name of Student]]="","",ROWS($A$1:A888))</f>
        <v/>
      </c>
      <c r="B892" s="26" t="str">
        <f>IF('Paste SD Data'!A889="","",'Paste SD Data'!A889)</f>
        <v/>
      </c>
      <c r="C892" s="26" t="str">
        <f>IF('Paste SD Data'!B889="","",'Paste SD Data'!B889)</f>
        <v/>
      </c>
      <c r="D892" s="26" t="str">
        <f>IF('Paste SD Data'!C889="","",'Paste SD Data'!C889)</f>
        <v/>
      </c>
      <c r="E892" s="27" t="str">
        <f>IF('Paste SD Data'!E889="","",UPPER('Paste SD Data'!E889))</f>
        <v/>
      </c>
      <c r="F892" s="27" t="str">
        <f>IF('Paste SD Data'!G889="","",UPPER('Paste SD Data'!G889))</f>
        <v/>
      </c>
      <c r="G892" s="27" t="str">
        <f>IF('Paste SD Data'!H889="","",UPPER('Paste SD Data'!H889))</f>
        <v/>
      </c>
      <c r="H892" s="26" t="str">
        <f>IF('Paste SD Data'!I889="","",IF('Paste SD Data'!I889="M","BOY","GIRL"))</f>
        <v/>
      </c>
      <c r="I892" s="28" t="str">
        <f>IF('Paste SD Data'!J889="","",'Paste SD Data'!J889)</f>
        <v/>
      </c>
      <c r="J892" s="34">
        <f t="shared" si="13"/>
        <v>1318</v>
      </c>
      <c r="K892" s="29" t="str">
        <f>IF('Paste SD Data'!O889="","",'Paste SD Data'!O889)</f>
        <v/>
      </c>
    </row>
    <row r="893" spans="1:11" ht="30" customHeight="1" x14ac:dyDescent="0.25">
      <c r="A893" s="25" t="str">
        <f>IF(Table1[[#This Row],[Name of Student]]="","",ROWS($A$1:A889))</f>
        <v/>
      </c>
      <c r="B893" s="26" t="str">
        <f>IF('Paste SD Data'!A890="","",'Paste SD Data'!A890)</f>
        <v/>
      </c>
      <c r="C893" s="26" t="str">
        <f>IF('Paste SD Data'!B890="","",'Paste SD Data'!B890)</f>
        <v/>
      </c>
      <c r="D893" s="26" t="str">
        <f>IF('Paste SD Data'!C890="","",'Paste SD Data'!C890)</f>
        <v/>
      </c>
      <c r="E893" s="27" t="str">
        <f>IF('Paste SD Data'!E890="","",UPPER('Paste SD Data'!E890))</f>
        <v/>
      </c>
      <c r="F893" s="27" t="str">
        <f>IF('Paste SD Data'!G890="","",UPPER('Paste SD Data'!G890))</f>
        <v/>
      </c>
      <c r="G893" s="27" t="str">
        <f>IF('Paste SD Data'!H890="","",UPPER('Paste SD Data'!H890))</f>
        <v/>
      </c>
      <c r="H893" s="26" t="str">
        <f>IF('Paste SD Data'!I890="","",IF('Paste SD Data'!I890="M","BOY","GIRL"))</f>
        <v/>
      </c>
      <c r="I893" s="28" t="str">
        <f>IF('Paste SD Data'!J890="","",'Paste SD Data'!J890)</f>
        <v/>
      </c>
      <c r="J893" s="34">
        <f t="shared" si="13"/>
        <v>1319</v>
      </c>
      <c r="K893" s="29" t="str">
        <f>IF('Paste SD Data'!O890="","",'Paste SD Data'!O890)</f>
        <v/>
      </c>
    </row>
    <row r="894" spans="1:11" ht="30" customHeight="1" x14ac:dyDescent="0.25">
      <c r="A894" s="25" t="str">
        <f>IF(Table1[[#This Row],[Name of Student]]="","",ROWS($A$1:A890))</f>
        <v/>
      </c>
      <c r="B894" s="26" t="str">
        <f>IF('Paste SD Data'!A891="","",'Paste SD Data'!A891)</f>
        <v/>
      </c>
      <c r="C894" s="26" t="str">
        <f>IF('Paste SD Data'!B891="","",'Paste SD Data'!B891)</f>
        <v/>
      </c>
      <c r="D894" s="26" t="str">
        <f>IF('Paste SD Data'!C891="","",'Paste SD Data'!C891)</f>
        <v/>
      </c>
      <c r="E894" s="27" t="str">
        <f>IF('Paste SD Data'!E891="","",UPPER('Paste SD Data'!E891))</f>
        <v/>
      </c>
      <c r="F894" s="27" t="str">
        <f>IF('Paste SD Data'!G891="","",UPPER('Paste SD Data'!G891))</f>
        <v/>
      </c>
      <c r="G894" s="27" t="str">
        <f>IF('Paste SD Data'!H891="","",UPPER('Paste SD Data'!H891))</f>
        <v/>
      </c>
      <c r="H894" s="26" t="str">
        <f>IF('Paste SD Data'!I891="","",IF('Paste SD Data'!I891="M","BOY","GIRL"))</f>
        <v/>
      </c>
      <c r="I894" s="28" t="str">
        <f>IF('Paste SD Data'!J891="","",'Paste SD Data'!J891)</f>
        <v/>
      </c>
      <c r="J894" s="34">
        <f t="shared" si="13"/>
        <v>1320</v>
      </c>
      <c r="K894" s="29" t="str">
        <f>IF('Paste SD Data'!O891="","",'Paste SD Data'!O891)</f>
        <v/>
      </c>
    </row>
    <row r="895" spans="1:11" ht="30" customHeight="1" x14ac:dyDescent="0.25">
      <c r="A895" s="25" t="str">
        <f>IF(Table1[[#This Row],[Name of Student]]="","",ROWS($A$1:A891))</f>
        <v/>
      </c>
      <c r="B895" s="26" t="str">
        <f>IF('Paste SD Data'!A892="","",'Paste SD Data'!A892)</f>
        <v/>
      </c>
      <c r="C895" s="26" t="str">
        <f>IF('Paste SD Data'!B892="","",'Paste SD Data'!B892)</f>
        <v/>
      </c>
      <c r="D895" s="26" t="str">
        <f>IF('Paste SD Data'!C892="","",'Paste SD Data'!C892)</f>
        <v/>
      </c>
      <c r="E895" s="27" t="str">
        <f>IF('Paste SD Data'!E892="","",UPPER('Paste SD Data'!E892))</f>
        <v/>
      </c>
      <c r="F895" s="27" t="str">
        <f>IF('Paste SD Data'!G892="","",UPPER('Paste SD Data'!G892))</f>
        <v/>
      </c>
      <c r="G895" s="27" t="str">
        <f>IF('Paste SD Data'!H892="","",UPPER('Paste SD Data'!H892))</f>
        <v/>
      </c>
      <c r="H895" s="26" t="str">
        <f>IF('Paste SD Data'!I892="","",IF('Paste SD Data'!I892="M","BOY","GIRL"))</f>
        <v/>
      </c>
      <c r="I895" s="28" t="str">
        <f>IF('Paste SD Data'!J892="","",'Paste SD Data'!J892)</f>
        <v/>
      </c>
      <c r="J895" s="34">
        <f t="shared" si="13"/>
        <v>1321</v>
      </c>
      <c r="K895" s="29" t="str">
        <f>IF('Paste SD Data'!O892="","",'Paste SD Data'!O892)</f>
        <v/>
      </c>
    </row>
    <row r="896" spans="1:11" ht="30" customHeight="1" x14ac:dyDescent="0.25">
      <c r="A896" s="25" t="str">
        <f>IF(Table1[[#This Row],[Name of Student]]="","",ROWS($A$1:A892))</f>
        <v/>
      </c>
      <c r="B896" s="26" t="str">
        <f>IF('Paste SD Data'!A893="","",'Paste SD Data'!A893)</f>
        <v/>
      </c>
      <c r="C896" s="26" t="str">
        <f>IF('Paste SD Data'!B893="","",'Paste SD Data'!B893)</f>
        <v/>
      </c>
      <c r="D896" s="26" t="str">
        <f>IF('Paste SD Data'!C893="","",'Paste SD Data'!C893)</f>
        <v/>
      </c>
      <c r="E896" s="27" t="str">
        <f>IF('Paste SD Data'!E893="","",UPPER('Paste SD Data'!E893))</f>
        <v/>
      </c>
      <c r="F896" s="27" t="str">
        <f>IF('Paste SD Data'!G893="","",UPPER('Paste SD Data'!G893))</f>
        <v/>
      </c>
      <c r="G896" s="27" t="str">
        <f>IF('Paste SD Data'!H893="","",UPPER('Paste SD Data'!H893))</f>
        <v/>
      </c>
      <c r="H896" s="26" t="str">
        <f>IF('Paste SD Data'!I893="","",IF('Paste SD Data'!I893="M","BOY","GIRL"))</f>
        <v/>
      </c>
      <c r="I896" s="28" t="str">
        <f>IF('Paste SD Data'!J893="","",'Paste SD Data'!J893)</f>
        <v/>
      </c>
      <c r="J896" s="34">
        <f t="shared" si="13"/>
        <v>1322</v>
      </c>
      <c r="K896" s="29" t="str">
        <f>IF('Paste SD Data'!O893="","",'Paste SD Data'!O893)</f>
        <v/>
      </c>
    </row>
    <row r="897" spans="1:11" ht="30" customHeight="1" x14ac:dyDescent="0.25">
      <c r="A897" s="25" t="str">
        <f>IF(Table1[[#This Row],[Name of Student]]="","",ROWS($A$1:A893))</f>
        <v/>
      </c>
      <c r="B897" s="26" t="str">
        <f>IF('Paste SD Data'!A894="","",'Paste SD Data'!A894)</f>
        <v/>
      </c>
      <c r="C897" s="26" t="str">
        <f>IF('Paste SD Data'!B894="","",'Paste SD Data'!B894)</f>
        <v/>
      </c>
      <c r="D897" s="26" t="str">
        <f>IF('Paste SD Data'!C894="","",'Paste SD Data'!C894)</f>
        <v/>
      </c>
      <c r="E897" s="27" t="str">
        <f>IF('Paste SD Data'!E894="","",UPPER('Paste SD Data'!E894))</f>
        <v/>
      </c>
      <c r="F897" s="27" t="str">
        <f>IF('Paste SD Data'!G894="","",UPPER('Paste SD Data'!G894))</f>
        <v/>
      </c>
      <c r="G897" s="27" t="str">
        <f>IF('Paste SD Data'!H894="","",UPPER('Paste SD Data'!H894))</f>
        <v/>
      </c>
      <c r="H897" s="26" t="str">
        <f>IF('Paste SD Data'!I894="","",IF('Paste SD Data'!I894="M","BOY","GIRL"))</f>
        <v/>
      </c>
      <c r="I897" s="28" t="str">
        <f>IF('Paste SD Data'!J894="","",'Paste SD Data'!J894)</f>
        <v/>
      </c>
      <c r="J897" s="34">
        <f t="shared" si="13"/>
        <v>1323</v>
      </c>
      <c r="K897" s="29" t="str">
        <f>IF('Paste SD Data'!O894="","",'Paste SD Data'!O894)</f>
        <v/>
      </c>
    </row>
    <row r="898" spans="1:11" ht="30" customHeight="1" x14ac:dyDescent="0.25">
      <c r="A898" s="25" t="str">
        <f>IF(Table1[[#This Row],[Name of Student]]="","",ROWS($A$1:A894))</f>
        <v/>
      </c>
      <c r="B898" s="26" t="str">
        <f>IF('Paste SD Data'!A895="","",'Paste SD Data'!A895)</f>
        <v/>
      </c>
      <c r="C898" s="26" t="str">
        <f>IF('Paste SD Data'!B895="","",'Paste SD Data'!B895)</f>
        <v/>
      </c>
      <c r="D898" s="26" t="str">
        <f>IF('Paste SD Data'!C895="","",'Paste SD Data'!C895)</f>
        <v/>
      </c>
      <c r="E898" s="27" t="str">
        <f>IF('Paste SD Data'!E895="","",UPPER('Paste SD Data'!E895))</f>
        <v/>
      </c>
      <c r="F898" s="27" t="str">
        <f>IF('Paste SD Data'!G895="","",UPPER('Paste SD Data'!G895))</f>
        <v/>
      </c>
      <c r="G898" s="27" t="str">
        <f>IF('Paste SD Data'!H895="","",UPPER('Paste SD Data'!H895))</f>
        <v/>
      </c>
      <c r="H898" s="26" t="str">
        <f>IF('Paste SD Data'!I895="","",IF('Paste SD Data'!I895="M","BOY","GIRL"))</f>
        <v/>
      </c>
      <c r="I898" s="28" t="str">
        <f>IF('Paste SD Data'!J895="","",'Paste SD Data'!J895)</f>
        <v/>
      </c>
      <c r="J898" s="34">
        <f t="shared" si="13"/>
        <v>1324</v>
      </c>
      <c r="K898" s="29" t="str">
        <f>IF('Paste SD Data'!O895="","",'Paste SD Data'!O895)</f>
        <v/>
      </c>
    </row>
    <row r="899" spans="1:11" ht="30" customHeight="1" x14ac:dyDescent="0.25">
      <c r="A899" s="25" t="str">
        <f>IF(Table1[[#This Row],[Name of Student]]="","",ROWS($A$1:A895))</f>
        <v/>
      </c>
      <c r="B899" s="26" t="str">
        <f>IF('Paste SD Data'!A896="","",'Paste SD Data'!A896)</f>
        <v/>
      </c>
      <c r="C899" s="26" t="str">
        <f>IF('Paste SD Data'!B896="","",'Paste SD Data'!B896)</f>
        <v/>
      </c>
      <c r="D899" s="26" t="str">
        <f>IF('Paste SD Data'!C896="","",'Paste SD Data'!C896)</f>
        <v/>
      </c>
      <c r="E899" s="27" t="str">
        <f>IF('Paste SD Data'!E896="","",UPPER('Paste SD Data'!E896))</f>
        <v/>
      </c>
      <c r="F899" s="27" t="str">
        <f>IF('Paste SD Data'!G896="","",UPPER('Paste SD Data'!G896))</f>
        <v/>
      </c>
      <c r="G899" s="27" t="str">
        <f>IF('Paste SD Data'!H896="","",UPPER('Paste SD Data'!H896))</f>
        <v/>
      </c>
      <c r="H899" s="26" t="str">
        <f>IF('Paste SD Data'!I896="","",IF('Paste SD Data'!I896="M","BOY","GIRL"))</f>
        <v/>
      </c>
      <c r="I899" s="28" t="str">
        <f>IF('Paste SD Data'!J896="","",'Paste SD Data'!J896)</f>
        <v/>
      </c>
      <c r="J899" s="34">
        <f t="shared" si="13"/>
        <v>1325</v>
      </c>
      <c r="K899" s="29" t="str">
        <f>IF('Paste SD Data'!O896="","",'Paste SD Data'!O896)</f>
        <v/>
      </c>
    </row>
    <row r="900" spans="1:11" ht="30" customHeight="1" x14ac:dyDescent="0.25">
      <c r="A900" s="25" t="str">
        <f>IF(Table1[[#This Row],[Name of Student]]="","",ROWS($A$1:A896))</f>
        <v/>
      </c>
      <c r="B900" s="26" t="str">
        <f>IF('Paste SD Data'!A897="","",'Paste SD Data'!A897)</f>
        <v/>
      </c>
      <c r="C900" s="26" t="str">
        <f>IF('Paste SD Data'!B897="","",'Paste SD Data'!B897)</f>
        <v/>
      </c>
      <c r="D900" s="26" t="str">
        <f>IF('Paste SD Data'!C897="","",'Paste SD Data'!C897)</f>
        <v/>
      </c>
      <c r="E900" s="27" t="str">
        <f>IF('Paste SD Data'!E897="","",UPPER('Paste SD Data'!E897))</f>
        <v/>
      </c>
      <c r="F900" s="27" t="str">
        <f>IF('Paste SD Data'!G897="","",UPPER('Paste SD Data'!G897))</f>
        <v/>
      </c>
      <c r="G900" s="27" t="str">
        <f>IF('Paste SD Data'!H897="","",UPPER('Paste SD Data'!H897))</f>
        <v/>
      </c>
      <c r="H900" s="26" t="str">
        <f>IF('Paste SD Data'!I897="","",IF('Paste SD Data'!I897="M","BOY","GIRL"))</f>
        <v/>
      </c>
      <c r="I900" s="28" t="str">
        <f>IF('Paste SD Data'!J897="","",'Paste SD Data'!J897)</f>
        <v/>
      </c>
      <c r="J900" s="34">
        <f t="shared" si="13"/>
        <v>1326</v>
      </c>
      <c r="K900" s="29" t="str">
        <f>IF('Paste SD Data'!O897="","",'Paste SD Data'!O897)</f>
        <v/>
      </c>
    </row>
    <row r="901" spans="1:11" ht="30" customHeight="1" x14ac:dyDescent="0.25">
      <c r="A901" s="25" t="str">
        <f>IF(Table1[[#This Row],[Name of Student]]="","",ROWS($A$1:A897))</f>
        <v/>
      </c>
      <c r="B901" s="26" t="str">
        <f>IF('Paste SD Data'!A898="","",'Paste SD Data'!A898)</f>
        <v/>
      </c>
      <c r="C901" s="26" t="str">
        <f>IF('Paste SD Data'!B898="","",'Paste SD Data'!B898)</f>
        <v/>
      </c>
      <c r="D901" s="26" t="str">
        <f>IF('Paste SD Data'!C898="","",'Paste SD Data'!C898)</f>
        <v/>
      </c>
      <c r="E901" s="27" t="str">
        <f>IF('Paste SD Data'!E898="","",UPPER('Paste SD Data'!E898))</f>
        <v/>
      </c>
      <c r="F901" s="27" t="str">
        <f>IF('Paste SD Data'!G898="","",UPPER('Paste SD Data'!G898))</f>
        <v/>
      </c>
      <c r="G901" s="27" t="str">
        <f>IF('Paste SD Data'!H898="","",UPPER('Paste SD Data'!H898))</f>
        <v/>
      </c>
      <c r="H901" s="26" t="str">
        <f>IF('Paste SD Data'!I898="","",IF('Paste SD Data'!I898="M","BOY","GIRL"))</f>
        <v/>
      </c>
      <c r="I901" s="28" t="str">
        <f>IF('Paste SD Data'!J898="","",'Paste SD Data'!J898)</f>
        <v/>
      </c>
      <c r="J901" s="34">
        <f t="shared" si="13"/>
        <v>1327</v>
      </c>
      <c r="K901" s="29" t="str">
        <f>IF('Paste SD Data'!O898="","",'Paste SD Data'!O898)</f>
        <v/>
      </c>
    </row>
    <row r="902" spans="1:11" ht="30" customHeight="1" x14ac:dyDescent="0.25">
      <c r="A902" s="25" t="str">
        <f>IF(Table1[[#This Row],[Name of Student]]="","",ROWS($A$1:A898))</f>
        <v/>
      </c>
      <c r="B902" s="26" t="str">
        <f>IF('Paste SD Data'!A899="","",'Paste SD Data'!A899)</f>
        <v/>
      </c>
      <c r="C902" s="26" t="str">
        <f>IF('Paste SD Data'!B899="","",'Paste SD Data'!B899)</f>
        <v/>
      </c>
      <c r="D902" s="26" t="str">
        <f>IF('Paste SD Data'!C899="","",'Paste SD Data'!C899)</f>
        <v/>
      </c>
      <c r="E902" s="27" t="str">
        <f>IF('Paste SD Data'!E899="","",UPPER('Paste SD Data'!E899))</f>
        <v/>
      </c>
      <c r="F902" s="27" t="str">
        <f>IF('Paste SD Data'!G899="","",UPPER('Paste SD Data'!G899))</f>
        <v/>
      </c>
      <c r="G902" s="27" t="str">
        <f>IF('Paste SD Data'!H899="","",UPPER('Paste SD Data'!H899))</f>
        <v/>
      </c>
      <c r="H902" s="26" t="str">
        <f>IF('Paste SD Data'!I899="","",IF('Paste SD Data'!I899="M","BOY","GIRL"))</f>
        <v/>
      </c>
      <c r="I902" s="28" t="str">
        <f>IF('Paste SD Data'!J899="","",'Paste SD Data'!J899)</f>
        <v/>
      </c>
      <c r="J902" s="34">
        <f t="shared" si="13"/>
        <v>1328</v>
      </c>
      <c r="K902" s="29" t="str">
        <f>IF('Paste SD Data'!O899="","",'Paste SD Data'!O899)</f>
        <v/>
      </c>
    </row>
    <row r="903" spans="1:11" ht="30" customHeight="1" x14ac:dyDescent="0.25">
      <c r="A903" s="25" t="str">
        <f>IF(Table1[[#This Row],[Name of Student]]="","",ROWS($A$1:A899))</f>
        <v/>
      </c>
      <c r="B903" s="26" t="str">
        <f>IF('Paste SD Data'!A900="","",'Paste SD Data'!A900)</f>
        <v/>
      </c>
      <c r="C903" s="26" t="str">
        <f>IF('Paste SD Data'!B900="","",'Paste SD Data'!B900)</f>
        <v/>
      </c>
      <c r="D903" s="26" t="str">
        <f>IF('Paste SD Data'!C900="","",'Paste SD Data'!C900)</f>
        <v/>
      </c>
      <c r="E903" s="27" t="str">
        <f>IF('Paste SD Data'!E900="","",UPPER('Paste SD Data'!E900))</f>
        <v/>
      </c>
      <c r="F903" s="27" t="str">
        <f>IF('Paste SD Data'!G900="","",UPPER('Paste SD Data'!G900))</f>
        <v/>
      </c>
      <c r="G903" s="27" t="str">
        <f>IF('Paste SD Data'!H900="","",UPPER('Paste SD Data'!H900))</f>
        <v/>
      </c>
      <c r="H903" s="26" t="str">
        <f>IF('Paste SD Data'!I900="","",IF('Paste SD Data'!I900="M","BOY","GIRL"))</f>
        <v/>
      </c>
      <c r="I903" s="28" t="str">
        <f>IF('Paste SD Data'!J900="","",'Paste SD Data'!J900)</f>
        <v/>
      </c>
      <c r="J903" s="34">
        <f t="shared" ref="J903:J966" si="14">J902+1</f>
        <v>1329</v>
      </c>
      <c r="K903" s="29" t="str">
        <f>IF('Paste SD Data'!O900="","",'Paste SD Data'!O900)</f>
        <v/>
      </c>
    </row>
    <row r="904" spans="1:11" ht="30" customHeight="1" x14ac:dyDescent="0.25">
      <c r="A904" s="25" t="str">
        <f>IF(Table1[[#This Row],[Name of Student]]="","",ROWS($A$1:A900))</f>
        <v/>
      </c>
      <c r="B904" s="26" t="str">
        <f>IF('Paste SD Data'!A901="","",'Paste SD Data'!A901)</f>
        <v/>
      </c>
      <c r="C904" s="26" t="str">
        <f>IF('Paste SD Data'!B901="","",'Paste SD Data'!B901)</f>
        <v/>
      </c>
      <c r="D904" s="26" t="str">
        <f>IF('Paste SD Data'!C901="","",'Paste SD Data'!C901)</f>
        <v/>
      </c>
      <c r="E904" s="27" t="str">
        <f>IF('Paste SD Data'!E901="","",UPPER('Paste SD Data'!E901))</f>
        <v/>
      </c>
      <c r="F904" s="27" t="str">
        <f>IF('Paste SD Data'!G901="","",UPPER('Paste SD Data'!G901))</f>
        <v/>
      </c>
      <c r="G904" s="27" t="str">
        <f>IF('Paste SD Data'!H901="","",UPPER('Paste SD Data'!H901))</f>
        <v/>
      </c>
      <c r="H904" s="26" t="str">
        <f>IF('Paste SD Data'!I901="","",IF('Paste SD Data'!I901="M","BOY","GIRL"))</f>
        <v/>
      </c>
      <c r="I904" s="28" t="str">
        <f>IF('Paste SD Data'!J901="","",'Paste SD Data'!J901)</f>
        <v/>
      </c>
      <c r="J904" s="34">
        <f t="shared" si="14"/>
        <v>1330</v>
      </c>
      <c r="K904" s="29" t="str">
        <f>IF('Paste SD Data'!O901="","",'Paste SD Data'!O901)</f>
        <v/>
      </c>
    </row>
    <row r="905" spans="1:11" ht="30" customHeight="1" x14ac:dyDescent="0.25">
      <c r="A905" s="25" t="str">
        <f>IF(Table1[[#This Row],[Name of Student]]="","",ROWS($A$1:A901))</f>
        <v/>
      </c>
      <c r="B905" s="26" t="str">
        <f>IF('Paste SD Data'!A902="","",'Paste SD Data'!A902)</f>
        <v/>
      </c>
      <c r="C905" s="26" t="str">
        <f>IF('Paste SD Data'!B902="","",'Paste SD Data'!B902)</f>
        <v/>
      </c>
      <c r="D905" s="26" t="str">
        <f>IF('Paste SD Data'!C902="","",'Paste SD Data'!C902)</f>
        <v/>
      </c>
      <c r="E905" s="27" t="str">
        <f>IF('Paste SD Data'!E902="","",UPPER('Paste SD Data'!E902))</f>
        <v/>
      </c>
      <c r="F905" s="27" t="str">
        <f>IF('Paste SD Data'!G902="","",UPPER('Paste SD Data'!G902))</f>
        <v/>
      </c>
      <c r="G905" s="27" t="str">
        <f>IF('Paste SD Data'!H902="","",UPPER('Paste SD Data'!H902))</f>
        <v/>
      </c>
      <c r="H905" s="26" t="str">
        <f>IF('Paste SD Data'!I902="","",IF('Paste SD Data'!I902="M","BOY","GIRL"))</f>
        <v/>
      </c>
      <c r="I905" s="28" t="str">
        <f>IF('Paste SD Data'!J902="","",'Paste SD Data'!J902)</f>
        <v/>
      </c>
      <c r="J905" s="34">
        <f t="shared" si="14"/>
        <v>1331</v>
      </c>
      <c r="K905" s="29" t="str">
        <f>IF('Paste SD Data'!O902="","",'Paste SD Data'!O902)</f>
        <v/>
      </c>
    </row>
    <row r="906" spans="1:11" ht="30" customHeight="1" x14ac:dyDescent="0.25">
      <c r="A906" s="25" t="str">
        <f>IF(Table1[[#This Row],[Name of Student]]="","",ROWS($A$1:A902))</f>
        <v/>
      </c>
      <c r="B906" s="26" t="str">
        <f>IF('Paste SD Data'!A903="","",'Paste SD Data'!A903)</f>
        <v/>
      </c>
      <c r="C906" s="26" t="str">
        <f>IF('Paste SD Data'!B903="","",'Paste SD Data'!B903)</f>
        <v/>
      </c>
      <c r="D906" s="26" t="str">
        <f>IF('Paste SD Data'!C903="","",'Paste SD Data'!C903)</f>
        <v/>
      </c>
      <c r="E906" s="27" t="str">
        <f>IF('Paste SD Data'!E903="","",UPPER('Paste SD Data'!E903))</f>
        <v/>
      </c>
      <c r="F906" s="27" t="str">
        <f>IF('Paste SD Data'!G903="","",UPPER('Paste SD Data'!G903))</f>
        <v/>
      </c>
      <c r="G906" s="27" t="str">
        <f>IF('Paste SD Data'!H903="","",UPPER('Paste SD Data'!H903))</f>
        <v/>
      </c>
      <c r="H906" s="26" t="str">
        <f>IF('Paste SD Data'!I903="","",IF('Paste SD Data'!I903="M","BOY","GIRL"))</f>
        <v/>
      </c>
      <c r="I906" s="28" t="str">
        <f>IF('Paste SD Data'!J903="","",'Paste SD Data'!J903)</f>
        <v/>
      </c>
      <c r="J906" s="34">
        <f t="shared" si="14"/>
        <v>1332</v>
      </c>
      <c r="K906" s="29" t="str">
        <f>IF('Paste SD Data'!O903="","",'Paste SD Data'!O903)</f>
        <v/>
      </c>
    </row>
    <row r="907" spans="1:11" ht="30" customHeight="1" x14ac:dyDescent="0.25">
      <c r="A907" s="25" t="str">
        <f>IF(Table1[[#This Row],[Name of Student]]="","",ROWS($A$1:A903))</f>
        <v/>
      </c>
      <c r="B907" s="26" t="str">
        <f>IF('Paste SD Data'!A904="","",'Paste SD Data'!A904)</f>
        <v/>
      </c>
      <c r="C907" s="26" t="str">
        <f>IF('Paste SD Data'!B904="","",'Paste SD Data'!B904)</f>
        <v/>
      </c>
      <c r="D907" s="26" t="str">
        <f>IF('Paste SD Data'!C904="","",'Paste SD Data'!C904)</f>
        <v/>
      </c>
      <c r="E907" s="27" t="str">
        <f>IF('Paste SD Data'!E904="","",UPPER('Paste SD Data'!E904))</f>
        <v/>
      </c>
      <c r="F907" s="27" t="str">
        <f>IF('Paste SD Data'!G904="","",UPPER('Paste SD Data'!G904))</f>
        <v/>
      </c>
      <c r="G907" s="27" t="str">
        <f>IF('Paste SD Data'!H904="","",UPPER('Paste SD Data'!H904))</f>
        <v/>
      </c>
      <c r="H907" s="26" t="str">
        <f>IF('Paste SD Data'!I904="","",IF('Paste SD Data'!I904="M","BOY","GIRL"))</f>
        <v/>
      </c>
      <c r="I907" s="28" t="str">
        <f>IF('Paste SD Data'!J904="","",'Paste SD Data'!J904)</f>
        <v/>
      </c>
      <c r="J907" s="34">
        <f t="shared" si="14"/>
        <v>1333</v>
      </c>
      <c r="K907" s="29" t="str">
        <f>IF('Paste SD Data'!O904="","",'Paste SD Data'!O904)</f>
        <v/>
      </c>
    </row>
    <row r="908" spans="1:11" ht="30" customHeight="1" x14ac:dyDescent="0.25">
      <c r="A908" s="25" t="str">
        <f>IF(Table1[[#This Row],[Name of Student]]="","",ROWS($A$1:A904))</f>
        <v/>
      </c>
      <c r="B908" s="26" t="str">
        <f>IF('Paste SD Data'!A905="","",'Paste SD Data'!A905)</f>
        <v/>
      </c>
      <c r="C908" s="26" t="str">
        <f>IF('Paste SD Data'!B905="","",'Paste SD Data'!B905)</f>
        <v/>
      </c>
      <c r="D908" s="26" t="str">
        <f>IF('Paste SD Data'!C905="","",'Paste SD Data'!C905)</f>
        <v/>
      </c>
      <c r="E908" s="27" t="str">
        <f>IF('Paste SD Data'!E905="","",UPPER('Paste SD Data'!E905))</f>
        <v/>
      </c>
      <c r="F908" s="27" t="str">
        <f>IF('Paste SD Data'!G905="","",UPPER('Paste SD Data'!G905))</f>
        <v/>
      </c>
      <c r="G908" s="27" t="str">
        <f>IF('Paste SD Data'!H905="","",UPPER('Paste SD Data'!H905))</f>
        <v/>
      </c>
      <c r="H908" s="26" t="str">
        <f>IF('Paste SD Data'!I905="","",IF('Paste SD Data'!I905="M","BOY","GIRL"))</f>
        <v/>
      </c>
      <c r="I908" s="28" t="str">
        <f>IF('Paste SD Data'!J905="","",'Paste SD Data'!J905)</f>
        <v/>
      </c>
      <c r="J908" s="34">
        <f t="shared" si="14"/>
        <v>1334</v>
      </c>
      <c r="K908" s="29" t="str">
        <f>IF('Paste SD Data'!O905="","",'Paste SD Data'!O905)</f>
        <v/>
      </c>
    </row>
    <row r="909" spans="1:11" ht="30" customHeight="1" x14ac:dyDescent="0.25">
      <c r="A909" s="25" t="str">
        <f>IF(Table1[[#This Row],[Name of Student]]="","",ROWS($A$1:A905))</f>
        <v/>
      </c>
      <c r="B909" s="26" t="str">
        <f>IF('Paste SD Data'!A906="","",'Paste SD Data'!A906)</f>
        <v/>
      </c>
      <c r="C909" s="26" t="str">
        <f>IF('Paste SD Data'!B906="","",'Paste SD Data'!B906)</f>
        <v/>
      </c>
      <c r="D909" s="26" t="str">
        <f>IF('Paste SD Data'!C906="","",'Paste SD Data'!C906)</f>
        <v/>
      </c>
      <c r="E909" s="27" t="str">
        <f>IF('Paste SD Data'!E906="","",UPPER('Paste SD Data'!E906))</f>
        <v/>
      </c>
      <c r="F909" s="27" t="str">
        <f>IF('Paste SD Data'!G906="","",UPPER('Paste SD Data'!G906))</f>
        <v/>
      </c>
      <c r="G909" s="27" t="str">
        <f>IF('Paste SD Data'!H906="","",UPPER('Paste SD Data'!H906))</f>
        <v/>
      </c>
      <c r="H909" s="26" t="str">
        <f>IF('Paste SD Data'!I906="","",IF('Paste SD Data'!I906="M","BOY","GIRL"))</f>
        <v/>
      </c>
      <c r="I909" s="28" t="str">
        <f>IF('Paste SD Data'!J906="","",'Paste SD Data'!J906)</f>
        <v/>
      </c>
      <c r="J909" s="34">
        <f t="shared" si="14"/>
        <v>1335</v>
      </c>
      <c r="K909" s="29" t="str">
        <f>IF('Paste SD Data'!O906="","",'Paste SD Data'!O906)</f>
        <v/>
      </c>
    </row>
    <row r="910" spans="1:11" ht="30" customHeight="1" x14ac:dyDescent="0.25">
      <c r="A910" s="25" t="str">
        <f>IF(Table1[[#This Row],[Name of Student]]="","",ROWS($A$1:A906))</f>
        <v/>
      </c>
      <c r="B910" s="26" t="str">
        <f>IF('Paste SD Data'!A907="","",'Paste SD Data'!A907)</f>
        <v/>
      </c>
      <c r="C910" s="26" t="str">
        <f>IF('Paste SD Data'!B907="","",'Paste SD Data'!B907)</f>
        <v/>
      </c>
      <c r="D910" s="26" t="str">
        <f>IF('Paste SD Data'!C907="","",'Paste SD Data'!C907)</f>
        <v/>
      </c>
      <c r="E910" s="27" t="str">
        <f>IF('Paste SD Data'!E907="","",UPPER('Paste SD Data'!E907))</f>
        <v/>
      </c>
      <c r="F910" s="27" t="str">
        <f>IF('Paste SD Data'!G907="","",UPPER('Paste SD Data'!G907))</f>
        <v/>
      </c>
      <c r="G910" s="27" t="str">
        <f>IF('Paste SD Data'!H907="","",UPPER('Paste SD Data'!H907))</f>
        <v/>
      </c>
      <c r="H910" s="26" t="str">
        <f>IF('Paste SD Data'!I907="","",IF('Paste SD Data'!I907="M","BOY","GIRL"))</f>
        <v/>
      </c>
      <c r="I910" s="28" t="str">
        <f>IF('Paste SD Data'!J907="","",'Paste SD Data'!J907)</f>
        <v/>
      </c>
      <c r="J910" s="34">
        <f t="shared" si="14"/>
        <v>1336</v>
      </c>
      <c r="K910" s="29" t="str">
        <f>IF('Paste SD Data'!O907="","",'Paste SD Data'!O907)</f>
        <v/>
      </c>
    </row>
    <row r="911" spans="1:11" ht="30" customHeight="1" x14ac:dyDescent="0.25">
      <c r="A911" s="25" t="str">
        <f>IF(Table1[[#This Row],[Name of Student]]="","",ROWS($A$1:A907))</f>
        <v/>
      </c>
      <c r="B911" s="26" t="str">
        <f>IF('Paste SD Data'!A908="","",'Paste SD Data'!A908)</f>
        <v/>
      </c>
      <c r="C911" s="26" t="str">
        <f>IF('Paste SD Data'!B908="","",'Paste SD Data'!B908)</f>
        <v/>
      </c>
      <c r="D911" s="26" t="str">
        <f>IF('Paste SD Data'!C908="","",'Paste SD Data'!C908)</f>
        <v/>
      </c>
      <c r="E911" s="27" t="str">
        <f>IF('Paste SD Data'!E908="","",UPPER('Paste SD Data'!E908))</f>
        <v/>
      </c>
      <c r="F911" s="27" t="str">
        <f>IF('Paste SD Data'!G908="","",UPPER('Paste SD Data'!G908))</f>
        <v/>
      </c>
      <c r="G911" s="27" t="str">
        <f>IF('Paste SD Data'!H908="","",UPPER('Paste SD Data'!H908))</f>
        <v/>
      </c>
      <c r="H911" s="26" t="str">
        <f>IF('Paste SD Data'!I908="","",IF('Paste SD Data'!I908="M","BOY","GIRL"))</f>
        <v/>
      </c>
      <c r="I911" s="28" t="str">
        <f>IF('Paste SD Data'!J908="","",'Paste SD Data'!J908)</f>
        <v/>
      </c>
      <c r="J911" s="34">
        <f t="shared" si="14"/>
        <v>1337</v>
      </c>
      <c r="K911" s="29" t="str">
        <f>IF('Paste SD Data'!O908="","",'Paste SD Data'!O908)</f>
        <v/>
      </c>
    </row>
    <row r="912" spans="1:11" ht="30" customHeight="1" x14ac:dyDescent="0.25">
      <c r="A912" s="25" t="str">
        <f>IF(Table1[[#This Row],[Name of Student]]="","",ROWS($A$1:A908))</f>
        <v/>
      </c>
      <c r="B912" s="26" t="str">
        <f>IF('Paste SD Data'!A909="","",'Paste SD Data'!A909)</f>
        <v/>
      </c>
      <c r="C912" s="26" t="str">
        <f>IF('Paste SD Data'!B909="","",'Paste SD Data'!B909)</f>
        <v/>
      </c>
      <c r="D912" s="26" t="str">
        <f>IF('Paste SD Data'!C909="","",'Paste SD Data'!C909)</f>
        <v/>
      </c>
      <c r="E912" s="27" t="str">
        <f>IF('Paste SD Data'!E909="","",UPPER('Paste SD Data'!E909))</f>
        <v/>
      </c>
      <c r="F912" s="27" t="str">
        <f>IF('Paste SD Data'!G909="","",UPPER('Paste SD Data'!G909))</f>
        <v/>
      </c>
      <c r="G912" s="27" t="str">
        <f>IF('Paste SD Data'!H909="","",UPPER('Paste SD Data'!H909))</f>
        <v/>
      </c>
      <c r="H912" s="26" t="str">
        <f>IF('Paste SD Data'!I909="","",IF('Paste SD Data'!I909="M","BOY","GIRL"))</f>
        <v/>
      </c>
      <c r="I912" s="28" t="str">
        <f>IF('Paste SD Data'!J909="","",'Paste SD Data'!J909)</f>
        <v/>
      </c>
      <c r="J912" s="34">
        <f t="shared" si="14"/>
        <v>1338</v>
      </c>
      <c r="K912" s="29" t="str">
        <f>IF('Paste SD Data'!O909="","",'Paste SD Data'!O909)</f>
        <v/>
      </c>
    </row>
    <row r="913" spans="1:11" ht="30" customHeight="1" x14ac:dyDescent="0.25">
      <c r="A913" s="25" t="str">
        <f>IF(Table1[[#This Row],[Name of Student]]="","",ROWS($A$1:A909))</f>
        <v/>
      </c>
      <c r="B913" s="26" t="str">
        <f>IF('Paste SD Data'!A910="","",'Paste SD Data'!A910)</f>
        <v/>
      </c>
      <c r="C913" s="26" t="str">
        <f>IF('Paste SD Data'!B910="","",'Paste SD Data'!B910)</f>
        <v/>
      </c>
      <c r="D913" s="26" t="str">
        <f>IF('Paste SD Data'!C910="","",'Paste SD Data'!C910)</f>
        <v/>
      </c>
      <c r="E913" s="27" t="str">
        <f>IF('Paste SD Data'!E910="","",UPPER('Paste SD Data'!E910))</f>
        <v/>
      </c>
      <c r="F913" s="27" t="str">
        <f>IF('Paste SD Data'!G910="","",UPPER('Paste SD Data'!G910))</f>
        <v/>
      </c>
      <c r="G913" s="27" t="str">
        <f>IF('Paste SD Data'!H910="","",UPPER('Paste SD Data'!H910))</f>
        <v/>
      </c>
      <c r="H913" s="26" t="str">
        <f>IF('Paste SD Data'!I910="","",IF('Paste SD Data'!I910="M","BOY","GIRL"))</f>
        <v/>
      </c>
      <c r="I913" s="28" t="str">
        <f>IF('Paste SD Data'!J910="","",'Paste SD Data'!J910)</f>
        <v/>
      </c>
      <c r="J913" s="34">
        <f t="shared" si="14"/>
        <v>1339</v>
      </c>
      <c r="K913" s="29" t="str">
        <f>IF('Paste SD Data'!O910="","",'Paste SD Data'!O910)</f>
        <v/>
      </c>
    </row>
    <row r="914" spans="1:11" ht="30" customHeight="1" x14ac:dyDescent="0.25">
      <c r="A914" s="25" t="str">
        <f>IF(Table1[[#This Row],[Name of Student]]="","",ROWS($A$1:A910))</f>
        <v/>
      </c>
      <c r="B914" s="26" t="str">
        <f>IF('Paste SD Data'!A911="","",'Paste SD Data'!A911)</f>
        <v/>
      </c>
      <c r="C914" s="26" t="str">
        <f>IF('Paste SD Data'!B911="","",'Paste SD Data'!B911)</f>
        <v/>
      </c>
      <c r="D914" s="26" t="str">
        <f>IF('Paste SD Data'!C911="","",'Paste SD Data'!C911)</f>
        <v/>
      </c>
      <c r="E914" s="27" t="str">
        <f>IF('Paste SD Data'!E911="","",UPPER('Paste SD Data'!E911))</f>
        <v/>
      </c>
      <c r="F914" s="27" t="str">
        <f>IF('Paste SD Data'!G911="","",UPPER('Paste SD Data'!G911))</f>
        <v/>
      </c>
      <c r="G914" s="27" t="str">
        <f>IF('Paste SD Data'!H911="","",UPPER('Paste SD Data'!H911))</f>
        <v/>
      </c>
      <c r="H914" s="26" t="str">
        <f>IF('Paste SD Data'!I911="","",IF('Paste SD Data'!I911="M","BOY","GIRL"))</f>
        <v/>
      </c>
      <c r="I914" s="28" t="str">
        <f>IF('Paste SD Data'!J911="","",'Paste SD Data'!J911)</f>
        <v/>
      </c>
      <c r="J914" s="34">
        <f t="shared" si="14"/>
        <v>1340</v>
      </c>
      <c r="K914" s="29" t="str">
        <f>IF('Paste SD Data'!O911="","",'Paste SD Data'!O911)</f>
        <v/>
      </c>
    </row>
    <row r="915" spans="1:11" ht="30" customHeight="1" x14ac:dyDescent="0.25">
      <c r="A915" s="25" t="str">
        <f>IF(Table1[[#This Row],[Name of Student]]="","",ROWS($A$1:A911))</f>
        <v/>
      </c>
      <c r="B915" s="26" t="str">
        <f>IF('Paste SD Data'!A912="","",'Paste SD Data'!A912)</f>
        <v/>
      </c>
      <c r="C915" s="26" t="str">
        <f>IF('Paste SD Data'!B912="","",'Paste SD Data'!B912)</f>
        <v/>
      </c>
      <c r="D915" s="26" t="str">
        <f>IF('Paste SD Data'!C912="","",'Paste SD Data'!C912)</f>
        <v/>
      </c>
      <c r="E915" s="27" t="str">
        <f>IF('Paste SD Data'!E912="","",UPPER('Paste SD Data'!E912))</f>
        <v/>
      </c>
      <c r="F915" s="27" t="str">
        <f>IF('Paste SD Data'!G912="","",UPPER('Paste SD Data'!G912))</f>
        <v/>
      </c>
      <c r="G915" s="27" t="str">
        <f>IF('Paste SD Data'!H912="","",UPPER('Paste SD Data'!H912))</f>
        <v/>
      </c>
      <c r="H915" s="26" t="str">
        <f>IF('Paste SD Data'!I912="","",IF('Paste SD Data'!I912="M","BOY","GIRL"))</f>
        <v/>
      </c>
      <c r="I915" s="28" t="str">
        <f>IF('Paste SD Data'!J912="","",'Paste SD Data'!J912)</f>
        <v/>
      </c>
      <c r="J915" s="34">
        <f t="shared" si="14"/>
        <v>1341</v>
      </c>
      <c r="K915" s="29" t="str">
        <f>IF('Paste SD Data'!O912="","",'Paste SD Data'!O912)</f>
        <v/>
      </c>
    </row>
    <row r="916" spans="1:11" ht="30" customHeight="1" x14ac:dyDescent="0.25">
      <c r="A916" s="25" t="str">
        <f>IF(Table1[[#This Row],[Name of Student]]="","",ROWS($A$1:A912))</f>
        <v/>
      </c>
      <c r="B916" s="26" t="str">
        <f>IF('Paste SD Data'!A913="","",'Paste SD Data'!A913)</f>
        <v/>
      </c>
      <c r="C916" s="26" t="str">
        <f>IF('Paste SD Data'!B913="","",'Paste SD Data'!B913)</f>
        <v/>
      </c>
      <c r="D916" s="26" t="str">
        <f>IF('Paste SD Data'!C913="","",'Paste SD Data'!C913)</f>
        <v/>
      </c>
      <c r="E916" s="27" t="str">
        <f>IF('Paste SD Data'!E913="","",UPPER('Paste SD Data'!E913))</f>
        <v/>
      </c>
      <c r="F916" s="27" t="str">
        <f>IF('Paste SD Data'!G913="","",UPPER('Paste SD Data'!G913))</f>
        <v/>
      </c>
      <c r="G916" s="27" t="str">
        <f>IF('Paste SD Data'!H913="","",UPPER('Paste SD Data'!H913))</f>
        <v/>
      </c>
      <c r="H916" s="26" t="str">
        <f>IF('Paste SD Data'!I913="","",IF('Paste SD Data'!I913="M","BOY","GIRL"))</f>
        <v/>
      </c>
      <c r="I916" s="28" t="str">
        <f>IF('Paste SD Data'!J913="","",'Paste SD Data'!J913)</f>
        <v/>
      </c>
      <c r="J916" s="34">
        <f t="shared" si="14"/>
        <v>1342</v>
      </c>
      <c r="K916" s="29" t="str">
        <f>IF('Paste SD Data'!O913="","",'Paste SD Data'!O913)</f>
        <v/>
      </c>
    </row>
    <row r="917" spans="1:11" ht="30" customHeight="1" x14ac:dyDescent="0.25">
      <c r="A917" s="25" t="str">
        <f>IF(Table1[[#This Row],[Name of Student]]="","",ROWS($A$1:A913))</f>
        <v/>
      </c>
      <c r="B917" s="26" t="str">
        <f>IF('Paste SD Data'!A914="","",'Paste SD Data'!A914)</f>
        <v/>
      </c>
      <c r="C917" s="26" t="str">
        <f>IF('Paste SD Data'!B914="","",'Paste SD Data'!B914)</f>
        <v/>
      </c>
      <c r="D917" s="26" t="str">
        <f>IF('Paste SD Data'!C914="","",'Paste SD Data'!C914)</f>
        <v/>
      </c>
      <c r="E917" s="27" t="str">
        <f>IF('Paste SD Data'!E914="","",UPPER('Paste SD Data'!E914))</f>
        <v/>
      </c>
      <c r="F917" s="27" t="str">
        <f>IF('Paste SD Data'!G914="","",UPPER('Paste SD Data'!G914))</f>
        <v/>
      </c>
      <c r="G917" s="27" t="str">
        <f>IF('Paste SD Data'!H914="","",UPPER('Paste SD Data'!H914))</f>
        <v/>
      </c>
      <c r="H917" s="26" t="str">
        <f>IF('Paste SD Data'!I914="","",IF('Paste SD Data'!I914="M","BOY","GIRL"))</f>
        <v/>
      </c>
      <c r="I917" s="28" t="str">
        <f>IF('Paste SD Data'!J914="","",'Paste SD Data'!J914)</f>
        <v/>
      </c>
      <c r="J917" s="34">
        <f t="shared" si="14"/>
        <v>1343</v>
      </c>
      <c r="K917" s="29" t="str">
        <f>IF('Paste SD Data'!O914="","",'Paste SD Data'!O914)</f>
        <v/>
      </c>
    </row>
    <row r="918" spans="1:11" ht="30" customHeight="1" x14ac:dyDescent="0.25">
      <c r="A918" s="25" t="str">
        <f>IF(Table1[[#This Row],[Name of Student]]="","",ROWS($A$1:A914))</f>
        <v/>
      </c>
      <c r="B918" s="26" t="str">
        <f>IF('Paste SD Data'!A915="","",'Paste SD Data'!A915)</f>
        <v/>
      </c>
      <c r="C918" s="26" t="str">
        <f>IF('Paste SD Data'!B915="","",'Paste SD Data'!B915)</f>
        <v/>
      </c>
      <c r="D918" s="26" t="str">
        <f>IF('Paste SD Data'!C915="","",'Paste SD Data'!C915)</f>
        <v/>
      </c>
      <c r="E918" s="27" t="str">
        <f>IF('Paste SD Data'!E915="","",UPPER('Paste SD Data'!E915))</f>
        <v/>
      </c>
      <c r="F918" s="27" t="str">
        <f>IF('Paste SD Data'!G915="","",UPPER('Paste SD Data'!G915))</f>
        <v/>
      </c>
      <c r="G918" s="27" t="str">
        <f>IF('Paste SD Data'!H915="","",UPPER('Paste SD Data'!H915))</f>
        <v/>
      </c>
      <c r="H918" s="26" t="str">
        <f>IF('Paste SD Data'!I915="","",IF('Paste SD Data'!I915="M","BOY","GIRL"))</f>
        <v/>
      </c>
      <c r="I918" s="28" t="str">
        <f>IF('Paste SD Data'!J915="","",'Paste SD Data'!J915)</f>
        <v/>
      </c>
      <c r="J918" s="34">
        <f t="shared" si="14"/>
        <v>1344</v>
      </c>
      <c r="K918" s="29" t="str">
        <f>IF('Paste SD Data'!O915="","",'Paste SD Data'!O915)</f>
        <v/>
      </c>
    </row>
    <row r="919" spans="1:11" ht="30" customHeight="1" x14ac:dyDescent="0.25">
      <c r="A919" s="25" t="str">
        <f>IF(Table1[[#This Row],[Name of Student]]="","",ROWS($A$1:A915))</f>
        <v/>
      </c>
      <c r="B919" s="26" t="str">
        <f>IF('Paste SD Data'!A916="","",'Paste SD Data'!A916)</f>
        <v/>
      </c>
      <c r="C919" s="26" t="str">
        <f>IF('Paste SD Data'!B916="","",'Paste SD Data'!B916)</f>
        <v/>
      </c>
      <c r="D919" s="26" t="str">
        <f>IF('Paste SD Data'!C916="","",'Paste SD Data'!C916)</f>
        <v/>
      </c>
      <c r="E919" s="27" t="str">
        <f>IF('Paste SD Data'!E916="","",UPPER('Paste SD Data'!E916))</f>
        <v/>
      </c>
      <c r="F919" s="27" t="str">
        <f>IF('Paste SD Data'!G916="","",UPPER('Paste SD Data'!G916))</f>
        <v/>
      </c>
      <c r="G919" s="27" t="str">
        <f>IF('Paste SD Data'!H916="","",UPPER('Paste SD Data'!H916))</f>
        <v/>
      </c>
      <c r="H919" s="26" t="str">
        <f>IF('Paste SD Data'!I916="","",IF('Paste SD Data'!I916="M","BOY","GIRL"))</f>
        <v/>
      </c>
      <c r="I919" s="28" t="str">
        <f>IF('Paste SD Data'!J916="","",'Paste SD Data'!J916)</f>
        <v/>
      </c>
      <c r="J919" s="34">
        <f t="shared" si="14"/>
        <v>1345</v>
      </c>
      <c r="K919" s="29" t="str">
        <f>IF('Paste SD Data'!O916="","",'Paste SD Data'!O916)</f>
        <v/>
      </c>
    </row>
    <row r="920" spans="1:11" ht="30" customHeight="1" x14ac:dyDescent="0.25">
      <c r="A920" s="25" t="str">
        <f>IF(Table1[[#This Row],[Name of Student]]="","",ROWS($A$1:A916))</f>
        <v/>
      </c>
      <c r="B920" s="26" t="str">
        <f>IF('Paste SD Data'!A917="","",'Paste SD Data'!A917)</f>
        <v/>
      </c>
      <c r="C920" s="26" t="str">
        <f>IF('Paste SD Data'!B917="","",'Paste SD Data'!B917)</f>
        <v/>
      </c>
      <c r="D920" s="26" t="str">
        <f>IF('Paste SD Data'!C917="","",'Paste SD Data'!C917)</f>
        <v/>
      </c>
      <c r="E920" s="27" t="str">
        <f>IF('Paste SD Data'!E917="","",UPPER('Paste SD Data'!E917))</f>
        <v/>
      </c>
      <c r="F920" s="27" t="str">
        <f>IF('Paste SD Data'!G917="","",UPPER('Paste SD Data'!G917))</f>
        <v/>
      </c>
      <c r="G920" s="27" t="str">
        <f>IF('Paste SD Data'!H917="","",UPPER('Paste SD Data'!H917))</f>
        <v/>
      </c>
      <c r="H920" s="26" t="str">
        <f>IF('Paste SD Data'!I917="","",IF('Paste SD Data'!I917="M","BOY","GIRL"))</f>
        <v/>
      </c>
      <c r="I920" s="28" t="str">
        <f>IF('Paste SD Data'!J917="","",'Paste SD Data'!J917)</f>
        <v/>
      </c>
      <c r="J920" s="34">
        <f t="shared" si="14"/>
        <v>1346</v>
      </c>
      <c r="K920" s="29" t="str">
        <f>IF('Paste SD Data'!O917="","",'Paste SD Data'!O917)</f>
        <v/>
      </c>
    </row>
    <row r="921" spans="1:11" ht="30" customHeight="1" x14ac:dyDescent="0.25">
      <c r="A921" s="25" t="str">
        <f>IF(Table1[[#This Row],[Name of Student]]="","",ROWS($A$1:A917))</f>
        <v/>
      </c>
      <c r="B921" s="26" t="str">
        <f>IF('Paste SD Data'!A918="","",'Paste SD Data'!A918)</f>
        <v/>
      </c>
      <c r="C921" s="26" t="str">
        <f>IF('Paste SD Data'!B918="","",'Paste SD Data'!B918)</f>
        <v/>
      </c>
      <c r="D921" s="26" t="str">
        <f>IF('Paste SD Data'!C918="","",'Paste SD Data'!C918)</f>
        <v/>
      </c>
      <c r="E921" s="27" t="str">
        <f>IF('Paste SD Data'!E918="","",UPPER('Paste SD Data'!E918))</f>
        <v/>
      </c>
      <c r="F921" s="27" t="str">
        <f>IF('Paste SD Data'!G918="","",UPPER('Paste SD Data'!G918))</f>
        <v/>
      </c>
      <c r="G921" s="27" t="str">
        <f>IF('Paste SD Data'!H918="","",UPPER('Paste SD Data'!H918))</f>
        <v/>
      </c>
      <c r="H921" s="26" t="str">
        <f>IF('Paste SD Data'!I918="","",IF('Paste SD Data'!I918="M","BOY","GIRL"))</f>
        <v/>
      </c>
      <c r="I921" s="28" t="str">
        <f>IF('Paste SD Data'!J918="","",'Paste SD Data'!J918)</f>
        <v/>
      </c>
      <c r="J921" s="34">
        <f t="shared" si="14"/>
        <v>1347</v>
      </c>
      <c r="K921" s="29" t="str">
        <f>IF('Paste SD Data'!O918="","",'Paste SD Data'!O918)</f>
        <v/>
      </c>
    </row>
    <row r="922" spans="1:11" ht="30" customHeight="1" x14ac:dyDescent="0.25">
      <c r="A922" s="25" t="str">
        <f>IF(Table1[[#This Row],[Name of Student]]="","",ROWS($A$1:A918))</f>
        <v/>
      </c>
      <c r="B922" s="26" t="str">
        <f>IF('Paste SD Data'!A919="","",'Paste SD Data'!A919)</f>
        <v/>
      </c>
      <c r="C922" s="26" t="str">
        <f>IF('Paste SD Data'!B919="","",'Paste SD Data'!B919)</f>
        <v/>
      </c>
      <c r="D922" s="26" t="str">
        <f>IF('Paste SD Data'!C919="","",'Paste SD Data'!C919)</f>
        <v/>
      </c>
      <c r="E922" s="27" t="str">
        <f>IF('Paste SD Data'!E919="","",UPPER('Paste SD Data'!E919))</f>
        <v/>
      </c>
      <c r="F922" s="27" t="str">
        <f>IF('Paste SD Data'!G919="","",UPPER('Paste SD Data'!G919))</f>
        <v/>
      </c>
      <c r="G922" s="27" t="str">
        <f>IF('Paste SD Data'!H919="","",UPPER('Paste SD Data'!H919))</f>
        <v/>
      </c>
      <c r="H922" s="26" t="str">
        <f>IF('Paste SD Data'!I919="","",IF('Paste SD Data'!I919="M","BOY","GIRL"))</f>
        <v/>
      </c>
      <c r="I922" s="28" t="str">
        <f>IF('Paste SD Data'!J919="","",'Paste SD Data'!J919)</f>
        <v/>
      </c>
      <c r="J922" s="34">
        <f t="shared" si="14"/>
        <v>1348</v>
      </c>
      <c r="K922" s="29" t="str">
        <f>IF('Paste SD Data'!O919="","",'Paste SD Data'!O919)</f>
        <v/>
      </c>
    </row>
    <row r="923" spans="1:11" ht="30" customHeight="1" x14ac:dyDescent="0.25">
      <c r="A923" s="25" t="str">
        <f>IF(Table1[[#This Row],[Name of Student]]="","",ROWS($A$1:A919))</f>
        <v/>
      </c>
      <c r="B923" s="26" t="str">
        <f>IF('Paste SD Data'!A920="","",'Paste SD Data'!A920)</f>
        <v/>
      </c>
      <c r="C923" s="26" t="str">
        <f>IF('Paste SD Data'!B920="","",'Paste SD Data'!B920)</f>
        <v/>
      </c>
      <c r="D923" s="26" t="str">
        <f>IF('Paste SD Data'!C920="","",'Paste SD Data'!C920)</f>
        <v/>
      </c>
      <c r="E923" s="27" t="str">
        <f>IF('Paste SD Data'!E920="","",UPPER('Paste SD Data'!E920))</f>
        <v/>
      </c>
      <c r="F923" s="27" t="str">
        <f>IF('Paste SD Data'!G920="","",UPPER('Paste SD Data'!G920))</f>
        <v/>
      </c>
      <c r="G923" s="27" t="str">
        <f>IF('Paste SD Data'!H920="","",UPPER('Paste SD Data'!H920))</f>
        <v/>
      </c>
      <c r="H923" s="26" t="str">
        <f>IF('Paste SD Data'!I920="","",IF('Paste SD Data'!I920="M","BOY","GIRL"))</f>
        <v/>
      </c>
      <c r="I923" s="28" t="str">
        <f>IF('Paste SD Data'!J920="","",'Paste SD Data'!J920)</f>
        <v/>
      </c>
      <c r="J923" s="34">
        <f t="shared" si="14"/>
        <v>1349</v>
      </c>
      <c r="K923" s="29" t="str">
        <f>IF('Paste SD Data'!O920="","",'Paste SD Data'!O920)</f>
        <v/>
      </c>
    </row>
    <row r="924" spans="1:11" ht="30" customHeight="1" x14ac:dyDescent="0.25">
      <c r="A924" s="25" t="str">
        <f>IF(Table1[[#This Row],[Name of Student]]="","",ROWS($A$1:A920))</f>
        <v/>
      </c>
      <c r="B924" s="26" t="str">
        <f>IF('Paste SD Data'!A921="","",'Paste SD Data'!A921)</f>
        <v/>
      </c>
      <c r="C924" s="26" t="str">
        <f>IF('Paste SD Data'!B921="","",'Paste SD Data'!B921)</f>
        <v/>
      </c>
      <c r="D924" s="26" t="str">
        <f>IF('Paste SD Data'!C921="","",'Paste SD Data'!C921)</f>
        <v/>
      </c>
      <c r="E924" s="27" t="str">
        <f>IF('Paste SD Data'!E921="","",UPPER('Paste SD Data'!E921))</f>
        <v/>
      </c>
      <c r="F924" s="27" t="str">
        <f>IF('Paste SD Data'!G921="","",UPPER('Paste SD Data'!G921))</f>
        <v/>
      </c>
      <c r="G924" s="27" t="str">
        <f>IF('Paste SD Data'!H921="","",UPPER('Paste SD Data'!H921))</f>
        <v/>
      </c>
      <c r="H924" s="26" t="str">
        <f>IF('Paste SD Data'!I921="","",IF('Paste SD Data'!I921="M","BOY","GIRL"))</f>
        <v/>
      </c>
      <c r="I924" s="28" t="str">
        <f>IF('Paste SD Data'!J921="","",'Paste SD Data'!J921)</f>
        <v/>
      </c>
      <c r="J924" s="34">
        <f t="shared" si="14"/>
        <v>1350</v>
      </c>
      <c r="K924" s="29" t="str">
        <f>IF('Paste SD Data'!O921="","",'Paste SD Data'!O921)</f>
        <v/>
      </c>
    </row>
    <row r="925" spans="1:11" ht="30" customHeight="1" x14ac:dyDescent="0.25">
      <c r="A925" s="25" t="str">
        <f>IF(Table1[[#This Row],[Name of Student]]="","",ROWS($A$1:A921))</f>
        <v/>
      </c>
      <c r="B925" s="26" t="str">
        <f>IF('Paste SD Data'!A922="","",'Paste SD Data'!A922)</f>
        <v/>
      </c>
      <c r="C925" s="26" t="str">
        <f>IF('Paste SD Data'!B922="","",'Paste SD Data'!B922)</f>
        <v/>
      </c>
      <c r="D925" s="26" t="str">
        <f>IF('Paste SD Data'!C922="","",'Paste SD Data'!C922)</f>
        <v/>
      </c>
      <c r="E925" s="27" t="str">
        <f>IF('Paste SD Data'!E922="","",UPPER('Paste SD Data'!E922))</f>
        <v/>
      </c>
      <c r="F925" s="27" t="str">
        <f>IF('Paste SD Data'!G922="","",UPPER('Paste SD Data'!G922))</f>
        <v/>
      </c>
      <c r="G925" s="27" t="str">
        <f>IF('Paste SD Data'!H922="","",UPPER('Paste SD Data'!H922))</f>
        <v/>
      </c>
      <c r="H925" s="26" t="str">
        <f>IF('Paste SD Data'!I922="","",IF('Paste SD Data'!I922="M","BOY","GIRL"))</f>
        <v/>
      </c>
      <c r="I925" s="28" t="str">
        <f>IF('Paste SD Data'!J922="","",'Paste SD Data'!J922)</f>
        <v/>
      </c>
      <c r="J925" s="34">
        <f t="shared" si="14"/>
        <v>1351</v>
      </c>
      <c r="K925" s="29" t="str">
        <f>IF('Paste SD Data'!O922="","",'Paste SD Data'!O922)</f>
        <v/>
      </c>
    </row>
    <row r="926" spans="1:11" ht="30" customHeight="1" x14ac:dyDescent="0.25">
      <c r="A926" s="25" t="str">
        <f>IF(Table1[[#This Row],[Name of Student]]="","",ROWS($A$1:A922))</f>
        <v/>
      </c>
      <c r="B926" s="26" t="str">
        <f>IF('Paste SD Data'!A923="","",'Paste SD Data'!A923)</f>
        <v/>
      </c>
      <c r="C926" s="26" t="str">
        <f>IF('Paste SD Data'!B923="","",'Paste SD Data'!B923)</f>
        <v/>
      </c>
      <c r="D926" s="26" t="str">
        <f>IF('Paste SD Data'!C923="","",'Paste SD Data'!C923)</f>
        <v/>
      </c>
      <c r="E926" s="27" t="str">
        <f>IF('Paste SD Data'!E923="","",UPPER('Paste SD Data'!E923))</f>
        <v/>
      </c>
      <c r="F926" s="27" t="str">
        <f>IF('Paste SD Data'!G923="","",UPPER('Paste SD Data'!G923))</f>
        <v/>
      </c>
      <c r="G926" s="27" t="str">
        <f>IF('Paste SD Data'!H923="","",UPPER('Paste SD Data'!H923))</f>
        <v/>
      </c>
      <c r="H926" s="26" t="str">
        <f>IF('Paste SD Data'!I923="","",IF('Paste SD Data'!I923="M","BOY","GIRL"))</f>
        <v/>
      </c>
      <c r="I926" s="28" t="str">
        <f>IF('Paste SD Data'!J923="","",'Paste SD Data'!J923)</f>
        <v/>
      </c>
      <c r="J926" s="34">
        <f t="shared" si="14"/>
        <v>1352</v>
      </c>
      <c r="K926" s="29" t="str">
        <f>IF('Paste SD Data'!O923="","",'Paste SD Data'!O923)</f>
        <v/>
      </c>
    </row>
    <row r="927" spans="1:11" ht="30" customHeight="1" x14ac:dyDescent="0.25">
      <c r="A927" s="25" t="str">
        <f>IF(Table1[[#This Row],[Name of Student]]="","",ROWS($A$1:A923))</f>
        <v/>
      </c>
      <c r="B927" s="26" t="str">
        <f>IF('Paste SD Data'!A924="","",'Paste SD Data'!A924)</f>
        <v/>
      </c>
      <c r="C927" s="26" t="str">
        <f>IF('Paste SD Data'!B924="","",'Paste SD Data'!B924)</f>
        <v/>
      </c>
      <c r="D927" s="26" t="str">
        <f>IF('Paste SD Data'!C924="","",'Paste SD Data'!C924)</f>
        <v/>
      </c>
      <c r="E927" s="27" t="str">
        <f>IF('Paste SD Data'!E924="","",UPPER('Paste SD Data'!E924))</f>
        <v/>
      </c>
      <c r="F927" s="27" t="str">
        <f>IF('Paste SD Data'!G924="","",UPPER('Paste SD Data'!G924))</f>
        <v/>
      </c>
      <c r="G927" s="27" t="str">
        <f>IF('Paste SD Data'!H924="","",UPPER('Paste SD Data'!H924))</f>
        <v/>
      </c>
      <c r="H927" s="26" t="str">
        <f>IF('Paste SD Data'!I924="","",IF('Paste SD Data'!I924="M","BOY","GIRL"))</f>
        <v/>
      </c>
      <c r="I927" s="28" t="str">
        <f>IF('Paste SD Data'!J924="","",'Paste SD Data'!J924)</f>
        <v/>
      </c>
      <c r="J927" s="34">
        <f t="shared" si="14"/>
        <v>1353</v>
      </c>
      <c r="K927" s="29" t="str">
        <f>IF('Paste SD Data'!O924="","",'Paste SD Data'!O924)</f>
        <v/>
      </c>
    </row>
    <row r="928" spans="1:11" ht="30" customHeight="1" x14ac:dyDescent="0.25">
      <c r="A928" s="25" t="str">
        <f>IF(Table1[[#This Row],[Name of Student]]="","",ROWS($A$1:A924))</f>
        <v/>
      </c>
      <c r="B928" s="26" t="str">
        <f>IF('Paste SD Data'!A925="","",'Paste SD Data'!A925)</f>
        <v/>
      </c>
      <c r="C928" s="26" t="str">
        <f>IF('Paste SD Data'!B925="","",'Paste SD Data'!B925)</f>
        <v/>
      </c>
      <c r="D928" s="26" t="str">
        <f>IF('Paste SD Data'!C925="","",'Paste SD Data'!C925)</f>
        <v/>
      </c>
      <c r="E928" s="27" t="str">
        <f>IF('Paste SD Data'!E925="","",UPPER('Paste SD Data'!E925))</f>
        <v/>
      </c>
      <c r="F928" s="27" t="str">
        <f>IF('Paste SD Data'!G925="","",UPPER('Paste SD Data'!G925))</f>
        <v/>
      </c>
      <c r="G928" s="27" t="str">
        <f>IF('Paste SD Data'!H925="","",UPPER('Paste SD Data'!H925))</f>
        <v/>
      </c>
      <c r="H928" s="26" t="str">
        <f>IF('Paste SD Data'!I925="","",IF('Paste SD Data'!I925="M","BOY","GIRL"))</f>
        <v/>
      </c>
      <c r="I928" s="28" t="str">
        <f>IF('Paste SD Data'!J925="","",'Paste SD Data'!J925)</f>
        <v/>
      </c>
      <c r="J928" s="34">
        <f t="shared" si="14"/>
        <v>1354</v>
      </c>
      <c r="K928" s="29" t="str">
        <f>IF('Paste SD Data'!O925="","",'Paste SD Data'!O925)</f>
        <v/>
      </c>
    </row>
    <row r="929" spans="1:11" ht="30" customHeight="1" x14ac:dyDescent="0.25">
      <c r="A929" s="25" t="str">
        <f>IF(Table1[[#This Row],[Name of Student]]="","",ROWS($A$1:A925))</f>
        <v/>
      </c>
      <c r="B929" s="26" t="str">
        <f>IF('Paste SD Data'!A926="","",'Paste SD Data'!A926)</f>
        <v/>
      </c>
      <c r="C929" s="26" t="str">
        <f>IF('Paste SD Data'!B926="","",'Paste SD Data'!B926)</f>
        <v/>
      </c>
      <c r="D929" s="26" t="str">
        <f>IF('Paste SD Data'!C926="","",'Paste SD Data'!C926)</f>
        <v/>
      </c>
      <c r="E929" s="27" t="str">
        <f>IF('Paste SD Data'!E926="","",UPPER('Paste SD Data'!E926))</f>
        <v/>
      </c>
      <c r="F929" s="27" t="str">
        <f>IF('Paste SD Data'!G926="","",UPPER('Paste SD Data'!G926))</f>
        <v/>
      </c>
      <c r="G929" s="27" t="str">
        <f>IF('Paste SD Data'!H926="","",UPPER('Paste SD Data'!H926))</f>
        <v/>
      </c>
      <c r="H929" s="26" t="str">
        <f>IF('Paste SD Data'!I926="","",IF('Paste SD Data'!I926="M","BOY","GIRL"))</f>
        <v/>
      </c>
      <c r="I929" s="28" t="str">
        <f>IF('Paste SD Data'!J926="","",'Paste SD Data'!J926)</f>
        <v/>
      </c>
      <c r="J929" s="34">
        <f t="shared" si="14"/>
        <v>1355</v>
      </c>
      <c r="K929" s="29" t="str">
        <f>IF('Paste SD Data'!O926="","",'Paste SD Data'!O926)</f>
        <v/>
      </c>
    </row>
    <row r="930" spans="1:11" ht="30" customHeight="1" x14ac:dyDescent="0.25">
      <c r="A930" s="25" t="str">
        <f>IF(Table1[[#This Row],[Name of Student]]="","",ROWS($A$1:A926))</f>
        <v/>
      </c>
      <c r="B930" s="26" t="str">
        <f>IF('Paste SD Data'!A927="","",'Paste SD Data'!A927)</f>
        <v/>
      </c>
      <c r="C930" s="26" t="str">
        <f>IF('Paste SD Data'!B927="","",'Paste SD Data'!B927)</f>
        <v/>
      </c>
      <c r="D930" s="26" t="str">
        <f>IF('Paste SD Data'!C927="","",'Paste SD Data'!C927)</f>
        <v/>
      </c>
      <c r="E930" s="27" t="str">
        <f>IF('Paste SD Data'!E927="","",UPPER('Paste SD Data'!E927))</f>
        <v/>
      </c>
      <c r="F930" s="27" t="str">
        <f>IF('Paste SD Data'!G927="","",UPPER('Paste SD Data'!G927))</f>
        <v/>
      </c>
      <c r="G930" s="27" t="str">
        <f>IF('Paste SD Data'!H927="","",UPPER('Paste SD Data'!H927))</f>
        <v/>
      </c>
      <c r="H930" s="26" t="str">
        <f>IF('Paste SD Data'!I927="","",IF('Paste SD Data'!I927="M","BOY","GIRL"))</f>
        <v/>
      </c>
      <c r="I930" s="28" t="str">
        <f>IF('Paste SD Data'!J927="","",'Paste SD Data'!J927)</f>
        <v/>
      </c>
      <c r="J930" s="34">
        <f t="shared" si="14"/>
        <v>1356</v>
      </c>
      <c r="K930" s="29" t="str">
        <f>IF('Paste SD Data'!O927="","",'Paste SD Data'!O927)</f>
        <v/>
      </c>
    </row>
    <row r="931" spans="1:11" ht="30" customHeight="1" x14ac:dyDescent="0.25">
      <c r="A931" s="25" t="str">
        <f>IF(Table1[[#This Row],[Name of Student]]="","",ROWS($A$1:A927))</f>
        <v/>
      </c>
      <c r="B931" s="26" t="str">
        <f>IF('Paste SD Data'!A928="","",'Paste SD Data'!A928)</f>
        <v/>
      </c>
      <c r="C931" s="26" t="str">
        <f>IF('Paste SD Data'!B928="","",'Paste SD Data'!B928)</f>
        <v/>
      </c>
      <c r="D931" s="26" t="str">
        <f>IF('Paste SD Data'!C928="","",'Paste SD Data'!C928)</f>
        <v/>
      </c>
      <c r="E931" s="27" t="str">
        <f>IF('Paste SD Data'!E928="","",UPPER('Paste SD Data'!E928))</f>
        <v/>
      </c>
      <c r="F931" s="27" t="str">
        <f>IF('Paste SD Data'!G928="","",UPPER('Paste SD Data'!G928))</f>
        <v/>
      </c>
      <c r="G931" s="27" t="str">
        <f>IF('Paste SD Data'!H928="","",UPPER('Paste SD Data'!H928))</f>
        <v/>
      </c>
      <c r="H931" s="26" t="str">
        <f>IF('Paste SD Data'!I928="","",IF('Paste SD Data'!I928="M","BOY","GIRL"))</f>
        <v/>
      </c>
      <c r="I931" s="28" t="str">
        <f>IF('Paste SD Data'!J928="","",'Paste SD Data'!J928)</f>
        <v/>
      </c>
      <c r="J931" s="34">
        <f t="shared" si="14"/>
        <v>1357</v>
      </c>
      <c r="K931" s="29" t="str">
        <f>IF('Paste SD Data'!O928="","",'Paste SD Data'!O928)</f>
        <v/>
      </c>
    </row>
    <row r="932" spans="1:11" ht="30" customHeight="1" x14ac:dyDescent="0.25">
      <c r="A932" s="25" t="str">
        <f>IF(Table1[[#This Row],[Name of Student]]="","",ROWS($A$1:A928))</f>
        <v/>
      </c>
      <c r="B932" s="26" t="str">
        <f>IF('Paste SD Data'!A929="","",'Paste SD Data'!A929)</f>
        <v/>
      </c>
      <c r="C932" s="26" t="str">
        <f>IF('Paste SD Data'!B929="","",'Paste SD Data'!B929)</f>
        <v/>
      </c>
      <c r="D932" s="26" t="str">
        <f>IF('Paste SD Data'!C929="","",'Paste SD Data'!C929)</f>
        <v/>
      </c>
      <c r="E932" s="27" t="str">
        <f>IF('Paste SD Data'!E929="","",UPPER('Paste SD Data'!E929))</f>
        <v/>
      </c>
      <c r="F932" s="27" t="str">
        <f>IF('Paste SD Data'!G929="","",UPPER('Paste SD Data'!G929))</f>
        <v/>
      </c>
      <c r="G932" s="27" t="str">
        <f>IF('Paste SD Data'!H929="","",UPPER('Paste SD Data'!H929))</f>
        <v/>
      </c>
      <c r="H932" s="26" t="str">
        <f>IF('Paste SD Data'!I929="","",IF('Paste SD Data'!I929="M","BOY","GIRL"))</f>
        <v/>
      </c>
      <c r="I932" s="28" t="str">
        <f>IF('Paste SD Data'!J929="","",'Paste SD Data'!J929)</f>
        <v/>
      </c>
      <c r="J932" s="34">
        <f t="shared" si="14"/>
        <v>1358</v>
      </c>
      <c r="K932" s="29" t="str">
        <f>IF('Paste SD Data'!O929="","",'Paste SD Data'!O929)</f>
        <v/>
      </c>
    </row>
    <row r="933" spans="1:11" ht="30" customHeight="1" x14ac:dyDescent="0.25">
      <c r="A933" s="25" t="str">
        <f>IF(Table1[[#This Row],[Name of Student]]="","",ROWS($A$1:A929))</f>
        <v/>
      </c>
      <c r="B933" s="26" t="str">
        <f>IF('Paste SD Data'!A930="","",'Paste SD Data'!A930)</f>
        <v/>
      </c>
      <c r="C933" s="26" t="str">
        <f>IF('Paste SD Data'!B930="","",'Paste SD Data'!B930)</f>
        <v/>
      </c>
      <c r="D933" s="26" t="str">
        <f>IF('Paste SD Data'!C930="","",'Paste SD Data'!C930)</f>
        <v/>
      </c>
      <c r="E933" s="27" t="str">
        <f>IF('Paste SD Data'!E930="","",UPPER('Paste SD Data'!E930))</f>
        <v/>
      </c>
      <c r="F933" s="27" t="str">
        <f>IF('Paste SD Data'!G930="","",UPPER('Paste SD Data'!G930))</f>
        <v/>
      </c>
      <c r="G933" s="27" t="str">
        <f>IF('Paste SD Data'!H930="","",UPPER('Paste SD Data'!H930))</f>
        <v/>
      </c>
      <c r="H933" s="26" t="str">
        <f>IF('Paste SD Data'!I930="","",IF('Paste SD Data'!I930="M","BOY","GIRL"))</f>
        <v/>
      </c>
      <c r="I933" s="28" t="str">
        <f>IF('Paste SD Data'!J930="","",'Paste SD Data'!J930)</f>
        <v/>
      </c>
      <c r="J933" s="34">
        <f t="shared" si="14"/>
        <v>1359</v>
      </c>
      <c r="K933" s="29" t="str">
        <f>IF('Paste SD Data'!O930="","",'Paste SD Data'!O930)</f>
        <v/>
      </c>
    </row>
    <row r="934" spans="1:11" ht="30" customHeight="1" x14ac:dyDescent="0.25">
      <c r="A934" s="25" t="str">
        <f>IF(Table1[[#This Row],[Name of Student]]="","",ROWS($A$1:A930))</f>
        <v/>
      </c>
      <c r="B934" s="26" t="str">
        <f>IF('Paste SD Data'!A931="","",'Paste SD Data'!A931)</f>
        <v/>
      </c>
      <c r="C934" s="26" t="str">
        <f>IF('Paste SD Data'!B931="","",'Paste SD Data'!B931)</f>
        <v/>
      </c>
      <c r="D934" s="26" t="str">
        <f>IF('Paste SD Data'!C931="","",'Paste SD Data'!C931)</f>
        <v/>
      </c>
      <c r="E934" s="27" t="str">
        <f>IF('Paste SD Data'!E931="","",UPPER('Paste SD Data'!E931))</f>
        <v/>
      </c>
      <c r="F934" s="27" t="str">
        <f>IF('Paste SD Data'!G931="","",UPPER('Paste SD Data'!G931))</f>
        <v/>
      </c>
      <c r="G934" s="27" t="str">
        <f>IF('Paste SD Data'!H931="","",UPPER('Paste SD Data'!H931))</f>
        <v/>
      </c>
      <c r="H934" s="26" t="str">
        <f>IF('Paste SD Data'!I931="","",IF('Paste SD Data'!I931="M","BOY","GIRL"))</f>
        <v/>
      </c>
      <c r="I934" s="28" t="str">
        <f>IF('Paste SD Data'!J931="","",'Paste SD Data'!J931)</f>
        <v/>
      </c>
      <c r="J934" s="34">
        <f t="shared" si="14"/>
        <v>1360</v>
      </c>
      <c r="K934" s="29" t="str">
        <f>IF('Paste SD Data'!O931="","",'Paste SD Data'!O931)</f>
        <v/>
      </c>
    </row>
    <row r="935" spans="1:11" ht="30" customHeight="1" x14ac:dyDescent="0.25">
      <c r="A935" s="25" t="str">
        <f>IF(Table1[[#This Row],[Name of Student]]="","",ROWS($A$1:A931))</f>
        <v/>
      </c>
      <c r="B935" s="26" t="str">
        <f>IF('Paste SD Data'!A932="","",'Paste SD Data'!A932)</f>
        <v/>
      </c>
      <c r="C935" s="26" t="str">
        <f>IF('Paste SD Data'!B932="","",'Paste SD Data'!B932)</f>
        <v/>
      </c>
      <c r="D935" s="26" t="str">
        <f>IF('Paste SD Data'!C932="","",'Paste SD Data'!C932)</f>
        <v/>
      </c>
      <c r="E935" s="27" t="str">
        <f>IF('Paste SD Data'!E932="","",UPPER('Paste SD Data'!E932))</f>
        <v/>
      </c>
      <c r="F935" s="27" t="str">
        <f>IF('Paste SD Data'!G932="","",UPPER('Paste SD Data'!G932))</f>
        <v/>
      </c>
      <c r="G935" s="27" t="str">
        <f>IF('Paste SD Data'!H932="","",UPPER('Paste SD Data'!H932))</f>
        <v/>
      </c>
      <c r="H935" s="26" t="str">
        <f>IF('Paste SD Data'!I932="","",IF('Paste SD Data'!I932="M","BOY","GIRL"))</f>
        <v/>
      </c>
      <c r="I935" s="28" t="str">
        <f>IF('Paste SD Data'!J932="","",'Paste SD Data'!J932)</f>
        <v/>
      </c>
      <c r="J935" s="34">
        <f t="shared" si="14"/>
        <v>1361</v>
      </c>
      <c r="K935" s="29" t="str">
        <f>IF('Paste SD Data'!O932="","",'Paste SD Data'!O932)</f>
        <v/>
      </c>
    </row>
    <row r="936" spans="1:11" ht="30" customHeight="1" x14ac:dyDescent="0.25">
      <c r="A936" s="25" t="str">
        <f>IF(Table1[[#This Row],[Name of Student]]="","",ROWS($A$1:A932))</f>
        <v/>
      </c>
      <c r="B936" s="26" t="str">
        <f>IF('Paste SD Data'!A933="","",'Paste SD Data'!A933)</f>
        <v/>
      </c>
      <c r="C936" s="26" t="str">
        <f>IF('Paste SD Data'!B933="","",'Paste SD Data'!B933)</f>
        <v/>
      </c>
      <c r="D936" s="26" t="str">
        <f>IF('Paste SD Data'!C933="","",'Paste SD Data'!C933)</f>
        <v/>
      </c>
      <c r="E936" s="27" t="str">
        <f>IF('Paste SD Data'!E933="","",UPPER('Paste SD Data'!E933))</f>
        <v/>
      </c>
      <c r="F936" s="27" t="str">
        <f>IF('Paste SD Data'!G933="","",UPPER('Paste SD Data'!G933))</f>
        <v/>
      </c>
      <c r="G936" s="27" t="str">
        <f>IF('Paste SD Data'!H933="","",UPPER('Paste SD Data'!H933))</f>
        <v/>
      </c>
      <c r="H936" s="26" t="str">
        <f>IF('Paste SD Data'!I933="","",IF('Paste SD Data'!I933="M","BOY","GIRL"))</f>
        <v/>
      </c>
      <c r="I936" s="28" t="str">
        <f>IF('Paste SD Data'!J933="","",'Paste SD Data'!J933)</f>
        <v/>
      </c>
      <c r="J936" s="34">
        <f t="shared" si="14"/>
        <v>1362</v>
      </c>
      <c r="K936" s="29" t="str">
        <f>IF('Paste SD Data'!O933="","",'Paste SD Data'!O933)</f>
        <v/>
      </c>
    </row>
    <row r="937" spans="1:11" ht="30" customHeight="1" x14ac:dyDescent="0.25">
      <c r="A937" s="25" t="str">
        <f>IF(Table1[[#This Row],[Name of Student]]="","",ROWS($A$1:A933))</f>
        <v/>
      </c>
      <c r="B937" s="26" t="str">
        <f>IF('Paste SD Data'!A934="","",'Paste SD Data'!A934)</f>
        <v/>
      </c>
      <c r="C937" s="26" t="str">
        <f>IF('Paste SD Data'!B934="","",'Paste SD Data'!B934)</f>
        <v/>
      </c>
      <c r="D937" s="26" t="str">
        <f>IF('Paste SD Data'!C934="","",'Paste SD Data'!C934)</f>
        <v/>
      </c>
      <c r="E937" s="27" t="str">
        <f>IF('Paste SD Data'!E934="","",UPPER('Paste SD Data'!E934))</f>
        <v/>
      </c>
      <c r="F937" s="27" t="str">
        <f>IF('Paste SD Data'!G934="","",UPPER('Paste SD Data'!G934))</f>
        <v/>
      </c>
      <c r="G937" s="27" t="str">
        <f>IF('Paste SD Data'!H934="","",UPPER('Paste SD Data'!H934))</f>
        <v/>
      </c>
      <c r="H937" s="26" t="str">
        <f>IF('Paste SD Data'!I934="","",IF('Paste SD Data'!I934="M","BOY","GIRL"))</f>
        <v/>
      </c>
      <c r="I937" s="28" t="str">
        <f>IF('Paste SD Data'!J934="","",'Paste SD Data'!J934)</f>
        <v/>
      </c>
      <c r="J937" s="34">
        <f t="shared" si="14"/>
        <v>1363</v>
      </c>
      <c r="K937" s="29" t="str">
        <f>IF('Paste SD Data'!O934="","",'Paste SD Data'!O934)</f>
        <v/>
      </c>
    </row>
    <row r="938" spans="1:11" ht="30" customHeight="1" x14ac:dyDescent="0.25">
      <c r="A938" s="25" t="str">
        <f>IF(Table1[[#This Row],[Name of Student]]="","",ROWS($A$1:A934))</f>
        <v/>
      </c>
      <c r="B938" s="26" t="str">
        <f>IF('Paste SD Data'!A935="","",'Paste SD Data'!A935)</f>
        <v/>
      </c>
      <c r="C938" s="26" t="str">
        <f>IF('Paste SD Data'!B935="","",'Paste SD Data'!B935)</f>
        <v/>
      </c>
      <c r="D938" s="26" t="str">
        <f>IF('Paste SD Data'!C935="","",'Paste SD Data'!C935)</f>
        <v/>
      </c>
      <c r="E938" s="27" t="str">
        <f>IF('Paste SD Data'!E935="","",UPPER('Paste SD Data'!E935))</f>
        <v/>
      </c>
      <c r="F938" s="27" t="str">
        <f>IF('Paste SD Data'!G935="","",UPPER('Paste SD Data'!G935))</f>
        <v/>
      </c>
      <c r="G938" s="27" t="str">
        <f>IF('Paste SD Data'!H935="","",UPPER('Paste SD Data'!H935))</f>
        <v/>
      </c>
      <c r="H938" s="26" t="str">
        <f>IF('Paste SD Data'!I935="","",IF('Paste SD Data'!I935="M","BOY","GIRL"))</f>
        <v/>
      </c>
      <c r="I938" s="28" t="str">
        <f>IF('Paste SD Data'!J935="","",'Paste SD Data'!J935)</f>
        <v/>
      </c>
      <c r="J938" s="34">
        <f t="shared" si="14"/>
        <v>1364</v>
      </c>
      <c r="K938" s="29" t="str">
        <f>IF('Paste SD Data'!O935="","",'Paste SD Data'!O935)</f>
        <v/>
      </c>
    </row>
    <row r="939" spans="1:11" ht="30" customHeight="1" x14ac:dyDescent="0.25">
      <c r="A939" s="25" t="str">
        <f>IF(Table1[[#This Row],[Name of Student]]="","",ROWS($A$1:A935))</f>
        <v/>
      </c>
      <c r="B939" s="26" t="str">
        <f>IF('Paste SD Data'!A936="","",'Paste SD Data'!A936)</f>
        <v/>
      </c>
      <c r="C939" s="26" t="str">
        <f>IF('Paste SD Data'!B936="","",'Paste SD Data'!B936)</f>
        <v/>
      </c>
      <c r="D939" s="26" t="str">
        <f>IF('Paste SD Data'!C936="","",'Paste SD Data'!C936)</f>
        <v/>
      </c>
      <c r="E939" s="27" t="str">
        <f>IF('Paste SD Data'!E936="","",UPPER('Paste SD Data'!E936))</f>
        <v/>
      </c>
      <c r="F939" s="27" t="str">
        <f>IF('Paste SD Data'!G936="","",UPPER('Paste SD Data'!G936))</f>
        <v/>
      </c>
      <c r="G939" s="27" t="str">
        <f>IF('Paste SD Data'!H936="","",UPPER('Paste SD Data'!H936))</f>
        <v/>
      </c>
      <c r="H939" s="26" t="str">
        <f>IF('Paste SD Data'!I936="","",IF('Paste SD Data'!I936="M","BOY","GIRL"))</f>
        <v/>
      </c>
      <c r="I939" s="28" t="str">
        <f>IF('Paste SD Data'!J936="","",'Paste SD Data'!J936)</f>
        <v/>
      </c>
      <c r="J939" s="34">
        <f t="shared" si="14"/>
        <v>1365</v>
      </c>
      <c r="K939" s="29" t="str">
        <f>IF('Paste SD Data'!O936="","",'Paste SD Data'!O936)</f>
        <v/>
      </c>
    </row>
    <row r="940" spans="1:11" ht="30" customHeight="1" x14ac:dyDescent="0.25">
      <c r="A940" s="25" t="str">
        <f>IF(Table1[[#This Row],[Name of Student]]="","",ROWS($A$1:A936))</f>
        <v/>
      </c>
      <c r="B940" s="26" t="str">
        <f>IF('Paste SD Data'!A937="","",'Paste SD Data'!A937)</f>
        <v/>
      </c>
      <c r="C940" s="26" t="str">
        <f>IF('Paste SD Data'!B937="","",'Paste SD Data'!B937)</f>
        <v/>
      </c>
      <c r="D940" s="26" t="str">
        <f>IF('Paste SD Data'!C937="","",'Paste SD Data'!C937)</f>
        <v/>
      </c>
      <c r="E940" s="27" t="str">
        <f>IF('Paste SD Data'!E937="","",UPPER('Paste SD Data'!E937))</f>
        <v/>
      </c>
      <c r="F940" s="27" t="str">
        <f>IF('Paste SD Data'!G937="","",UPPER('Paste SD Data'!G937))</f>
        <v/>
      </c>
      <c r="G940" s="27" t="str">
        <f>IF('Paste SD Data'!H937="","",UPPER('Paste SD Data'!H937))</f>
        <v/>
      </c>
      <c r="H940" s="26" t="str">
        <f>IF('Paste SD Data'!I937="","",IF('Paste SD Data'!I937="M","BOY","GIRL"))</f>
        <v/>
      </c>
      <c r="I940" s="28" t="str">
        <f>IF('Paste SD Data'!J937="","",'Paste SD Data'!J937)</f>
        <v/>
      </c>
      <c r="J940" s="34">
        <f t="shared" si="14"/>
        <v>1366</v>
      </c>
      <c r="K940" s="29" t="str">
        <f>IF('Paste SD Data'!O937="","",'Paste SD Data'!O937)</f>
        <v/>
      </c>
    </row>
    <row r="941" spans="1:11" ht="30" customHeight="1" x14ac:dyDescent="0.25">
      <c r="A941" s="25" t="str">
        <f>IF(Table1[[#This Row],[Name of Student]]="","",ROWS($A$1:A937))</f>
        <v/>
      </c>
      <c r="B941" s="26" t="str">
        <f>IF('Paste SD Data'!A938="","",'Paste SD Data'!A938)</f>
        <v/>
      </c>
      <c r="C941" s="26" t="str">
        <f>IF('Paste SD Data'!B938="","",'Paste SD Data'!B938)</f>
        <v/>
      </c>
      <c r="D941" s="26" t="str">
        <f>IF('Paste SD Data'!C938="","",'Paste SD Data'!C938)</f>
        <v/>
      </c>
      <c r="E941" s="27" t="str">
        <f>IF('Paste SD Data'!E938="","",UPPER('Paste SD Data'!E938))</f>
        <v/>
      </c>
      <c r="F941" s="27" t="str">
        <f>IF('Paste SD Data'!G938="","",UPPER('Paste SD Data'!G938))</f>
        <v/>
      </c>
      <c r="G941" s="27" t="str">
        <f>IF('Paste SD Data'!H938="","",UPPER('Paste SD Data'!H938))</f>
        <v/>
      </c>
      <c r="H941" s="26" t="str">
        <f>IF('Paste SD Data'!I938="","",IF('Paste SD Data'!I938="M","BOY","GIRL"))</f>
        <v/>
      </c>
      <c r="I941" s="28" t="str">
        <f>IF('Paste SD Data'!J938="","",'Paste SD Data'!J938)</f>
        <v/>
      </c>
      <c r="J941" s="34">
        <f t="shared" si="14"/>
        <v>1367</v>
      </c>
      <c r="K941" s="29" t="str">
        <f>IF('Paste SD Data'!O938="","",'Paste SD Data'!O938)</f>
        <v/>
      </c>
    </row>
    <row r="942" spans="1:11" ht="30" customHeight="1" x14ac:dyDescent="0.25">
      <c r="A942" s="25" t="str">
        <f>IF(Table1[[#This Row],[Name of Student]]="","",ROWS($A$1:A938))</f>
        <v/>
      </c>
      <c r="B942" s="26" t="str">
        <f>IF('Paste SD Data'!A939="","",'Paste SD Data'!A939)</f>
        <v/>
      </c>
      <c r="C942" s="26" t="str">
        <f>IF('Paste SD Data'!B939="","",'Paste SD Data'!B939)</f>
        <v/>
      </c>
      <c r="D942" s="26" t="str">
        <f>IF('Paste SD Data'!C939="","",'Paste SD Data'!C939)</f>
        <v/>
      </c>
      <c r="E942" s="27" t="str">
        <f>IF('Paste SD Data'!E939="","",UPPER('Paste SD Data'!E939))</f>
        <v/>
      </c>
      <c r="F942" s="27" t="str">
        <f>IF('Paste SD Data'!G939="","",UPPER('Paste SD Data'!G939))</f>
        <v/>
      </c>
      <c r="G942" s="27" t="str">
        <f>IF('Paste SD Data'!H939="","",UPPER('Paste SD Data'!H939))</f>
        <v/>
      </c>
      <c r="H942" s="26" t="str">
        <f>IF('Paste SD Data'!I939="","",IF('Paste SD Data'!I939="M","BOY","GIRL"))</f>
        <v/>
      </c>
      <c r="I942" s="28" t="str">
        <f>IF('Paste SD Data'!J939="","",'Paste SD Data'!J939)</f>
        <v/>
      </c>
      <c r="J942" s="34">
        <f t="shared" si="14"/>
        <v>1368</v>
      </c>
      <c r="K942" s="29" t="str">
        <f>IF('Paste SD Data'!O939="","",'Paste SD Data'!O939)</f>
        <v/>
      </c>
    </row>
    <row r="943" spans="1:11" ht="30" customHeight="1" x14ac:dyDescent="0.25">
      <c r="A943" s="25" t="str">
        <f>IF(Table1[[#This Row],[Name of Student]]="","",ROWS($A$1:A939))</f>
        <v/>
      </c>
      <c r="B943" s="26" t="str">
        <f>IF('Paste SD Data'!A940="","",'Paste SD Data'!A940)</f>
        <v/>
      </c>
      <c r="C943" s="26" t="str">
        <f>IF('Paste SD Data'!B940="","",'Paste SD Data'!B940)</f>
        <v/>
      </c>
      <c r="D943" s="26" t="str">
        <f>IF('Paste SD Data'!C940="","",'Paste SD Data'!C940)</f>
        <v/>
      </c>
      <c r="E943" s="27" t="str">
        <f>IF('Paste SD Data'!E940="","",UPPER('Paste SD Data'!E940))</f>
        <v/>
      </c>
      <c r="F943" s="27" t="str">
        <f>IF('Paste SD Data'!G940="","",UPPER('Paste SD Data'!G940))</f>
        <v/>
      </c>
      <c r="G943" s="27" t="str">
        <f>IF('Paste SD Data'!H940="","",UPPER('Paste SD Data'!H940))</f>
        <v/>
      </c>
      <c r="H943" s="26" t="str">
        <f>IF('Paste SD Data'!I940="","",IF('Paste SD Data'!I940="M","BOY","GIRL"))</f>
        <v/>
      </c>
      <c r="I943" s="28" t="str">
        <f>IF('Paste SD Data'!J940="","",'Paste SD Data'!J940)</f>
        <v/>
      </c>
      <c r="J943" s="34">
        <f t="shared" si="14"/>
        <v>1369</v>
      </c>
      <c r="K943" s="29" t="str">
        <f>IF('Paste SD Data'!O940="","",'Paste SD Data'!O940)</f>
        <v/>
      </c>
    </row>
    <row r="944" spans="1:11" ht="30" customHeight="1" x14ac:dyDescent="0.25">
      <c r="A944" s="25" t="str">
        <f>IF(Table1[[#This Row],[Name of Student]]="","",ROWS($A$1:A940))</f>
        <v/>
      </c>
      <c r="B944" s="26" t="str">
        <f>IF('Paste SD Data'!A941="","",'Paste SD Data'!A941)</f>
        <v/>
      </c>
      <c r="C944" s="26" t="str">
        <f>IF('Paste SD Data'!B941="","",'Paste SD Data'!B941)</f>
        <v/>
      </c>
      <c r="D944" s="26" t="str">
        <f>IF('Paste SD Data'!C941="","",'Paste SD Data'!C941)</f>
        <v/>
      </c>
      <c r="E944" s="27" t="str">
        <f>IF('Paste SD Data'!E941="","",UPPER('Paste SD Data'!E941))</f>
        <v/>
      </c>
      <c r="F944" s="27" t="str">
        <f>IF('Paste SD Data'!G941="","",UPPER('Paste SD Data'!G941))</f>
        <v/>
      </c>
      <c r="G944" s="27" t="str">
        <f>IF('Paste SD Data'!H941="","",UPPER('Paste SD Data'!H941))</f>
        <v/>
      </c>
      <c r="H944" s="26" t="str">
        <f>IF('Paste SD Data'!I941="","",IF('Paste SD Data'!I941="M","BOY","GIRL"))</f>
        <v/>
      </c>
      <c r="I944" s="28" t="str">
        <f>IF('Paste SD Data'!J941="","",'Paste SD Data'!J941)</f>
        <v/>
      </c>
      <c r="J944" s="34">
        <f t="shared" si="14"/>
        <v>1370</v>
      </c>
      <c r="K944" s="29" t="str">
        <f>IF('Paste SD Data'!O941="","",'Paste SD Data'!O941)</f>
        <v/>
      </c>
    </row>
    <row r="945" spans="1:11" ht="30" customHeight="1" x14ac:dyDescent="0.25">
      <c r="A945" s="25" t="str">
        <f>IF(Table1[[#This Row],[Name of Student]]="","",ROWS($A$1:A941))</f>
        <v/>
      </c>
      <c r="B945" s="26" t="str">
        <f>IF('Paste SD Data'!A942="","",'Paste SD Data'!A942)</f>
        <v/>
      </c>
      <c r="C945" s="26" t="str">
        <f>IF('Paste SD Data'!B942="","",'Paste SD Data'!B942)</f>
        <v/>
      </c>
      <c r="D945" s="26" t="str">
        <f>IF('Paste SD Data'!C942="","",'Paste SD Data'!C942)</f>
        <v/>
      </c>
      <c r="E945" s="27" t="str">
        <f>IF('Paste SD Data'!E942="","",UPPER('Paste SD Data'!E942))</f>
        <v/>
      </c>
      <c r="F945" s="27" t="str">
        <f>IF('Paste SD Data'!G942="","",UPPER('Paste SD Data'!G942))</f>
        <v/>
      </c>
      <c r="G945" s="27" t="str">
        <f>IF('Paste SD Data'!H942="","",UPPER('Paste SD Data'!H942))</f>
        <v/>
      </c>
      <c r="H945" s="26" t="str">
        <f>IF('Paste SD Data'!I942="","",IF('Paste SD Data'!I942="M","BOY","GIRL"))</f>
        <v/>
      </c>
      <c r="I945" s="28" t="str">
        <f>IF('Paste SD Data'!J942="","",'Paste SD Data'!J942)</f>
        <v/>
      </c>
      <c r="J945" s="34">
        <f t="shared" si="14"/>
        <v>1371</v>
      </c>
      <c r="K945" s="29" t="str">
        <f>IF('Paste SD Data'!O942="","",'Paste SD Data'!O942)</f>
        <v/>
      </c>
    </row>
    <row r="946" spans="1:11" ht="30" customHeight="1" x14ac:dyDescent="0.25">
      <c r="A946" s="25" t="str">
        <f>IF(Table1[[#This Row],[Name of Student]]="","",ROWS($A$1:A942))</f>
        <v/>
      </c>
      <c r="B946" s="26" t="str">
        <f>IF('Paste SD Data'!A943="","",'Paste SD Data'!A943)</f>
        <v/>
      </c>
      <c r="C946" s="26" t="str">
        <f>IF('Paste SD Data'!B943="","",'Paste SD Data'!B943)</f>
        <v/>
      </c>
      <c r="D946" s="26" t="str">
        <f>IF('Paste SD Data'!C943="","",'Paste SD Data'!C943)</f>
        <v/>
      </c>
      <c r="E946" s="27" t="str">
        <f>IF('Paste SD Data'!E943="","",UPPER('Paste SD Data'!E943))</f>
        <v/>
      </c>
      <c r="F946" s="27" t="str">
        <f>IF('Paste SD Data'!G943="","",UPPER('Paste SD Data'!G943))</f>
        <v/>
      </c>
      <c r="G946" s="27" t="str">
        <f>IF('Paste SD Data'!H943="","",UPPER('Paste SD Data'!H943))</f>
        <v/>
      </c>
      <c r="H946" s="26" t="str">
        <f>IF('Paste SD Data'!I943="","",IF('Paste SD Data'!I943="M","BOY","GIRL"))</f>
        <v/>
      </c>
      <c r="I946" s="28" t="str">
        <f>IF('Paste SD Data'!J943="","",'Paste SD Data'!J943)</f>
        <v/>
      </c>
      <c r="J946" s="34">
        <f t="shared" si="14"/>
        <v>1372</v>
      </c>
      <c r="K946" s="29" t="str">
        <f>IF('Paste SD Data'!O943="","",'Paste SD Data'!O943)</f>
        <v/>
      </c>
    </row>
    <row r="947" spans="1:11" ht="30" customHeight="1" x14ac:dyDescent="0.25">
      <c r="A947" s="25" t="str">
        <f>IF(Table1[[#This Row],[Name of Student]]="","",ROWS($A$1:A943))</f>
        <v/>
      </c>
      <c r="B947" s="26" t="str">
        <f>IF('Paste SD Data'!A944="","",'Paste SD Data'!A944)</f>
        <v/>
      </c>
      <c r="C947" s="26" t="str">
        <f>IF('Paste SD Data'!B944="","",'Paste SD Data'!B944)</f>
        <v/>
      </c>
      <c r="D947" s="26" t="str">
        <f>IF('Paste SD Data'!C944="","",'Paste SD Data'!C944)</f>
        <v/>
      </c>
      <c r="E947" s="27" t="str">
        <f>IF('Paste SD Data'!E944="","",UPPER('Paste SD Data'!E944))</f>
        <v/>
      </c>
      <c r="F947" s="27" t="str">
        <f>IF('Paste SD Data'!G944="","",UPPER('Paste SD Data'!G944))</f>
        <v/>
      </c>
      <c r="G947" s="27" t="str">
        <f>IF('Paste SD Data'!H944="","",UPPER('Paste SD Data'!H944))</f>
        <v/>
      </c>
      <c r="H947" s="26" t="str">
        <f>IF('Paste SD Data'!I944="","",IF('Paste SD Data'!I944="M","BOY","GIRL"))</f>
        <v/>
      </c>
      <c r="I947" s="28" t="str">
        <f>IF('Paste SD Data'!J944="","",'Paste SD Data'!J944)</f>
        <v/>
      </c>
      <c r="J947" s="34">
        <f t="shared" si="14"/>
        <v>1373</v>
      </c>
      <c r="K947" s="29" t="str">
        <f>IF('Paste SD Data'!O944="","",'Paste SD Data'!O944)</f>
        <v/>
      </c>
    </row>
    <row r="948" spans="1:11" ht="30" customHeight="1" x14ac:dyDescent="0.25">
      <c r="A948" s="25" t="str">
        <f>IF(Table1[[#This Row],[Name of Student]]="","",ROWS($A$1:A944))</f>
        <v/>
      </c>
      <c r="B948" s="26" t="str">
        <f>IF('Paste SD Data'!A945="","",'Paste SD Data'!A945)</f>
        <v/>
      </c>
      <c r="C948" s="26" t="str">
        <f>IF('Paste SD Data'!B945="","",'Paste SD Data'!B945)</f>
        <v/>
      </c>
      <c r="D948" s="26" t="str">
        <f>IF('Paste SD Data'!C945="","",'Paste SD Data'!C945)</f>
        <v/>
      </c>
      <c r="E948" s="27" t="str">
        <f>IF('Paste SD Data'!E945="","",UPPER('Paste SD Data'!E945))</f>
        <v/>
      </c>
      <c r="F948" s="27" t="str">
        <f>IF('Paste SD Data'!G945="","",UPPER('Paste SD Data'!G945))</f>
        <v/>
      </c>
      <c r="G948" s="27" t="str">
        <f>IF('Paste SD Data'!H945="","",UPPER('Paste SD Data'!H945))</f>
        <v/>
      </c>
      <c r="H948" s="26" t="str">
        <f>IF('Paste SD Data'!I945="","",IF('Paste SD Data'!I945="M","BOY","GIRL"))</f>
        <v/>
      </c>
      <c r="I948" s="28" t="str">
        <f>IF('Paste SD Data'!J945="","",'Paste SD Data'!J945)</f>
        <v/>
      </c>
      <c r="J948" s="34">
        <f t="shared" si="14"/>
        <v>1374</v>
      </c>
      <c r="K948" s="29" t="str">
        <f>IF('Paste SD Data'!O945="","",'Paste SD Data'!O945)</f>
        <v/>
      </c>
    </row>
    <row r="949" spans="1:11" ht="30" customHeight="1" x14ac:dyDescent="0.25">
      <c r="A949" s="25" t="str">
        <f>IF(Table1[[#This Row],[Name of Student]]="","",ROWS($A$1:A945))</f>
        <v/>
      </c>
      <c r="B949" s="26" t="str">
        <f>IF('Paste SD Data'!A946="","",'Paste SD Data'!A946)</f>
        <v/>
      </c>
      <c r="C949" s="26" t="str">
        <f>IF('Paste SD Data'!B946="","",'Paste SD Data'!B946)</f>
        <v/>
      </c>
      <c r="D949" s="26" t="str">
        <f>IF('Paste SD Data'!C946="","",'Paste SD Data'!C946)</f>
        <v/>
      </c>
      <c r="E949" s="27" t="str">
        <f>IF('Paste SD Data'!E946="","",UPPER('Paste SD Data'!E946))</f>
        <v/>
      </c>
      <c r="F949" s="27" t="str">
        <f>IF('Paste SD Data'!G946="","",UPPER('Paste SD Data'!G946))</f>
        <v/>
      </c>
      <c r="G949" s="27" t="str">
        <f>IF('Paste SD Data'!H946="","",UPPER('Paste SD Data'!H946))</f>
        <v/>
      </c>
      <c r="H949" s="26" t="str">
        <f>IF('Paste SD Data'!I946="","",IF('Paste SD Data'!I946="M","BOY","GIRL"))</f>
        <v/>
      </c>
      <c r="I949" s="28" t="str">
        <f>IF('Paste SD Data'!J946="","",'Paste SD Data'!J946)</f>
        <v/>
      </c>
      <c r="J949" s="34">
        <f t="shared" si="14"/>
        <v>1375</v>
      </c>
      <c r="K949" s="29" t="str">
        <f>IF('Paste SD Data'!O946="","",'Paste SD Data'!O946)</f>
        <v/>
      </c>
    </row>
    <row r="950" spans="1:11" ht="30" customHeight="1" x14ac:dyDescent="0.25">
      <c r="A950" s="25" t="str">
        <f>IF(Table1[[#This Row],[Name of Student]]="","",ROWS($A$1:A946))</f>
        <v/>
      </c>
      <c r="B950" s="26" t="str">
        <f>IF('Paste SD Data'!A947="","",'Paste SD Data'!A947)</f>
        <v/>
      </c>
      <c r="C950" s="26" t="str">
        <f>IF('Paste SD Data'!B947="","",'Paste SD Data'!B947)</f>
        <v/>
      </c>
      <c r="D950" s="26" t="str">
        <f>IF('Paste SD Data'!C947="","",'Paste SD Data'!C947)</f>
        <v/>
      </c>
      <c r="E950" s="27" t="str">
        <f>IF('Paste SD Data'!E947="","",UPPER('Paste SD Data'!E947))</f>
        <v/>
      </c>
      <c r="F950" s="27" t="str">
        <f>IF('Paste SD Data'!G947="","",UPPER('Paste SD Data'!G947))</f>
        <v/>
      </c>
      <c r="G950" s="27" t="str">
        <f>IF('Paste SD Data'!H947="","",UPPER('Paste SD Data'!H947))</f>
        <v/>
      </c>
      <c r="H950" s="26" t="str">
        <f>IF('Paste SD Data'!I947="","",IF('Paste SD Data'!I947="M","BOY","GIRL"))</f>
        <v/>
      </c>
      <c r="I950" s="28" t="str">
        <f>IF('Paste SD Data'!J947="","",'Paste SD Data'!J947)</f>
        <v/>
      </c>
      <c r="J950" s="34">
        <f t="shared" si="14"/>
        <v>1376</v>
      </c>
      <c r="K950" s="29" t="str">
        <f>IF('Paste SD Data'!O947="","",'Paste SD Data'!O947)</f>
        <v/>
      </c>
    </row>
    <row r="951" spans="1:11" ht="30" customHeight="1" x14ac:dyDescent="0.25">
      <c r="A951" s="25" t="str">
        <f>IF(Table1[[#This Row],[Name of Student]]="","",ROWS($A$1:A947))</f>
        <v/>
      </c>
      <c r="B951" s="26" t="str">
        <f>IF('Paste SD Data'!A948="","",'Paste SD Data'!A948)</f>
        <v/>
      </c>
      <c r="C951" s="26" t="str">
        <f>IF('Paste SD Data'!B948="","",'Paste SD Data'!B948)</f>
        <v/>
      </c>
      <c r="D951" s="26" t="str">
        <f>IF('Paste SD Data'!C948="","",'Paste SD Data'!C948)</f>
        <v/>
      </c>
      <c r="E951" s="27" t="str">
        <f>IF('Paste SD Data'!E948="","",UPPER('Paste SD Data'!E948))</f>
        <v/>
      </c>
      <c r="F951" s="27" t="str">
        <f>IF('Paste SD Data'!G948="","",UPPER('Paste SD Data'!G948))</f>
        <v/>
      </c>
      <c r="G951" s="27" t="str">
        <f>IF('Paste SD Data'!H948="","",UPPER('Paste SD Data'!H948))</f>
        <v/>
      </c>
      <c r="H951" s="26" t="str">
        <f>IF('Paste SD Data'!I948="","",IF('Paste SD Data'!I948="M","BOY","GIRL"))</f>
        <v/>
      </c>
      <c r="I951" s="28" t="str">
        <f>IF('Paste SD Data'!J948="","",'Paste SD Data'!J948)</f>
        <v/>
      </c>
      <c r="J951" s="34">
        <f t="shared" si="14"/>
        <v>1377</v>
      </c>
      <c r="K951" s="29" t="str">
        <f>IF('Paste SD Data'!O948="","",'Paste SD Data'!O948)</f>
        <v/>
      </c>
    </row>
    <row r="952" spans="1:11" ht="30" customHeight="1" x14ac:dyDescent="0.25">
      <c r="A952" s="25" t="str">
        <f>IF(Table1[[#This Row],[Name of Student]]="","",ROWS($A$1:A948))</f>
        <v/>
      </c>
      <c r="B952" s="26" t="str">
        <f>IF('Paste SD Data'!A949="","",'Paste SD Data'!A949)</f>
        <v/>
      </c>
      <c r="C952" s="26" t="str">
        <f>IF('Paste SD Data'!B949="","",'Paste SD Data'!B949)</f>
        <v/>
      </c>
      <c r="D952" s="26" t="str">
        <f>IF('Paste SD Data'!C949="","",'Paste SD Data'!C949)</f>
        <v/>
      </c>
      <c r="E952" s="27" t="str">
        <f>IF('Paste SD Data'!E949="","",UPPER('Paste SD Data'!E949))</f>
        <v/>
      </c>
      <c r="F952" s="27" t="str">
        <f>IF('Paste SD Data'!G949="","",UPPER('Paste SD Data'!G949))</f>
        <v/>
      </c>
      <c r="G952" s="27" t="str">
        <f>IF('Paste SD Data'!H949="","",UPPER('Paste SD Data'!H949))</f>
        <v/>
      </c>
      <c r="H952" s="26" t="str">
        <f>IF('Paste SD Data'!I949="","",IF('Paste SD Data'!I949="M","BOY","GIRL"))</f>
        <v/>
      </c>
      <c r="I952" s="28" t="str">
        <f>IF('Paste SD Data'!J949="","",'Paste SD Data'!J949)</f>
        <v/>
      </c>
      <c r="J952" s="34">
        <f t="shared" si="14"/>
        <v>1378</v>
      </c>
      <c r="K952" s="29" t="str">
        <f>IF('Paste SD Data'!O949="","",'Paste SD Data'!O949)</f>
        <v/>
      </c>
    </row>
    <row r="953" spans="1:11" ht="30" customHeight="1" x14ac:dyDescent="0.25">
      <c r="A953" s="25" t="str">
        <f>IF(Table1[[#This Row],[Name of Student]]="","",ROWS($A$1:A949))</f>
        <v/>
      </c>
      <c r="B953" s="26" t="str">
        <f>IF('Paste SD Data'!A950="","",'Paste SD Data'!A950)</f>
        <v/>
      </c>
      <c r="C953" s="26" t="str">
        <f>IF('Paste SD Data'!B950="","",'Paste SD Data'!B950)</f>
        <v/>
      </c>
      <c r="D953" s="26" t="str">
        <f>IF('Paste SD Data'!C950="","",'Paste SD Data'!C950)</f>
        <v/>
      </c>
      <c r="E953" s="27" t="str">
        <f>IF('Paste SD Data'!E950="","",UPPER('Paste SD Data'!E950))</f>
        <v/>
      </c>
      <c r="F953" s="27" t="str">
        <f>IF('Paste SD Data'!G950="","",UPPER('Paste SD Data'!G950))</f>
        <v/>
      </c>
      <c r="G953" s="27" t="str">
        <f>IF('Paste SD Data'!H950="","",UPPER('Paste SD Data'!H950))</f>
        <v/>
      </c>
      <c r="H953" s="26" t="str">
        <f>IF('Paste SD Data'!I950="","",IF('Paste SD Data'!I950="M","BOY","GIRL"))</f>
        <v/>
      </c>
      <c r="I953" s="28" t="str">
        <f>IF('Paste SD Data'!J950="","",'Paste SD Data'!J950)</f>
        <v/>
      </c>
      <c r="J953" s="34">
        <f t="shared" si="14"/>
        <v>1379</v>
      </c>
      <c r="K953" s="29" t="str">
        <f>IF('Paste SD Data'!O950="","",'Paste SD Data'!O950)</f>
        <v/>
      </c>
    </row>
    <row r="954" spans="1:11" ht="30" customHeight="1" x14ac:dyDescent="0.25">
      <c r="A954" s="25" t="str">
        <f>IF(Table1[[#This Row],[Name of Student]]="","",ROWS($A$1:A950))</f>
        <v/>
      </c>
      <c r="B954" s="26" t="str">
        <f>IF('Paste SD Data'!A951="","",'Paste SD Data'!A951)</f>
        <v/>
      </c>
      <c r="C954" s="26" t="str">
        <f>IF('Paste SD Data'!B951="","",'Paste SD Data'!B951)</f>
        <v/>
      </c>
      <c r="D954" s="26" t="str">
        <f>IF('Paste SD Data'!C951="","",'Paste SD Data'!C951)</f>
        <v/>
      </c>
      <c r="E954" s="27" t="str">
        <f>IF('Paste SD Data'!E951="","",UPPER('Paste SD Data'!E951))</f>
        <v/>
      </c>
      <c r="F954" s="27" t="str">
        <f>IF('Paste SD Data'!G951="","",UPPER('Paste SD Data'!G951))</f>
        <v/>
      </c>
      <c r="G954" s="27" t="str">
        <f>IF('Paste SD Data'!H951="","",UPPER('Paste SD Data'!H951))</f>
        <v/>
      </c>
      <c r="H954" s="26" t="str">
        <f>IF('Paste SD Data'!I951="","",IF('Paste SD Data'!I951="M","BOY","GIRL"))</f>
        <v/>
      </c>
      <c r="I954" s="28" t="str">
        <f>IF('Paste SD Data'!J951="","",'Paste SD Data'!J951)</f>
        <v/>
      </c>
      <c r="J954" s="34">
        <f t="shared" si="14"/>
        <v>1380</v>
      </c>
      <c r="K954" s="29" t="str">
        <f>IF('Paste SD Data'!O951="","",'Paste SD Data'!O951)</f>
        <v/>
      </c>
    </row>
    <row r="955" spans="1:11" ht="30" customHeight="1" x14ac:dyDescent="0.25">
      <c r="A955" s="25" t="str">
        <f>IF(Table1[[#This Row],[Name of Student]]="","",ROWS($A$1:A951))</f>
        <v/>
      </c>
      <c r="B955" s="26" t="str">
        <f>IF('Paste SD Data'!A952="","",'Paste SD Data'!A952)</f>
        <v/>
      </c>
      <c r="C955" s="26" t="str">
        <f>IF('Paste SD Data'!B952="","",'Paste SD Data'!B952)</f>
        <v/>
      </c>
      <c r="D955" s="26" t="str">
        <f>IF('Paste SD Data'!C952="","",'Paste SD Data'!C952)</f>
        <v/>
      </c>
      <c r="E955" s="27" t="str">
        <f>IF('Paste SD Data'!E952="","",UPPER('Paste SD Data'!E952))</f>
        <v/>
      </c>
      <c r="F955" s="27" t="str">
        <f>IF('Paste SD Data'!G952="","",UPPER('Paste SD Data'!G952))</f>
        <v/>
      </c>
      <c r="G955" s="27" t="str">
        <f>IF('Paste SD Data'!H952="","",UPPER('Paste SD Data'!H952))</f>
        <v/>
      </c>
      <c r="H955" s="26" t="str">
        <f>IF('Paste SD Data'!I952="","",IF('Paste SD Data'!I952="M","BOY","GIRL"))</f>
        <v/>
      </c>
      <c r="I955" s="28" t="str">
        <f>IF('Paste SD Data'!J952="","",'Paste SD Data'!J952)</f>
        <v/>
      </c>
      <c r="J955" s="34">
        <f t="shared" si="14"/>
        <v>1381</v>
      </c>
      <c r="K955" s="29" t="str">
        <f>IF('Paste SD Data'!O952="","",'Paste SD Data'!O952)</f>
        <v/>
      </c>
    </row>
    <row r="956" spans="1:11" ht="30" customHeight="1" x14ac:dyDescent="0.25">
      <c r="A956" s="25" t="str">
        <f>IF(Table1[[#This Row],[Name of Student]]="","",ROWS($A$1:A952))</f>
        <v/>
      </c>
      <c r="B956" s="26" t="str">
        <f>IF('Paste SD Data'!A953="","",'Paste SD Data'!A953)</f>
        <v/>
      </c>
      <c r="C956" s="26" t="str">
        <f>IF('Paste SD Data'!B953="","",'Paste SD Data'!B953)</f>
        <v/>
      </c>
      <c r="D956" s="26" t="str">
        <f>IF('Paste SD Data'!C953="","",'Paste SD Data'!C953)</f>
        <v/>
      </c>
      <c r="E956" s="27" t="str">
        <f>IF('Paste SD Data'!E953="","",UPPER('Paste SD Data'!E953))</f>
        <v/>
      </c>
      <c r="F956" s="27" t="str">
        <f>IF('Paste SD Data'!G953="","",UPPER('Paste SD Data'!G953))</f>
        <v/>
      </c>
      <c r="G956" s="27" t="str">
        <f>IF('Paste SD Data'!H953="","",UPPER('Paste SD Data'!H953))</f>
        <v/>
      </c>
      <c r="H956" s="26" t="str">
        <f>IF('Paste SD Data'!I953="","",IF('Paste SD Data'!I953="M","BOY","GIRL"))</f>
        <v/>
      </c>
      <c r="I956" s="28" t="str">
        <f>IF('Paste SD Data'!J953="","",'Paste SD Data'!J953)</f>
        <v/>
      </c>
      <c r="J956" s="34">
        <f t="shared" si="14"/>
        <v>1382</v>
      </c>
      <c r="K956" s="29" t="str">
        <f>IF('Paste SD Data'!O953="","",'Paste SD Data'!O953)</f>
        <v/>
      </c>
    </row>
    <row r="957" spans="1:11" ht="30" customHeight="1" x14ac:dyDescent="0.25">
      <c r="A957" s="25" t="str">
        <f>IF(Table1[[#This Row],[Name of Student]]="","",ROWS($A$1:A953))</f>
        <v/>
      </c>
      <c r="B957" s="26" t="str">
        <f>IF('Paste SD Data'!A954="","",'Paste SD Data'!A954)</f>
        <v/>
      </c>
      <c r="C957" s="26" t="str">
        <f>IF('Paste SD Data'!B954="","",'Paste SD Data'!B954)</f>
        <v/>
      </c>
      <c r="D957" s="26" t="str">
        <f>IF('Paste SD Data'!C954="","",'Paste SD Data'!C954)</f>
        <v/>
      </c>
      <c r="E957" s="27" t="str">
        <f>IF('Paste SD Data'!E954="","",UPPER('Paste SD Data'!E954))</f>
        <v/>
      </c>
      <c r="F957" s="27" t="str">
        <f>IF('Paste SD Data'!G954="","",UPPER('Paste SD Data'!G954))</f>
        <v/>
      </c>
      <c r="G957" s="27" t="str">
        <f>IF('Paste SD Data'!H954="","",UPPER('Paste SD Data'!H954))</f>
        <v/>
      </c>
      <c r="H957" s="26" t="str">
        <f>IF('Paste SD Data'!I954="","",IF('Paste SD Data'!I954="M","BOY","GIRL"))</f>
        <v/>
      </c>
      <c r="I957" s="28" t="str">
        <f>IF('Paste SD Data'!J954="","",'Paste SD Data'!J954)</f>
        <v/>
      </c>
      <c r="J957" s="34">
        <f t="shared" si="14"/>
        <v>1383</v>
      </c>
      <c r="K957" s="29" t="str">
        <f>IF('Paste SD Data'!O954="","",'Paste SD Data'!O954)</f>
        <v/>
      </c>
    </row>
    <row r="958" spans="1:11" ht="30" customHeight="1" x14ac:dyDescent="0.25">
      <c r="A958" s="25" t="str">
        <f>IF(Table1[[#This Row],[Name of Student]]="","",ROWS($A$1:A954))</f>
        <v/>
      </c>
      <c r="B958" s="26" t="str">
        <f>IF('Paste SD Data'!A955="","",'Paste SD Data'!A955)</f>
        <v/>
      </c>
      <c r="C958" s="26" t="str">
        <f>IF('Paste SD Data'!B955="","",'Paste SD Data'!B955)</f>
        <v/>
      </c>
      <c r="D958" s="26" t="str">
        <f>IF('Paste SD Data'!C955="","",'Paste SD Data'!C955)</f>
        <v/>
      </c>
      <c r="E958" s="27" t="str">
        <f>IF('Paste SD Data'!E955="","",UPPER('Paste SD Data'!E955))</f>
        <v/>
      </c>
      <c r="F958" s="27" t="str">
        <f>IF('Paste SD Data'!G955="","",UPPER('Paste SD Data'!G955))</f>
        <v/>
      </c>
      <c r="G958" s="27" t="str">
        <f>IF('Paste SD Data'!H955="","",UPPER('Paste SD Data'!H955))</f>
        <v/>
      </c>
      <c r="H958" s="26" t="str">
        <f>IF('Paste SD Data'!I955="","",IF('Paste SD Data'!I955="M","BOY","GIRL"))</f>
        <v/>
      </c>
      <c r="I958" s="28" t="str">
        <f>IF('Paste SD Data'!J955="","",'Paste SD Data'!J955)</f>
        <v/>
      </c>
      <c r="J958" s="34">
        <f t="shared" si="14"/>
        <v>1384</v>
      </c>
      <c r="K958" s="29" t="str">
        <f>IF('Paste SD Data'!O955="","",'Paste SD Data'!O955)</f>
        <v/>
      </c>
    </row>
    <row r="959" spans="1:11" ht="30" customHeight="1" x14ac:dyDescent="0.25">
      <c r="A959" s="25" t="str">
        <f>IF(Table1[[#This Row],[Name of Student]]="","",ROWS($A$1:A955))</f>
        <v/>
      </c>
      <c r="B959" s="26" t="str">
        <f>IF('Paste SD Data'!A956="","",'Paste SD Data'!A956)</f>
        <v/>
      </c>
      <c r="C959" s="26" t="str">
        <f>IF('Paste SD Data'!B956="","",'Paste SD Data'!B956)</f>
        <v/>
      </c>
      <c r="D959" s="26" t="str">
        <f>IF('Paste SD Data'!C956="","",'Paste SD Data'!C956)</f>
        <v/>
      </c>
      <c r="E959" s="27" t="str">
        <f>IF('Paste SD Data'!E956="","",UPPER('Paste SD Data'!E956))</f>
        <v/>
      </c>
      <c r="F959" s="27" t="str">
        <f>IF('Paste SD Data'!G956="","",UPPER('Paste SD Data'!G956))</f>
        <v/>
      </c>
      <c r="G959" s="27" t="str">
        <f>IF('Paste SD Data'!H956="","",UPPER('Paste SD Data'!H956))</f>
        <v/>
      </c>
      <c r="H959" s="26" t="str">
        <f>IF('Paste SD Data'!I956="","",IF('Paste SD Data'!I956="M","BOY","GIRL"))</f>
        <v/>
      </c>
      <c r="I959" s="28" t="str">
        <f>IF('Paste SD Data'!J956="","",'Paste SD Data'!J956)</f>
        <v/>
      </c>
      <c r="J959" s="34">
        <f t="shared" si="14"/>
        <v>1385</v>
      </c>
      <c r="K959" s="29" t="str">
        <f>IF('Paste SD Data'!O956="","",'Paste SD Data'!O956)</f>
        <v/>
      </c>
    </row>
    <row r="960" spans="1:11" ht="30" customHeight="1" x14ac:dyDescent="0.25">
      <c r="A960" s="25" t="str">
        <f>IF(Table1[[#This Row],[Name of Student]]="","",ROWS($A$1:A956))</f>
        <v/>
      </c>
      <c r="B960" s="26" t="str">
        <f>IF('Paste SD Data'!A957="","",'Paste SD Data'!A957)</f>
        <v/>
      </c>
      <c r="C960" s="26" t="str">
        <f>IF('Paste SD Data'!B957="","",'Paste SD Data'!B957)</f>
        <v/>
      </c>
      <c r="D960" s="26" t="str">
        <f>IF('Paste SD Data'!C957="","",'Paste SD Data'!C957)</f>
        <v/>
      </c>
      <c r="E960" s="27" t="str">
        <f>IF('Paste SD Data'!E957="","",UPPER('Paste SD Data'!E957))</f>
        <v/>
      </c>
      <c r="F960" s="27" t="str">
        <f>IF('Paste SD Data'!G957="","",UPPER('Paste SD Data'!G957))</f>
        <v/>
      </c>
      <c r="G960" s="27" t="str">
        <f>IF('Paste SD Data'!H957="","",UPPER('Paste SD Data'!H957))</f>
        <v/>
      </c>
      <c r="H960" s="26" t="str">
        <f>IF('Paste SD Data'!I957="","",IF('Paste SD Data'!I957="M","BOY","GIRL"))</f>
        <v/>
      </c>
      <c r="I960" s="28" t="str">
        <f>IF('Paste SD Data'!J957="","",'Paste SD Data'!J957)</f>
        <v/>
      </c>
      <c r="J960" s="34">
        <f t="shared" si="14"/>
        <v>1386</v>
      </c>
      <c r="K960" s="29" t="str">
        <f>IF('Paste SD Data'!O957="","",'Paste SD Data'!O957)</f>
        <v/>
      </c>
    </row>
    <row r="961" spans="1:11" ht="30" customHeight="1" x14ac:dyDescent="0.25">
      <c r="A961" s="25" t="str">
        <f>IF(Table1[[#This Row],[Name of Student]]="","",ROWS($A$1:A957))</f>
        <v/>
      </c>
      <c r="B961" s="26" t="str">
        <f>IF('Paste SD Data'!A958="","",'Paste SD Data'!A958)</f>
        <v/>
      </c>
      <c r="C961" s="26" t="str">
        <f>IF('Paste SD Data'!B958="","",'Paste SD Data'!B958)</f>
        <v/>
      </c>
      <c r="D961" s="26" t="str">
        <f>IF('Paste SD Data'!C958="","",'Paste SD Data'!C958)</f>
        <v/>
      </c>
      <c r="E961" s="27" t="str">
        <f>IF('Paste SD Data'!E958="","",UPPER('Paste SD Data'!E958))</f>
        <v/>
      </c>
      <c r="F961" s="27" t="str">
        <f>IF('Paste SD Data'!G958="","",UPPER('Paste SD Data'!G958))</f>
        <v/>
      </c>
      <c r="G961" s="27" t="str">
        <f>IF('Paste SD Data'!H958="","",UPPER('Paste SD Data'!H958))</f>
        <v/>
      </c>
      <c r="H961" s="26" t="str">
        <f>IF('Paste SD Data'!I958="","",IF('Paste SD Data'!I958="M","BOY","GIRL"))</f>
        <v/>
      </c>
      <c r="I961" s="28" t="str">
        <f>IF('Paste SD Data'!J958="","",'Paste SD Data'!J958)</f>
        <v/>
      </c>
      <c r="J961" s="34">
        <f t="shared" si="14"/>
        <v>1387</v>
      </c>
      <c r="K961" s="29" t="str">
        <f>IF('Paste SD Data'!O958="","",'Paste SD Data'!O958)</f>
        <v/>
      </c>
    </row>
    <row r="962" spans="1:11" ht="30" customHeight="1" x14ac:dyDescent="0.25">
      <c r="A962" s="25" t="str">
        <f>IF(Table1[[#This Row],[Name of Student]]="","",ROWS($A$1:A958))</f>
        <v/>
      </c>
      <c r="B962" s="26" t="str">
        <f>IF('Paste SD Data'!A959="","",'Paste SD Data'!A959)</f>
        <v/>
      </c>
      <c r="C962" s="26" t="str">
        <f>IF('Paste SD Data'!B959="","",'Paste SD Data'!B959)</f>
        <v/>
      </c>
      <c r="D962" s="26" t="str">
        <f>IF('Paste SD Data'!C959="","",'Paste SD Data'!C959)</f>
        <v/>
      </c>
      <c r="E962" s="27" t="str">
        <f>IF('Paste SD Data'!E959="","",UPPER('Paste SD Data'!E959))</f>
        <v/>
      </c>
      <c r="F962" s="27" t="str">
        <f>IF('Paste SD Data'!G959="","",UPPER('Paste SD Data'!G959))</f>
        <v/>
      </c>
      <c r="G962" s="27" t="str">
        <f>IF('Paste SD Data'!H959="","",UPPER('Paste SD Data'!H959))</f>
        <v/>
      </c>
      <c r="H962" s="26" t="str">
        <f>IF('Paste SD Data'!I959="","",IF('Paste SD Data'!I959="M","BOY","GIRL"))</f>
        <v/>
      </c>
      <c r="I962" s="28" t="str">
        <f>IF('Paste SD Data'!J959="","",'Paste SD Data'!J959)</f>
        <v/>
      </c>
      <c r="J962" s="34">
        <f t="shared" si="14"/>
        <v>1388</v>
      </c>
      <c r="K962" s="29" t="str">
        <f>IF('Paste SD Data'!O959="","",'Paste SD Data'!O959)</f>
        <v/>
      </c>
    </row>
    <row r="963" spans="1:11" ht="30" customHeight="1" x14ac:dyDescent="0.25">
      <c r="A963" s="25" t="str">
        <f>IF(Table1[[#This Row],[Name of Student]]="","",ROWS($A$1:A959))</f>
        <v/>
      </c>
      <c r="B963" s="26" t="str">
        <f>IF('Paste SD Data'!A960="","",'Paste SD Data'!A960)</f>
        <v/>
      </c>
      <c r="C963" s="26" t="str">
        <f>IF('Paste SD Data'!B960="","",'Paste SD Data'!B960)</f>
        <v/>
      </c>
      <c r="D963" s="26" t="str">
        <f>IF('Paste SD Data'!C960="","",'Paste SD Data'!C960)</f>
        <v/>
      </c>
      <c r="E963" s="27" t="str">
        <f>IF('Paste SD Data'!E960="","",UPPER('Paste SD Data'!E960))</f>
        <v/>
      </c>
      <c r="F963" s="27" t="str">
        <f>IF('Paste SD Data'!G960="","",UPPER('Paste SD Data'!G960))</f>
        <v/>
      </c>
      <c r="G963" s="27" t="str">
        <f>IF('Paste SD Data'!H960="","",UPPER('Paste SD Data'!H960))</f>
        <v/>
      </c>
      <c r="H963" s="26" t="str">
        <f>IF('Paste SD Data'!I960="","",IF('Paste SD Data'!I960="M","BOY","GIRL"))</f>
        <v/>
      </c>
      <c r="I963" s="28" t="str">
        <f>IF('Paste SD Data'!J960="","",'Paste SD Data'!J960)</f>
        <v/>
      </c>
      <c r="J963" s="34">
        <f t="shared" si="14"/>
        <v>1389</v>
      </c>
      <c r="K963" s="29" t="str">
        <f>IF('Paste SD Data'!O960="","",'Paste SD Data'!O960)</f>
        <v/>
      </c>
    </row>
    <row r="964" spans="1:11" ht="30" customHeight="1" x14ac:dyDescent="0.25">
      <c r="A964" s="25" t="str">
        <f>IF(Table1[[#This Row],[Name of Student]]="","",ROWS($A$1:A960))</f>
        <v/>
      </c>
      <c r="B964" s="26" t="str">
        <f>IF('Paste SD Data'!A961="","",'Paste SD Data'!A961)</f>
        <v/>
      </c>
      <c r="C964" s="26" t="str">
        <f>IF('Paste SD Data'!B961="","",'Paste SD Data'!B961)</f>
        <v/>
      </c>
      <c r="D964" s="26" t="str">
        <f>IF('Paste SD Data'!C961="","",'Paste SD Data'!C961)</f>
        <v/>
      </c>
      <c r="E964" s="27" t="str">
        <f>IF('Paste SD Data'!E961="","",UPPER('Paste SD Data'!E961))</f>
        <v/>
      </c>
      <c r="F964" s="27" t="str">
        <f>IF('Paste SD Data'!G961="","",UPPER('Paste SD Data'!G961))</f>
        <v/>
      </c>
      <c r="G964" s="27" t="str">
        <f>IF('Paste SD Data'!H961="","",UPPER('Paste SD Data'!H961))</f>
        <v/>
      </c>
      <c r="H964" s="26" t="str">
        <f>IF('Paste SD Data'!I961="","",IF('Paste SD Data'!I961="M","BOY","GIRL"))</f>
        <v/>
      </c>
      <c r="I964" s="28" t="str">
        <f>IF('Paste SD Data'!J961="","",'Paste SD Data'!J961)</f>
        <v/>
      </c>
      <c r="J964" s="34">
        <f t="shared" si="14"/>
        <v>1390</v>
      </c>
      <c r="K964" s="29" t="str">
        <f>IF('Paste SD Data'!O961="","",'Paste SD Data'!O961)</f>
        <v/>
      </c>
    </row>
    <row r="965" spans="1:11" ht="30" customHeight="1" x14ac:dyDescent="0.25">
      <c r="A965" s="25" t="str">
        <f>IF(Table1[[#This Row],[Name of Student]]="","",ROWS($A$1:A961))</f>
        <v/>
      </c>
      <c r="B965" s="26" t="str">
        <f>IF('Paste SD Data'!A962="","",'Paste SD Data'!A962)</f>
        <v/>
      </c>
      <c r="C965" s="26" t="str">
        <f>IF('Paste SD Data'!B962="","",'Paste SD Data'!B962)</f>
        <v/>
      </c>
      <c r="D965" s="26" t="str">
        <f>IF('Paste SD Data'!C962="","",'Paste SD Data'!C962)</f>
        <v/>
      </c>
      <c r="E965" s="27" t="str">
        <f>IF('Paste SD Data'!E962="","",UPPER('Paste SD Data'!E962))</f>
        <v/>
      </c>
      <c r="F965" s="27" t="str">
        <f>IF('Paste SD Data'!G962="","",UPPER('Paste SD Data'!G962))</f>
        <v/>
      </c>
      <c r="G965" s="27" t="str">
        <f>IF('Paste SD Data'!H962="","",UPPER('Paste SD Data'!H962))</f>
        <v/>
      </c>
      <c r="H965" s="26" t="str">
        <f>IF('Paste SD Data'!I962="","",IF('Paste SD Data'!I962="M","BOY","GIRL"))</f>
        <v/>
      </c>
      <c r="I965" s="28" t="str">
        <f>IF('Paste SD Data'!J962="","",'Paste SD Data'!J962)</f>
        <v/>
      </c>
      <c r="J965" s="34">
        <f t="shared" si="14"/>
        <v>1391</v>
      </c>
      <c r="K965" s="29" t="str">
        <f>IF('Paste SD Data'!O962="","",'Paste SD Data'!O962)</f>
        <v/>
      </c>
    </row>
    <row r="966" spans="1:11" ht="30" customHeight="1" x14ac:dyDescent="0.25">
      <c r="A966" s="25" t="str">
        <f>IF(Table1[[#This Row],[Name of Student]]="","",ROWS($A$1:A962))</f>
        <v/>
      </c>
      <c r="B966" s="26" t="str">
        <f>IF('Paste SD Data'!A963="","",'Paste SD Data'!A963)</f>
        <v/>
      </c>
      <c r="C966" s="26" t="str">
        <f>IF('Paste SD Data'!B963="","",'Paste SD Data'!B963)</f>
        <v/>
      </c>
      <c r="D966" s="26" t="str">
        <f>IF('Paste SD Data'!C963="","",'Paste SD Data'!C963)</f>
        <v/>
      </c>
      <c r="E966" s="27" t="str">
        <f>IF('Paste SD Data'!E963="","",UPPER('Paste SD Data'!E963))</f>
        <v/>
      </c>
      <c r="F966" s="27" t="str">
        <f>IF('Paste SD Data'!G963="","",UPPER('Paste SD Data'!G963))</f>
        <v/>
      </c>
      <c r="G966" s="27" t="str">
        <f>IF('Paste SD Data'!H963="","",UPPER('Paste SD Data'!H963))</f>
        <v/>
      </c>
      <c r="H966" s="26" t="str">
        <f>IF('Paste SD Data'!I963="","",IF('Paste SD Data'!I963="M","BOY","GIRL"))</f>
        <v/>
      </c>
      <c r="I966" s="28" t="str">
        <f>IF('Paste SD Data'!J963="","",'Paste SD Data'!J963)</f>
        <v/>
      </c>
      <c r="J966" s="34">
        <f t="shared" si="14"/>
        <v>1392</v>
      </c>
      <c r="K966" s="29" t="str">
        <f>IF('Paste SD Data'!O963="","",'Paste SD Data'!O963)</f>
        <v/>
      </c>
    </row>
    <row r="967" spans="1:11" ht="30" customHeight="1" x14ac:dyDescent="0.25">
      <c r="A967" s="25" t="str">
        <f>IF(Table1[[#This Row],[Name of Student]]="","",ROWS($A$1:A963))</f>
        <v/>
      </c>
      <c r="B967" s="26" t="str">
        <f>IF('Paste SD Data'!A964="","",'Paste SD Data'!A964)</f>
        <v/>
      </c>
      <c r="C967" s="26" t="str">
        <f>IF('Paste SD Data'!B964="","",'Paste SD Data'!B964)</f>
        <v/>
      </c>
      <c r="D967" s="26" t="str">
        <f>IF('Paste SD Data'!C964="","",'Paste SD Data'!C964)</f>
        <v/>
      </c>
      <c r="E967" s="27" t="str">
        <f>IF('Paste SD Data'!E964="","",UPPER('Paste SD Data'!E964))</f>
        <v/>
      </c>
      <c r="F967" s="27" t="str">
        <f>IF('Paste SD Data'!G964="","",UPPER('Paste SD Data'!G964))</f>
        <v/>
      </c>
      <c r="G967" s="27" t="str">
        <f>IF('Paste SD Data'!H964="","",UPPER('Paste SD Data'!H964))</f>
        <v/>
      </c>
      <c r="H967" s="26" t="str">
        <f>IF('Paste SD Data'!I964="","",IF('Paste SD Data'!I964="M","BOY","GIRL"))</f>
        <v/>
      </c>
      <c r="I967" s="28" t="str">
        <f>IF('Paste SD Data'!J964="","",'Paste SD Data'!J964)</f>
        <v/>
      </c>
      <c r="J967" s="34">
        <f t="shared" ref="J967:J1030" si="15">J966+1</f>
        <v>1393</v>
      </c>
      <c r="K967" s="29" t="str">
        <f>IF('Paste SD Data'!O964="","",'Paste SD Data'!O964)</f>
        <v/>
      </c>
    </row>
    <row r="968" spans="1:11" ht="30" customHeight="1" x14ac:dyDescent="0.25">
      <c r="A968" s="25" t="str">
        <f>IF(Table1[[#This Row],[Name of Student]]="","",ROWS($A$1:A964))</f>
        <v/>
      </c>
      <c r="B968" s="26" t="str">
        <f>IF('Paste SD Data'!A965="","",'Paste SD Data'!A965)</f>
        <v/>
      </c>
      <c r="C968" s="26" t="str">
        <f>IF('Paste SD Data'!B965="","",'Paste SD Data'!B965)</f>
        <v/>
      </c>
      <c r="D968" s="26" t="str">
        <f>IF('Paste SD Data'!C965="","",'Paste SD Data'!C965)</f>
        <v/>
      </c>
      <c r="E968" s="27" t="str">
        <f>IF('Paste SD Data'!E965="","",UPPER('Paste SD Data'!E965))</f>
        <v/>
      </c>
      <c r="F968" s="27" t="str">
        <f>IF('Paste SD Data'!G965="","",UPPER('Paste SD Data'!G965))</f>
        <v/>
      </c>
      <c r="G968" s="27" t="str">
        <f>IF('Paste SD Data'!H965="","",UPPER('Paste SD Data'!H965))</f>
        <v/>
      </c>
      <c r="H968" s="26" t="str">
        <f>IF('Paste SD Data'!I965="","",IF('Paste SD Data'!I965="M","BOY","GIRL"))</f>
        <v/>
      </c>
      <c r="I968" s="28" t="str">
        <f>IF('Paste SD Data'!J965="","",'Paste SD Data'!J965)</f>
        <v/>
      </c>
      <c r="J968" s="34">
        <f t="shared" si="15"/>
        <v>1394</v>
      </c>
      <c r="K968" s="29" t="str">
        <f>IF('Paste SD Data'!O965="","",'Paste SD Data'!O965)</f>
        <v/>
      </c>
    </row>
    <row r="969" spans="1:11" ht="30" customHeight="1" x14ac:dyDescent="0.25">
      <c r="A969" s="25" t="str">
        <f>IF(Table1[[#This Row],[Name of Student]]="","",ROWS($A$1:A965))</f>
        <v/>
      </c>
      <c r="B969" s="26" t="str">
        <f>IF('Paste SD Data'!A966="","",'Paste SD Data'!A966)</f>
        <v/>
      </c>
      <c r="C969" s="26" t="str">
        <f>IF('Paste SD Data'!B966="","",'Paste SD Data'!B966)</f>
        <v/>
      </c>
      <c r="D969" s="26" t="str">
        <f>IF('Paste SD Data'!C966="","",'Paste SD Data'!C966)</f>
        <v/>
      </c>
      <c r="E969" s="27" t="str">
        <f>IF('Paste SD Data'!E966="","",UPPER('Paste SD Data'!E966))</f>
        <v/>
      </c>
      <c r="F969" s="27" t="str">
        <f>IF('Paste SD Data'!G966="","",UPPER('Paste SD Data'!G966))</f>
        <v/>
      </c>
      <c r="G969" s="27" t="str">
        <f>IF('Paste SD Data'!H966="","",UPPER('Paste SD Data'!H966))</f>
        <v/>
      </c>
      <c r="H969" s="26" t="str">
        <f>IF('Paste SD Data'!I966="","",IF('Paste SD Data'!I966="M","BOY","GIRL"))</f>
        <v/>
      </c>
      <c r="I969" s="28" t="str">
        <f>IF('Paste SD Data'!J966="","",'Paste SD Data'!J966)</f>
        <v/>
      </c>
      <c r="J969" s="34">
        <f t="shared" si="15"/>
        <v>1395</v>
      </c>
      <c r="K969" s="29" t="str">
        <f>IF('Paste SD Data'!O966="","",'Paste SD Data'!O966)</f>
        <v/>
      </c>
    </row>
    <row r="970" spans="1:11" ht="30" customHeight="1" x14ac:dyDescent="0.25">
      <c r="A970" s="25" t="str">
        <f>IF(Table1[[#This Row],[Name of Student]]="","",ROWS($A$1:A966))</f>
        <v/>
      </c>
      <c r="B970" s="26" t="str">
        <f>IF('Paste SD Data'!A967="","",'Paste SD Data'!A967)</f>
        <v/>
      </c>
      <c r="C970" s="26" t="str">
        <f>IF('Paste SD Data'!B967="","",'Paste SD Data'!B967)</f>
        <v/>
      </c>
      <c r="D970" s="26" t="str">
        <f>IF('Paste SD Data'!C967="","",'Paste SD Data'!C967)</f>
        <v/>
      </c>
      <c r="E970" s="27" t="str">
        <f>IF('Paste SD Data'!E967="","",UPPER('Paste SD Data'!E967))</f>
        <v/>
      </c>
      <c r="F970" s="27" t="str">
        <f>IF('Paste SD Data'!G967="","",UPPER('Paste SD Data'!G967))</f>
        <v/>
      </c>
      <c r="G970" s="27" t="str">
        <f>IF('Paste SD Data'!H967="","",UPPER('Paste SD Data'!H967))</f>
        <v/>
      </c>
      <c r="H970" s="26" t="str">
        <f>IF('Paste SD Data'!I967="","",IF('Paste SD Data'!I967="M","BOY","GIRL"))</f>
        <v/>
      </c>
      <c r="I970" s="28" t="str">
        <f>IF('Paste SD Data'!J967="","",'Paste SD Data'!J967)</f>
        <v/>
      </c>
      <c r="J970" s="34">
        <f t="shared" si="15"/>
        <v>1396</v>
      </c>
      <c r="K970" s="29" t="str">
        <f>IF('Paste SD Data'!O967="","",'Paste SD Data'!O967)</f>
        <v/>
      </c>
    </row>
    <row r="971" spans="1:11" ht="30" customHeight="1" x14ac:dyDescent="0.25">
      <c r="A971" s="25" t="str">
        <f>IF(Table1[[#This Row],[Name of Student]]="","",ROWS($A$1:A967))</f>
        <v/>
      </c>
      <c r="B971" s="26" t="str">
        <f>IF('Paste SD Data'!A968="","",'Paste SD Data'!A968)</f>
        <v/>
      </c>
      <c r="C971" s="26" t="str">
        <f>IF('Paste SD Data'!B968="","",'Paste SD Data'!B968)</f>
        <v/>
      </c>
      <c r="D971" s="26" t="str">
        <f>IF('Paste SD Data'!C968="","",'Paste SD Data'!C968)</f>
        <v/>
      </c>
      <c r="E971" s="27" t="str">
        <f>IF('Paste SD Data'!E968="","",UPPER('Paste SD Data'!E968))</f>
        <v/>
      </c>
      <c r="F971" s="27" t="str">
        <f>IF('Paste SD Data'!G968="","",UPPER('Paste SD Data'!G968))</f>
        <v/>
      </c>
      <c r="G971" s="27" t="str">
        <f>IF('Paste SD Data'!H968="","",UPPER('Paste SD Data'!H968))</f>
        <v/>
      </c>
      <c r="H971" s="26" t="str">
        <f>IF('Paste SD Data'!I968="","",IF('Paste SD Data'!I968="M","BOY","GIRL"))</f>
        <v/>
      </c>
      <c r="I971" s="28" t="str">
        <f>IF('Paste SD Data'!J968="","",'Paste SD Data'!J968)</f>
        <v/>
      </c>
      <c r="J971" s="34">
        <f t="shared" si="15"/>
        <v>1397</v>
      </c>
      <c r="K971" s="29" t="str">
        <f>IF('Paste SD Data'!O968="","",'Paste SD Data'!O968)</f>
        <v/>
      </c>
    </row>
    <row r="972" spans="1:11" ht="30" customHeight="1" x14ac:dyDescent="0.25">
      <c r="A972" s="25" t="str">
        <f>IF(Table1[[#This Row],[Name of Student]]="","",ROWS($A$1:A968))</f>
        <v/>
      </c>
      <c r="B972" s="26" t="str">
        <f>IF('Paste SD Data'!A969="","",'Paste SD Data'!A969)</f>
        <v/>
      </c>
      <c r="C972" s="26" t="str">
        <f>IF('Paste SD Data'!B969="","",'Paste SD Data'!B969)</f>
        <v/>
      </c>
      <c r="D972" s="26" t="str">
        <f>IF('Paste SD Data'!C969="","",'Paste SD Data'!C969)</f>
        <v/>
      </c>
      <c r="E972" s="27" t="str">
        <f>IF('Paste SD Data'!E969="","",UPPER('Paste SD Data'!E969))</f>
        <v/>
      </c>
      <c r="F972" s="27" t="str">
        <f>IF('Paste SD Data'!G969="","",UPPER('Paste SD Data'!G969))</f>
        <v/>
      </c>
      <c r="G972" s="27" t="str">
        <f>IF('Paste SD Data'!H969="","",UPPER('Paste SD Data'!H969))</f>
        <v/>
      </c>
      <c r="H972" s="26" t="str">
        <f>IF('Paste SD Data'!I969="","",IF('Paste SD Data'!I969="M","BOY","GIRL"))</f>
        <v/>
      </c>
      <c r="I972" s="28" t="str">
        <f>IF('Paste SD Data'!J969="","",'Paste SD Data'!J969)</f>
        <v/>
      </c>
      <c r="J972" s="34">
        <f t="shared" si="15"/>
        <v>1398</v>
      </c>
      <c r="K972" s="29" t="str">
        <f>IF('Paste SD Data'!O969="","",'Paste SD Data'!O969)</f>
        <v/>
      </c>
    </row>
    <row r="973" spans="1:11" ht="30" customHeight="1" x14ac:dyDescent="0.25">
      <c r="A973" s="25" t="str">
        <f>IF(Table1[[#This Row],[Name of Student]]="","",ROWS($A$1:A969))</f>
        <v/>
      </c>
      <c r="B973" s="26" t="str">
        <f>IF('Paste SD Data'!A970="","",'Paste SD Data'!A970)</f>
        <v/>
      </c>
      <c r="C973" s="26" t="str">
        <f>IF('Paste SD Data'!B970="","",'Paste SD Data'!B970)</f>
        <v/>
      </c>
      <c r="D973" s="26" t="str">
        <f>IF('Paste SD Data'!C970="","",'Paste SD Data'!C970)</f>
        <v/>
      </c>
      <c r="E973" s="27" t="str">
        <f>IF('Paste SD Data'!E970="","",UPPER('Paste SD Data'!E970))</f>
        <v/>
      </c>
      <c r="F973" s="27" t="str">
        <f>IF('Paste SD Data'!G970="","",UPPER('Paste SD Data'!G970))</f>
        <v/>
      </c>
      <c r="G973" s="27" t="str">
        <f>IF('Paste SD Data'!H970="","",UPPER('Paste SD Data'!H970))</f>
        <v/>
      </c>
      <c r="H973" s="26" t="str">
        <f>IF('Paste SD Data'!I970="","",IF('Paste SD Data'!I970="M","BOY","GIRL"))</f>
        <v/>
      </c>
      <c r="I973" s="28" t="str">
        <f>IF('Paste SD Data'!J970="","",'Paste SD Data'!J970)</f>
        <v/>
      </c>
      <c r="J973" s="34">
        <f t="shared" si="15"/>
        <v>1399</v>
      </c>
      <c r="K973" s="29" t="str">
        <f>IF('Paste SD Data'!O970="","",'Paste SD Data'!O970)</f>
        <v/>
      </c>
    </row>
    <row r="974" spans="1:11" ht="30" customHeight="1" x14ac:dyDescent="0.25">
      <c r="A974" s="25" t="str">
        <f>IF(Table1[[#This Row],[Name of Student]]="","",ROWS($A$1:A970))</f>
        <v/>
      </c>
      <c r="B974" s="26" t="str">
        <f>IF('Paste SD Data'!A971="","",'Paste SD Data'!A971)</f>
        <v/>
      </c>
      <c r="C974" s="26" t="str">
        <f>IF('Paste SD Data'!B971="","",'Paste SD Data'!B971)</f>
        <v/>
      </c>
      <c r="D974" s="26" t="str">
        <f>IF('Paste SD Data'!C971="","",'Paste SD Data'!C971)</f>
        <v/>
      </c>
      <c r="E974" s="27" t="str">
        <f>IF('Paste SD Data'!E971="","",UPPER('Paste SD Data'!E971))</f>
        <v/>
      </c>
      <c r="F974" s="27" t="str">
        <f>IF('Paste SD Data'!G971="","",UPPER('Paste SD Data'!G971))</f>
        <v/>
      </c>
      <c r="G974" s="27" t="str">
        <f>IF('Paste SD Data'!H971="","",UPPER('Paste SD Data'!H971))</f>
        <v/>
      </c>
      <c r="H974" s="26" t="str">
        <f>IF('Paste SD Data'!I971="","",IF('Paste SD Data'!I971="M","BOY","GIRL"))</f>
        <v/>
      </c>
      <c r="I974" s="28" t="str">
        <f>IF('Paste SD Data'!J971="","",'Paste SD Data'!J971)</f>
        <v/>
      </c>
      <c r="J974" s="34">
        <f t="shared" si="15"/>
        <v>1400</v>
      </c>
      <c r="K974" s="29" t="str">
        <f>IF('Paste SD Data'!O971="","",'Paste SD Data'!O971)</f>
        <v/>
      </c>
    </row>
    <row r="975" spans="1:11" ht="30" customHeight="1" x14ac:dyDescent="0.25">
      <c r="A975" s="25" t="str">
        <f>IF(Table1[[#This Row],[Name of Student]]="","",ROWS($A$1:A971))</f>
        <v/>
      </c>
      <c r="B975" s="26" t="str">
        <f>IF('Paste SD Data'!A972="","",'Paste SD Data'!A972)</f>
        <v/>
      </c>
      <c r="C975" s="26" t="str">
        <f>IF('Paste SD Data'!B972="","",'Paste SD Data'!B972)</f>
        <v/>
      </c>
      <c r="D975" s="26" t="str">
        <f>IF('Paste SD Data'!C972="","",'Paste SD Data'!C972)</f>
        <v/>
      </c>
      <c r="E975" s="27" t="str">
        <f>IF('Paste SD Data'!E972="","",UPPER('Paste SD Data'!E972))</f>
        <v/>
      </c>
      <c r="F975" s="27" t="str">
        <f>IF('Paste SD Data'!G972="","",UPPER('Paste SD Data'!G972))</f>
        <v/>
      </c>
      <c r="G975" s="27" t="str">
        <f>IF('Paste SD Data'!H972="","",UPPER('Paste SD Data'!H972))</f>
        <v/>
      </c>
      <c r="H975" s="26" t="str">
        <f>IF('Paste SD Data'!I972="","",IF('Paste SD Data'!I972="M","BOY","GIRL"))</f>
        <v/>
      </c>
      <c r="I975" s="28" t="str">
        <f>IF('Paste SD Data'!J972="","",'Paste SD Data'!J972)</f>
        <v/>
      </c>
      <c r="J975" s="34">
        <f t="shared" si="15"/>
        <v>1401</v>
      </c>
      <c r="K975" s="29" t="str">
        <f>IF('Paste SD Data'!O972="","",'Paste SD Data'!O972)</f>
        <v/>
      </c>
    </row>
    <row r="976" spans="1:11" ht="30" customHeight="1" x14ac:dyDescent="0.25">
      <c r="A976" s="25" t="str">
        <f>IF(Table1[[#This Row],[Name of Student]]="","",ROWS($A$1:A972))</f>
        <v/>
      </c>
      <c r="B976" s="26" t="str">
        <f>IF('Paste SD Data'!A973="","",'Paste SD Data'!A973)</f>
        <v/>
      </c>
      <c r="C976" s="26" t="str">
        <f>IF('Paste SD Data'!B973="","",'Paste SD Data'!B973)</f>
        <v/>
      </c>
      <c r="D976" s="26" t="str">
        <f>IF('Paste SD Data'!C973="","",'Paste SD Data'!C973)</f>
        <v/>
      </c>
      <c r="E976" s="27" t="str">
        <f>IF('Paste SD Data'!E973="","",UPPER('Paste SD Data'!E973))</f>
        <v/>
      </c>
      <c r="F976" s="27" t="str">
        <f>IF('Paste SD Data'!G973="","",UPPER('Paste SD Data'!G973))</f>
        <v/>
      </c>
      <c r="G976" s="27" t="str">
        <f>IF('Paste SD Data'!H973="","",UPPER('Paste SD Data'!H973))</f>
        <v/>
      </c>
      <c r="H976" s="26" t="str">
        <f>IF('Paste SD Data'!I973="","",IF('Paste SD Data'!I973="M","BOY","GIRL"))</f>
        <v/>
      </c>
      <c r="I976" s="28" t="str">
        <f>IF('Paste SD Data'!J973="","",'Paste SD Data'!J973)</f>
        <v/>
      </c>
      <c r="J976" s="34">
        <f t="shared" si="15"/>
        <v>1402</v>
      </c>
      <c r="K976" s="29" t="str">
        <f>IF('Paste SD Data'!O973="","",'Paste SD Data'!O973)</f>
        <v/>
      </c>
    </row>
    <row r="977" spans="1:11" ht="30" customHeight="1" x14ac:dyDescent="0.25">
      <c r="A977" s="25" t="str">
        <f>IF(Table1[[#This Row],[Name of Student]]="","",ROWS($A$1:A973))</f>
        <v/>
      </c>
      <c r="B977" s="26" t="str">
        <f>IF('Paste SD Data'!A974="","",'Paste SD Data'!A974)</f>
        <v/>
      </c>
      <c r="C977" s="26" t="str">
        <f>IF('Paste SD Data'!B974="","",'Paste SD Data'!B974)</f>
        <v/>
      </c>
      <c r="D977" s="26" t="str">
        <f>IF('Paste SD Data'!C974="","",'Paste SD Data'!C974)</f>
        <v/>
      </c>
      <c r="E977" s="27" t="str">
        <f>IF('Paste SD Data'!E974="","",UPPER('Paste SD Data'!E974))</f>
        <v/>
      </c>
      <c r="F977" s="27" t="str">
        <f>IF('Paste SD Data'!G974="","",UPPER('Paste SD Data'!G974))</f>
        <v/>
      </c>
      <c r="G977" s="27" t="str">
        <f>IF('Paste SD Data'!H974="","",UPPER('Paste SD Data'!H974))</f>
        <v/>
      </c>
      <c r="H977" s="26" t="str">
        <f>IF('Paste SD Data'!I974="","",IF('Paste SD Data'!I974="M","BOY","GIRL"))</f>
        <v/>
      </c>
      <c r="I977" s="28" t="str">
        <f>IF('Paste SD Data'!J974="","",'Paste SD Data'!J974)</f>
        <v/>
      </c>
      <c r="J977" s="34">
        <f t="shared" si="15"/>
        <v>1403</v>
      </c>
      <c r="K977" s="29" t="str">
        <f>IF('Paste SD Data'!O974="","",'Paste SD Data'!O974)</f>
        <v/>
      </c>
    </row>
    <row r="978" spans="1:11" ht="30" customHeight="1" x14ac:dyDescent="0.25">
      <c r="A978" s="25" t="str">
        <f>IF(Table1[[#This Row],[Name of Student]]="","",ROWS($A$1:A974))</f>
        <v/>
      </c>
      <c r="B978" s="26" t="str">
        <f>IF('Paste SD Data'!A975="","",'Paste SD Data'!A975)</f>
        <v/>
      </c>
      <c r="C978" s="26" t="str">
        <f>IF('Paste SD Data'!B975="","",'Paste SD Data'!B975)</f>
        <v/>
      </c>
      <c r="D978" s="26" t="str">
        <f>IF('Paste SD Data'!C975="","",'Paste SD Data'!C975)</f>
        <v/>
      </c>
      <c r="E978" s="27" t="str">
        <f>IF('Paste SD Data'!E975="","",UPPER('Paste SD Data'!E975))</f>
        <v/>
      </c>
      <c r="F978" s="27" t="str">
        <f>IF('Paste SD Data'!G975="","",UPPER('Paste SD Data'!G975))</f>
        <v/>
      </c>
      <c r="G978" s="27" t="str">
        <f>IF('Paste SD Data'!H975="","",UPPER('Paste SD Data'!H975))</f>
        <v/>
      </c>
      <c r="H978" s="26" t="str">
        <f>IF('Paste SD Data'!I975="","",IF('Paste SD Data'!I975="M","BOY","GIRL"))</f>
        <v/>
      </c>
      <c r="I978" s="28" t="str">
        <f>IF('Paste SD Data'!J975="","",'Paste SD Data'!J975)</f>
        <v/>
      </c>
      <c r="J978" s="34">
        <f t="shared" si="15"/>
        <v>1404</v>
      </c>
      <c r="K978" s="29" t="str">
        <f>IF('Paste SD Data'!O975="","",'Paste SD Data'!O975)</f>
        <v/>
      </c>
    </row>
    <row r="979" spans="1:11" ht="30" customHeight="1" x14ac:dyDescent="0.25">
      <c r="A979" s="25" t="str">
        <f>IF(Table1[[#This Row],[Name of Student]]="","",ROWS($A$1:A975))</f>
        <v/>
      </c>
      <c r="B979" s="26" t="str">
        <f>IF('Paste SD Data'!A976="","",'Paste SD Data'!A976)</f>
        <v/>
      </c>
      <c r="C979" s="26" t="str">
        <f>IF('Paste SD Data'!B976="","",'Paste SD Data'!B976)</f>
        <v/>
      </c>
      <c r="D979" s="26" t="str">
        <f>IF('Paste SD Data'!C976="","",'Paste SD Data'!C976)</f>
        <v/>
      </c>
      <c r="E979" s="27" t="str">
        <f>IF('Paste SD Data'!E976="","",UPPER('Paste SD Data'!E976))</f>
        <v/>
      </c>
      <c r="F979" s="27" t="str">
        <f>IF('Paste SD Data'!G976="","",UPPER('Paste SD Data'!G976))</f>
        <v/>
      </c>
      <c r="G979" s="27" t="str">
        <f>IF('Paste SD Data'!H976="","",UPPER('Paste SD Data'!H976))</f>
        <v/>
      </c>
      <c r="H979" s="26" t="str">
        <f>IF('Paste SD Data'!I976="","",IF('Paste SD Data'!I976="M","BOY","GIRL"))</f>
        <v/>
      </c>
      <c r="I979" s="28" t="str">
        <f>IF('Paste SD Data'!J976="","",'Paste SD Data'!J976)</f>
        <v/>
      </c>
      <c r="J979" s="34">
        <f t="shared" si="15"/>
        <v>1405</v>
      </c>
      <c r="K979" s="29" t="str">
        <f>IF('Paste SD Data'!O976="","",'Paste SD Data'!O976)</f>
        <v/>
      </c>
    </row>
    <row r="980" spans="1:11" ht="30" customHeight="1" x14ac:dyDescent="0.25">
      <c r="A980" s="25" t="str">
        <f>IF(Table1[[#This Row],[Name of Student]]="","",ROWS($A$1:A976))</f>
        <v/>
      </c>
      <c r="B980" s="26" t="str">
        <f>IF('Paste SD Data'!A977="","",'Paste SD Data'!A977)</f>
        <v/>
      </c>
      <c r="C980" s="26" t="str">
        <f>IF('Paste SD Data'!B977="","",'Paste SD Data'!B977)</f>
        <v/>
      </c>
      <c r="D980" s="26" t="str">
        <f>IF('Paste SD Data'!C977="","",'Paste SD Data'!C977)</f>
        <v/>
      </c>
      <c r="E980" s="27" t="str">
        <f>IF('Paste SD Data'!E977="","",UPPER('Paste SD Data'!E977))</f>
        <v/>
      </c>
      <c r="F980" s="27" t="str">
        <f>IF('Paste SD Data'!G977="","",UPPER('Paste SD Data'!G977))</f>
        <v/>
      </c>
      <c r="G980" s="27" t="str">
        <f>IF('Paste SD Data'!H977="","",UPPER('Paste SD Data'!H977))</f>
        <v/>
      </c>
      <c r="H980" s="26" t="str">
        <f>IF('Paste SD Data'!I977="","",IF('Paste SD Data'!I977="M","BOY","GIRL"))</f>
        <v/>
      </c>
      <c r="I980" s="28" t="str">
        <f>IF('Paste SD Data'!J977="","",'Paste SD Data'!J977)</f>
        <v/>
      </c>
      <c r="J980" s="34">
        <f t="shared" si="15"/>
        <v>1406</v>
      </c>
      <c r="K980" s="29" t="str">
        <f>IF('Paste SD Data'!O977="","",'Paste SD Data'!O977)</f>
        <v/>
      </c>
    </row>
    <row r="981" spans="1:11" ht="30" customHeight="1" x14ac:dyDescent="0.25">
      <c r="A981" s="25" t="str">
        <f>IF(Table1[[#This Row],[Name of Student]]="","",ROWS($A$1:A977))</f>
        <v/>
      </c>
      <c r="B981" s="26" t="str">
        <f>IF('Paste SD Data'!A978="","",'Paste SD Data'!A978)</f>
        <v/>
      </c>
      <c r="C981" s="26" t="str">
        <f>IF('Paste SD Data'!B978="","",'Paste SD Data'!B978)</f>
        <v/>
      </c>
      <c r="D981" s="26" t="str">
        <f>IF('Paste SD Data'!C978="","",'Paste SD Data'!C978)</f>
        <v/>
      </c>
      <c r="E981" s="27" t="str">
        <f>IF('Paste SD Data'!E978="","",UPPER('Paste SD Data'!E978))</f>
        <v/>
      </c>
      <c r="F981" s="27" t="str">
        <f>IF('Paste SD Data'!G978="","",UPPER('Paste SD Data'!G978))</f>
        <v/>
      </c>
      <c r="G981" s="27" t="str">
        <f>IF('Paste SD Data'!H978="","",UPPER('Paste SD Data'!H978))</f>
        <v/>
      </c>
      <c r="H981" s="26" t="str">
        <f>IF('Paste SD Data'!I978="","",IF('Paste SD Data'!I978="M","BOY","GIRL"))</f>
        <v/>
      </c>
      <c r="I981" s="28" t="str">
        <f>IF('Paste SD Data'!J978="","",'Paste SD Data'!J978)</f>
        <v/>
      </c>
      <c r="J981" s="34">
        <f t="shared" si="15"/>
        <v>1407</v>
      </c>
      <c r="K981" s="29" t="str">
        <f>IF('Paste SD Data'!O978="","",'Paste SD Data'!O978)</f>
        <v/>
      </c>
    </row>
    <row r="982" spans="1:11" ht="30" customHeight="1" x14ac:dyDescent="0.25">
      <c r="A982" s="25" t="str">
        <f>IF(Table1[[#This Row],[Name of Student]]="","",ROWS($A$1:A978))</f>
        <v/>
      </c>
      <c r="B982" s="26" t="str">
        <f>IF('Paste SD Data'!A979="","",'Paste SD Data'!A979)</f>
        <v/>
      </c>
      <c r="C982" s="26" t="str">
        <f>IF('Paste SD Data'!B979="","",'Paste SD Data'!B979)</f>
        <v/>
      </c>
      <c r="D982" s="26" t="str">
        <f>IF('Paste SD Data'!C979="","",'Paste SD Data'!C979)</f>
        <v/>
      </c>
      <c r="E982" s="27" t="str">
        <f>IF('Paste SD Data'!E979="","",UPPER('Paste SD Data'!E979))</f>
        <v/>
      </c>
      <c r="F982" s="27" t="str">
        <f>IF('Paste SD Data'!G979="","",UPPER('Paste SD Data'!G979))</f>
        <v/>
      </c>
      <c r="G982" s="27" t="str">
        <f>IF('Paste SD Data'!H979="","",UPPER('Paste SD Data'!H979))</f>
        <v/>
      </c>
      <c r="H982" s="26" t="str">
        <f>IF('Paste SD Data'!I979="","",IF('Paste SD Data'!I979="M","BOY","GIRL"))</f>
        <v/>
      </c>
      <c r="I982" s="28" t="str">
        <f>IF('Paste SD Data'!J979="","",'Paste SD Data'!J979)</f>
        <v/>
      </c>
      <c r="J982" s="34">
        <f t="shared" si="15"/>
        <v>1408</v>
      </c>
      <c r="K982" s="29" t="str">
        <f>IF('Paste SD Data'!O979="","",'Paste SD Data'!O979)</f>
        <v/>
      </c>
    </row>
    <row r="983" spans="1:11" ht="30" customHeight="1" x14ac:dyDescent="0.25">
      <c r="A983" s="25" t="str">
        <f>IF(Table1[[#This Row],[Name of Student]]="","",ROWS($A$1:A979))</f>
        <v/>
      </c>
      <c r="B983" s="26" t="str">
        <f>IF('Paste SD Data'!A980="","",'Paste SD Data'!A980)</f>
        <v/>
      </c>
      <c r="C983" s="26" t="str">
        <f>IF('Paste SD Data'!B980="","",'Paste SD Data'!B980)</f>
        <v/>
      </c>
      <c r="D983" s="26" t="str">
        <f>IF('Paste SD Data'!C980="","",'Paste SD Data'!C980)</f>
        <v/>
      </c>
      <c r="E983" s="27" t="str">
        <f>IF('Paste SD Data'!E980="","",UPPER('Paste SD Data'!E980))</f>
        <v/>
      </c>
      <c r="F983" s="27" t="str">
        <f>IF('Paste SD Data'!G980="","",UPPER('Paste SD Data'!G980))</f>
        <v/>
      </c>
      <c r="G983" s="27" t="str">
        <f>IF('Paste SD Data'!H980="","",UPPER('Paste SD Data'!H980))</f>
        <v/>
      </c>
      <c r="H983" s="26" t="str">
        <f>IF('Paste SD Data'!I980="","",IF('Paste SD Data'!I980="M","BOY","GIRL"))</f>
        <v/>
      </c>
      <c r="I983" s="28" t="str">
        <f>IF('Paste SD Data'!J980="","",'Paste SD Data'!J980)</f>
        <v/>
      </c>
      <c r="J983" s="34">
        <f t="shared" si="15"/>
        <v>1409</v>
      </c>
      <c r="K983" s="29" t="str">
        <f>IF('Paste SD Data'!O980="","",'Paste SD Data'!O980)</f>
        <v/>
      </c>
    </row>
    <row r="984" spans="1:11" ht="30" customHeight="1" x14ac:dyDescent="0.25">
      <c r="A984" s="25" t="str">
        <f>IF(Table1[[#This Row],[Name of Student]]="","",ROWS($A$1:A980))</f>
        <v/>
      </c>
      <c r="B984" s="26" t="str">
        <f>IF('Paste SD Data'!A981="","",'Paste SD Data'!A981)</f>
        <v/>
      </c>
      <c r="C984" s="26" t="str">
        <f>IF('Paste SD Data'!B981="","",'Paste SD Data'!B981)</f>
        <v/>
      </c>
      <c r="D984" s="26" t="str">
        <f>IF('Paste SD Data'!C981="","",'Paste SD Data'!C981)</f>
        <v/>
      </c>
      <c r="E984" s="27" t="str">
        <f>IF('Paste SD Data'!E981="","",UPPER('Paste SD Data'!E981))</f>
        <v/>
      </c>
      <c r="F984" s="27" t="str">
        <f>IF('Paste SD Data'!G981="","",UPPER('Paste SD Data'!G981))</f>
        <v/>
      </c>
      <c r="G984" s="27" t="str">
        <f>IF('Paste SD Data'!H981="","",UPPER('Paste SD Data'!H981))</f>
        <v/>
      </c>
      <c r="H984" s="26" t="str">
        <f>IF('Paste SD Data'!I981="","",IF('Paste SD Data'!I981="M","BOY","GIRL"))</f>
        <v/>
      </c>
      <c r="I984" s="28" t="str">
        <f>IF('Paste SD Data'!J981="","",'Paste SD Data'!J981)</f>
        <v/>
      </c>
      <c r="J984" s="34">
        <f t="shared" si="15"/>
        <v>1410</v>
      </c>
      <c r="K984" s="29" t="str">
        <f>IF('Paste SD Data'!O981="","",'Paste SD Data'!O981)</f>
        <v/>
      </c>
    </row>
    <row r="985" spans="1:11" ht="30" customHeight="1" x14ac:dyDescent="0.25">
      <c r="A985" s="25" t="str">
        <f>IF(Table1[[#This Row],[Name of Student]]="","",ROWS($A$1:A981))</f>
        <v/>
      </c>
      <c r="B985" s="26" t="str">
        <f>IF('Paste SD Data'!A982="","",'Paste SD Data'!A982)</f>
        <v/>
      </c>
      <c r="C985" s="26" t="str">
        <f>IF('Paste SD Data'!B982="","",'Paste SD Data'!B982)</f>
        <v/>
      </c>
      <c r="D985" s="26" t="str">
        <f>IF('Paste SD Data'!C982="","",'Paste SD Data'!C982)</f>
        <v/>
      </c>
      <c r="E985" s="27" t="str">
        <f>IF('Paste SD Data'!E982="","",UPPER('Paste SD Data'!E982))</f>
        <v/>
      </c>
      <c r="F985" s="27" t="str">
        <f>IF('Paste SD Data'!G982="","",UPPER('Paste SD Data'!G982))</f>
        <v/>
      </c>
      <c r="G985" s="27" t="str">
        <f>IF('Paste SD Data'!H982="","",UPPER('Paste SD Data'!H982))</f>
        <v/>
      </c>
      <c r="H985" s="26" t="str">
        <f>IF('Paste SD Data'!I982="","",IF('Paste SD Data'!I982="M","BOY","GIRL"))</f>
        <v/>
      </c>
      <c r="I985" s="28" t="str">
        <f>IF('Paste SD Data'!J982="","",'Paste SD Data'!J982)</f>
        <v/>
      </c>
      <c r="J985" s="34">
        <f t="shared" si="15"/>
        <v>1411</v>
      </c>
      <c r="K985" s="29" t="str">
        <f>IF('Paste SD Data'!O982="","",'Paste SD Data'!O982)</f>
        <v/>
      </c>
    </row>
    <row r="986" spans="1:11" ht="30" customHeight="1" x14ac:dyDescent="0.25">
      <c r="A986" s="25" t="str">
        <f>IF(Table1[[#This Row],[Name of Student]]="","",ROWS($A$1:A982))</f>
        <v/>
      </c>
      <c r="B986" s="26" t="str">
        <f>IF('Paste SD Data'!A983="","",'Paste SD Data'!A983)</f>
        <v/>
      </c>
      <c r="C986" s="26" t="str">
        <f>IF('Paste SD Data'!B983="","",'Paste SD Data'!B983)</f>
        <v/>
      </c>
      <c r="D986" s="26" t="str">
        <f>IF('Paste SD Data'!C983="","",'Paste SD Data'!C983)</f>
        <v/>
      </c>
      <c r="E986" s="27" t="str">
        <f>IF('Paste SD Data'!E983="","",UPPER('Paste SD Data'!E983))</f>
        <v/>
      </c>
      <c r="F986" s="27" t="str">
        <f>IF('Paste SD Data'!G983="","",UPPER('Paste SD Data'!G983))</f>
        <v/>
      </c>
      <c r="G986" s="27" t="str">
        <f>IF('Paste SD Data'!H983="","",UPPER('Paste SD Data'!H983))</f>
        <v/>
      </c>
      <c r="H986" s="26" t="str">
        <f>IF('Paste SD Data'!I983="","",IF('Paste SD Data'!I983="M","BOY","GIRL"))</f>
        <v/>
      </c>
      <c r="I986" s="28" t="str">
        <f>IF('Paste SD Data'!J983="","",'Paste SD Data'!J983)</f>
        <v/>
      </c>
      <c r="J986" s="34">
        <f t="shared" si="15"/>
        <v>1412</v>
      </c>
      <c r="K986" s="29" t="str">
        <f>IF('Paste SD Data'!O983="","",'Paste SD Data'!O983)</f>
        <v/>
      </c>
    </row>
    <row r="987" spans="1:11" ht="30" customHeight="1" x14ac:dyDescent="0.25">
      <c r="A987" s="25" t="str">
        <f>IF(Table1[[#This Row],[Name of Student]]="","",ROWS($A$1:A983))</f>
        <v/>
      </c>
      <c r="B987" s="26" t="str">
        <f>IF('Paste SD Data'!A984="","",'Paste SD Data'!A984)</f>
        <v/>
      </c>
      <c r="C987" s="26" t="str">
        <f>IF('Paste SD Data'!B984="","",'Paste SD Data'!B984)</f>
        <v/>
      </c>
      <c r="D987" s="26" t="str">
        <f>IF('Paste SD Data'!C984="","",'Paste SD Data'!C984)</f>
        <v/>
      </c>
      <c r="E987" s="27" t="str">
        <f>IF('Paste SD Data'!E984="","",UPPER('Paste SD Data'!E984))</f>
        <v/>
      </c>
      <c r="F987" s="27" t="str">
        <f>IF('Paste SD Data'!G984="","",UPPER('Paste SD Data'!G984))</f>
        <v/>
      </c>
      <c r="G987" s="27" t="str">
        <f>IF('Paste SD Data'!H984="","",UPPER('Paste SD Data'!H984))</f>
        <v/>
      </c>
      <c r="H987" s="26" t="str">
        <f>IF('Paste SD Data'!I984="","",IF('Paste SD Data'!I984="M","BOY","GIRL"))</f>
        <v/>
      </c>
      <c r="I987" s="28" t="str">
        <f>IF('Paste SD Data'!J984="","",'Paste SD Data'!J984)</f>
        <v/>
      </c>
      <c r="J987" s="34">
        <f t="shared" si="15"/>
        <v>1413</v>
      </c>
      <c r="K987" s="29" t="str">
        <f>IF('Paste SD Data'!O984="","",'Paste SD Data'!O984)</f>
        <v/>
      </c>
    </row>
    <row r="988" spans="1:11" ht="30" customHeight="1" x14ac:dyDescent="0.25">
      <c r="A988" s="25" t="str">
        <f>IF(Table1[[#This Row],[Name of Student]]="","",ROWS($A$1:A984))</f>
        <v/>
      </c>
      <c r="B988" s="26" t="str">
        <f>IF('Paste SD Data'!A985="","",'Paste SD Data'!A985)</f>
        <v/>
      </c>
      <c r="C988" s="26" t="str">
        <f>IF('Paste SD Data'!B985="","",'Paste SD Data'!B985)</f>
        <v/>
      </c>
      <c r="D988" s="26" t="str">
        <f>IF('Paste SD Data'!C985="","",'Paste SD Data'!C985)</f>
        <v/>
      </c>
      <c r="E988" s="27" t="str">
        <f>IF('Paste SD Data'!E985="","",UPPER('Paste SD Data'!E985))</f>
        <v/>
      </c>
      <c r="F988" s="27" t="str">
        <f>IF('Paste SD Data'!G985="","",UPPER('Paste SD Data'!G985))</f>
        <v/>
      </c>
      <c r="G988" s="27" t="str">
        <f>IF('Paste SD Data'!H985="","",UPPER('Paste SD Data'!H985))</f>
        <v/>
      </c>
      <c r="H988" s="26" t="str">
        <f>IF('Paste SD Data'!I985="","",IF('Paste SD Data'!I985="M","BOY","GIRL"))</f>
        <v/>
      </c>
      <c r="I988" s="28" t="str">
        <f>IF('Paste SD Data'!J985="","",'Paste SD Data'!J985)</f>
        <v/>
      </c>
      <c r="J988" s="34">
        <f t="shared" si="15"/>
        <v>1414</v>
      </c>
      <c r="K988" s="29" t="str">
        <f>IF('Paste SD Data'!O985="","",'Paste SD Data'!O985)</f>
        <v/>
      </c>
    </row>
    <row r="989" spans="1:11" ht="30" customHeight="1" x14ac:dyDescent="0.25">
      <c r="A989" s="25" t="str">
        <f>IF(Table1[[#This Row],[Name of Student]]="","",ROWS($A$1:A985))</f>
        <v/>
      </c>
      <c r="B989" s="26" t="str">
        <f>IF('Paste SD Data'!A986="","",'Paste SD Data'!A986)</f>
        <v/>
      </c>
      <c r="C989" s="26" t="str">
        <f>IF('Paste SD Data'!B986="","",'Paste SD Data'!B986)</f>
        <v/>
      </c>
      <c r="D989" s="26" t="str">
        <f>IF('Paste SD Data'!C986="","",'Paste SD Data'!C986)</f>
        <v/>
      </c>
      <c r="E989" s="27" t="str">
        <f>IF('Paste SD Data'!E986="","",UPPER('Paste SD Data'!E986))</f>
        <v/>
      </c>
      <c r="F989" s="27" t="str">
        <f>IF('Paste SD Data'!G986="","",UPPER('Paste SD Data'!G986))</f>
        <v/>
      </c>
      <c r="G989" s="27" t="str">
        <f>IF('Paste SD Data'!H986="","",UPPER('Paste SD Data'!H986))</f>
        <v/>
      </c>
      <c r="H989" s="26" t="str">
        <f>IF('Paste SD Data'!I986="","",IF('Paste SD Data'!I986="M","BOY","GIRL"))</f>
        <v/>
      </c>
      <c r="I989" s="28" t="str">
        <f>IF('Paste SD Data'!J986="","",'Paste SD Data'!J986)</f>
        <v/>
      </c>
      <c r="J989" s="34">
        <f t="shared" si="15"/>
        <v>1415</v>
      </c>
      <c r="K989" s="29" t="str">
        <f>IF('Paste SD Data'!O986="","",'Paste SD Data'!O986)</f>
        <v/>
      </c>
    </row>
    <row r="990" spans="1:11" ht="30" customHeight="1" x14ac:dyDescent="0.25">
      <c r="A990" s="25" t="str">
        <f>IF(Table1[[#This Row],[Name of Student]]="","",ROWS($A$1:A986))</f>
        <v/>
      </c>
      <c r="B990" s="26" t="str">
        <f>IF('Paste SD Data'!A987="","",'Paste SD Data'!A987)</f>
        <v/>
      </c>
      <c r="C990" s="26" t="str">
        <f>IF('Paste SD Data'!B987="","",'Paste SD Data'!B987)</f>
        <v/>
      </c>
      <c r="D990" s="26" t="str">
        <f>IF('Paste SD Data'!C987="","",'Paste SD Data'!C987)</f>
        <v/>
      </c>
      <c r="E990" s="27" t="str">
        <f>IF('Paste SD Data'!E987="","",UPPER('Paste SD Data'!E987))</f>
        <v/>
      </c>
      <c r="F990" s="27" t="str">
        <f>IF('Paste SD Data'!G987="","",UPPER('Paste SD Data'!G987))</f>
        <v/>
      </c>
      <c r="G990" s="27" t="str">
        <f>IF('Paste SD Data'!H987="","",UPPER('Paste SD Data'!H987))</f>
        <v/>
      </c>
      <c r="H990" s="26" t="str">
        <f>IF('Paste SD Data'!I987="","",IF('Paste SD Data'!I987="M","BOY","GIRL"))</f>
        <v/>
      </c>
      <c r="I990" s="28" t="str">
        <f>IF('Paste SD Data'!J987="","",'Paste SD Data'!J987)</f>
        <v/>
      </c>
      <c r="J990" s="34">
        <f t="shared" si="15"/>
        <v>1416</v>
      </c>
      <c r="K990" s="29" t="str">
        <f>IF('Paste SD Data'!O987="","",'Paste SD Data'!O987)</f>
        <v/>
      </c>
    </row>
    <row r="991" spans="1:11" ht="30" customHeight="1" x14ac:dyDescent="0.25">
      <c r="A991" s="25" t="str">
        <f>IF(Table1[[#This Row],[Name of Student]]="","",ROWS($A$1:A987))</f>
        <v/>
      </c>
      <c r="B991" s="26" t="str">
        <f>IF('Paste SD Data'!A988="","",'Paste SD Data'!A988)</f>
        <v/>
      </c>
      <c r="C991" s="26" t="str">
        <f>IF('Paste SD Data'!B988="","",'Paste SD Data'!B988)</f>
        <v/>
      </c>
      <c r="D991" s="26" t="str">
        <f>IF('Paste SD Data'!C988="","",'Paste SD Data'!C988)</f>
        <v/>
      </c>
      <c r="E991" s="27" t="str">
        <f>IF('Paste SD Data'!E988="","",UPPER('Paste SD Data'!E988))</f>
        <v/>
      </c>
      <c r="F991" s="27" t="str">
        <f>IF('Paste SD Data'!G988="","",UPPER('Paste SD Data'!G988))</f>
        <v/>
      </c>
      <c r="G991" s="27" t="str">
        <f>IF('Paste SD Data'!H988="","",UPPER('Paste SD Data'!H988))</f>
        <v/>
      </c>
      <c r="H991" s="26" t="str">
        <f>IF('Paste SD Data'!I988="","",IF('Paste SD Data'!I988="M","BOY","GIRL"))</f>
        <v/>
      </c>
      <c r="I991" s="28" t="str">
        <f>IF('Paste SD Data'!J988="","",'Paste SD Data'!J988)</f>
        <v/>
      </c>
      <c r="J991" s="34">
        <f t="shared" si="15"/>
        <v>1417</v>
      </c>
      <c r="K991" s="29" t="str">
        <f>IF('Paste SD Data'!O988="","",'Paste SD Data'!O988)</f>
        <v/>
      </c>
    </row>
    <row r="992" spans="1:11" ht="30" customHeight="1" x14ac:dyDescent="0.25">
      <c r="A992" s="25" t="str">
        <f>IF(Table1[[#This Row],[Name of Student]]="","",ROWS($A$1:A988))</f>
        <v/>
      </c>
      <c r="B992" s="26" t="str">
        <f>IF('Paste SD Data'!A989="","",'Paste SD Data'!A989)</f>
        <v/>
      </c>
      <c r="C992" s="26" t="str">
        <f>IF('Paste SD Data'!B989="","",'Paste SD Data'!B989)</f>
        <v/>
      </c>
      <c r="D992" s="26" t="str">
        <f>IF('Paste SD Data'!C989="","",'Paste SD Data'!C989)</f>
        <v/>
      </c>
      <c r="E992" s="27" t="str">
        <f>IF('Paste SD Data'!E989="","",UPPER('Paste SD Data'!E989))</f>
        <v/>
      </c>
      <c r="F992" s="27" t="str">
        <f>IF('Paste SD Data'!G989="","",UPPER('Paste SD Data'!G989))</f>
        <v/>
      </c>
      <c r="G992" s="27" t="str">
        <f>IF('Paste SD Data'!H989="","",UPPER('Paste SD Data'!H989))</f>
        <v/>
      </c>
      <c r="H992" s="26" t="str">
        <f>IF('Paste SD Data'!I989="","",IF('Paste SD Data'!I989="M","BOY","GIRL"))</f>
        <v/>
      </c>
      <c r="I992" s="28" t="str">
        <f>IF('Paste SD Data'!J989="","",'Paste SD Data'!J989)</f>
        <v/>
      </c>
      <c r="J992" s="34">
        <f t="shared" si="15"/>
        <v>1418</v>
      </c>
      <c r="K992" s="29" t="str">
        <f>IF('Paste SD Data'!O989="","",'Paste SD Data'!O989)</f>
        <v/>
      </c>
    </row>
    <row r="993" spans="1:11" ht="30" customHeight="1" x14ac:dyDescent="0.25">
      <c r="A993" s="25" t="str">
        <f>IF(Table1[[#This Row],[Name of Student]]="","",ROWS($A$1:A989))</f>
        <v/>
      </c>
      <c r="B993" s="26" t="str">
        <f>IF('Paste SD Data'!A990="","",'Paste SD Data'!A990)</f>
        <v/>
      </c>
      <c r="C993" s="26" t="str">
        <f>IF('Paste SD Data'!B990="","",'Paste SD Data'!B990)</f>
        <v/>
      </c>
      <c r="D993" s="26" t="str">
        <f>IF('Paste SD Data'!C990="","",'Paste SD Data'!C990)</f>
        <v/>
      </c>
      <c r="E993" s="27" t="str">
        <f>IF('Paste SD Data'!E990="","",UPPER('Paste SD Data'!E990))</f>
        <v/>
      </c>
      <c r="F993" s="27" t="str">
        <f>IF('Paste SD Data'!G990="","",UPPER('Paste SD Data'!G990))</f>
        <v/>
      </c>
      <c r="G993" s="27" t="str">
        <f>IF('Paste SD Data'!H990="","",UPPER('Paste SD Data'!H990))</f>
        <v/>
      </c>
      <c r="H993" s="26" t="str">
        <f>IF('Paste SD Data'!I990="","",IF('Paste SD Data'!I990="M","BOY","GIRL"))</f>
        <v/>
      </c>
      <c r="I993" s="28" t="str">
        <f>IF('Paste SD Data'!J990="","",'Paste SD Data'!J990)</f>
        <v/>
      </c>
      <c r="J993" s="34">
        <f t="shared" si="15"/>
        <v>1419</v>
      </c>
      <c r="K993" s="29" t="str">
        <f>IF('Paste SD Data'!O990="","",'Paste SD Data'!O990)</f>
        <v/>
      </c>
    </row>
    <row r="994" spans="1:11" ht="30" customHeight="1" x14ac:dyDescent="0.25">
      <c r="A994" s="25" t="str">
        <f>IF(Table1[[#This Row],[Name of Student]]="","",ROWS($A$1:A990))</f>
        <v/>
      </c>
      <c r="B994" s="26" t="str">
        <f>IF('Paste SD Data'!A991="","",'Paste SD Data'!A991)</f>
        <v/>
      </c>
      <c r="C994" s="26" t="str">
        <f>IF('Paste SD Data'!B991="","",'Paste SD Data'!B991)</f>
        <v/>
      </c>
      <c r="D994" s="26" t="str">
        <f>IF('Paste SD Data'!C991="","",'Paste SD Data'!C991)</f>
        <v/>
      </c>
      <c r="E994" s="27" t="str">
        <f>IF('Paste SD Data'!E991="","",UPPER('Paste SD Data'!E991))</f>
        <v/>
      </c>
      <c r="F994" s="27" t="str">
        <f>IF('Paste SD Data'!G991="","",UPPER('Paste SD Data'!G991))</f>
        <v/>
      </c>
      <c r="G994" s="27" t="str">
        <f>IF('Paste SD Data'!H991="","",UPPER('Paste SD Data'!H991))</f>
        <v/>
      </c>
      <c r="H994" s="26" t="str">
        <f>IF('Paste SD Data'!I991="","",IF('Paste SD Data'!I991="M","BOY","GIRL"))</f>
        <v/>
      </c>
      <c r="I994" s="28" t="str">
        <f>IF('Paste SD Data'!J991="","",'Paste SD Data'!J991)</f>
        <v/>
      </c>
      <c r="J994" s="34">
        <f t="shared" si="15"/>
        <v>1420</v>
      </c>
      <c r="K994" s="29" t="str">
        <f>IF('Paste SD Data'!O991="","",'Paste SD Data'!O991)</f>
        <v/>
      </c>
    </row>
    <row r="995" spans="1:11" ht="30" customHeight="1" x14ac:dyDescent="0.25">
      <c r="A995" s="25" t="str">
        <f>IF(Table1[[#This Row],[Name of Student]]="","",ROWS($A$1:A991))</f>
        <v/>
      </c>
      <c r="B995" s="26" t="str">
        <f>IF('Paste SD Data'!A992="","",'Paste SD Data'!A992)</f>
        <v/>
      </c>
      <c r="C995" s="26" t="str">
        <f>IF('Paste SD Data'!B992="","",'Paste SD Data'!B992)</f>
        <v/>
      </c>
      <c r="D995" s="26" t="str">
        <f>IF('Paste SD Data'!C992="","",'Paste SD Data'!C992)</f>
        <v/>
      </c>
      <c r="E995" s="27" t="str">
        <f>IF('Paste SD Data'!E992="","",UPPER('Paste SD Data'!E992))</f>
        <v/>
      </c>
      <c r="F995" s="27" t="str">
        <f>IF('Paste SD Data'!G992="","",UPPER('Paste SD Data'!G992))</f>
        <v/>
      </c>
      <c r="G995" s="27" t="str">
        <f>IF('Paste SD Data'!H992="","",UPPER('Paste SD Data'!H992))</f>
        <v/>
      </c>
      <c r="H995" s="26" t="str">
        <f>IF('Paste SD Data'!I992="","",IF('Paste SD Data'!I992="M","BOY","GIRL"))</f>
        <v/>
      </c>
      <c r="I995" s="28" t="str">
        <f>IF('Paste SD Data'!J992="","",'Paste SD Data'!J992)</f>
        <v/>
      </c>
      <c r="J995" s="34">
        <f t="shared" si="15"/>
        <v>1421</v>
      </c>
      <c r="K995" s="29" t="str">
        <f>IF('Paste SD Data'!O992="","",'Paste SD Data'!O992)</f>
        <v/>
      </c>
    </row>
    <row r="996" spans="1:11" ht="30" customHeight="1" x14ac:dyDescent="0.25">
      <c r="A996" s="25" t="str">
        <f>IF(Table1[[#This Row],[Name of Student]]="","",ROWS($A$1:A992))</f>
        <v/>
      </c>
      <c r="B996" s="26" t="str">
        <f>IF('Paste SD Data'!A993="","",'Paste SD Data'!A993)</f>
        <v/>
      </c>
      <c r="C996" s="26" t="str">
        <f>IF('Paste SD Data'!B993="","",'Paste SD Data'!B993)</f>
        <v/>
      </c>
      <c r="D996" s="26" t="str">
        <f>IF('Paste SD Data'!C993="","",'Paste SD Data'!C993)</f>
        <v/>
      </c>
      <c r="E996" s="27" t="str">
        <f>IF('Paste SD Data'!E993="","",UPPER('Paste SD Data'!E993))</f>
        <v/>
      </c>
      <c r="F996" s="27" t="str">
        <f>IF('Paste SD Data'!G993="","",UPPER('Paste SD Data'!G993))</f>
        <v/>
      </c>
      <c r="G996" s="27" t="str">
        <f>IF('Paste SD Data'!H993="","",UPPER('Paste SD Data'!H993))</f>
        <v/>
      </c>
      <c r="H996" s="26" t="str">
        <f>IF('Paste SD Data'!I993="","",IF('Paste SD Data'!I993="M","BOY","GIRL"))</f>
        <v/>
      </c>
      <c r="I996" s="28" t="str">
        <f>IF('Paste SD Data'!J993="","",'Paste SD Data'!J993)</f>
        <v/>
      </c>
      <c r="J996" s="34">
        <f t="shared" si="15"/>
        <v>1422</v>
      </c>
      <c r="K996" s="29" t="str">
        <f>IF('Paste SD Data'!O993="","",'Paste SD Data'!O993)</f>
        <v/>
      </c>
    </row>
    <row r="997" spans="1:11" ht="30" customHeight="1" x14ac:dyDescent="0.25">
      <c r="A997" s="25" t="str">
        <f>IF(Table1[[#This Row],[Name of Student]]="","",ROWS($A$1:A993))</f>
        <v/>
      </c>
      <c r="B997" s="26" t="str">
        <f>IF('Paste SD Data'!A994="","",'Paste SD Data'!A994)</f>
        <v/>
      </c>
      <c r="C997" s="26" t="str">
        <f>IF('Paste SD Data'!B994="","",'Paste SD Data'!B994)</f>
        <v/>
      </c>
      <c r="D997" s="26" t="str">
        <f>IF('Paste SD Data'!C994="","",'Paste SD Data'!C994)</f>
        <v/>
      </c>
      <c r="E997" s="27" t="str">
        <f>IF('Paste SD Data'!E994="","",UPPER('Paste SD Data'!E994))</f>
        <v/>
      </c>
      <c r="F997" s="27" t="str">
        <f>IF('Paste SD Data'!G994="","",UPPER('Paste SD Data'!G994))</f>
        <v/>
      </c>
      <c r="G997" s="27" t="str">
        <f>IF('Paste SD Data'!H994="","",UPPER('Paste SD Data'!H994))</f>
        <v/>
      </c>
      <c r="H997" s="26" t="str">
        <f>IF('Paste SD Data'!I994="","",IF('Paste SD Data'!I994="M","BOY","GIRL"))</f>
        <v/>
      </c>
      <c r="I997" s="28" t="str">
        <f>IF('Paste SD Data'!J994="","",'Paste SD Data'!J994)</f>
        <v/>
      </c>
      <c r="J997" s="34">
        <f t="shared" si="15"/>
        <v>1423</v>
      </c>
      <c r="K997" s="29" t="str">
        <f>IF('Paste SD Data'!O994="","",'Paste SD Data'!O994)</f>
        <v/>
      </c>
    </row>
    <row r="998" spans="1:11" ht="30" customHeight="1" x14ac:dyDescent="0.25">
      <c r="A998" s="25" t="str">
        <f>IF(Table1[[#This Row],[Name of Student]]="","",ROWS($A$1:A994))</f>
        <v/>
      </c>
      <c r="B998" s="26" t="str">
        <f>IF('Paste SD Data'!A995="","",'Paste SD Data'!A995)</f>
        <v/>
      </c>
      <c r="C998" s="26" t="str">
        <f>IF('Paste SD Data'!B995="","",'Paste SD Data'!B995)</f>
        <v/>
      </c>
      <c r="D998" s="26" t="str">
        <f>IF('Paste SD Data'!C995="","",'Paste SD Data'!C995)</f>
        <v/>
      </c>
      <c r="E998" s="27" t="str">
        <f>IF('Paste SD Data'!E995="","",UPPER('Paste SD Data'!E995))</f>
        <v/>
      </c>
      <c r="F998" s="27" t="str">
        <f>IF('Paste SD Data'!G995="","",UPPER('Paste SD Data'!G995))</f>
        <v/>
      </c>
      <c r="G998" s="27" t="str">
        <f>IF('Paste SD Data'!H995="","",UPPER('Paste SD Data'!H995))</f>
        <v/>
      </c>
      <c r="H998" s="26" t="str">
        <f>IF('Paste SD Data'!I995="","",IF('Paste SD Data'!I995="M","BOY","GIRL"))</f>
        <v/>
      </c>
      <c r="I998" s="28" t="str">
        <f>IF('Paste SD Data'!J995="","",'Paste SD Data'!J995)</f>
        <v/>
      </c>
      <c r="J998" s="34">
        <f t="shared" si="15"/>
        <v>1424</v>
      </c>
      <c r="K998" s="29" t="str">
        <f>IF('Paste SD Data'!O995="","",'Paste SD Data'!O995)</f>
        <v/>
      </c>
    </row>
    <row r="999" spans="1:11" ht="30" customHeight="1" x14ac:dyDescent="0.25">
      <c r="A999" s="25" t="str">
        <f>IF(Table1[[#This Row],[Name of Student]]="","",ROWS($A$1:A995))</f>
        <v/>
      </c>
      <c r="B999" s="26" t="str">
        <f>IF('Paste SD Data'!A996="","",'Paste SD Data'!A996)</f>
        <v/>
      </c>
      <c r="C999" s="26" t="str">
        <f>IF('Paste SD Data'!B996="","",'Paste SD Data'!B996)</f>
        <v/>
      </c>
      <c r="D999" s="26" t="str">
        <f>IF('Paste SD Data'!C996="","",'Paste SD Data'!C996)</f>
        <v/>
      </c>
      <c r="E999" s="27" t="str">
        <f>IF('Paste SD Data'!E996="","",UPPER('Paste SD Data'!E996))</f>
        <v/>
      </c>
      <c r="F999" s="27" t="str">
        <f>IF('Paste SD Data'!G996="","",UPPER('Paste SD Data'!G996))</f>
        <v/>
      </c>
      <c r="G999" s="27" t="str">
        <f>IF('Paste SD Data'!H996="","",UPPER('Paste SD Data'!H996))</f>
        <v/>
      </c>
      <c r="H999" s="26" t="str">
        <f>IF('Paste SD Data'!I996="","",IF('Paste SD Data'!I996="M","BOY","GIRL"))</f>
        <v/>
      </c>
      <c r="I999" s="28" t="str">
        <f>IF('Paste SD Data'!J996="","",'Paste SD Data'!J996)</f>
        <v/>
      </c>
      <c r="J999" s="34">
        <f t="shared" si="15"/>
        <v>1425</v>
      </c>
      <c r="K999" s="29" t="str">
        <f>IF('Paste SD Data'!O996="","",'Paste SD Data'!O996)</f>
        <v/>
      </c>
    </row>
    <row r="1000" spans="1:11" ht="30" customHeight="1" x14ac:dyDescent="0.25">
      <c r="A1000" s="25" t="str">
        <f>IF(Table1[[#This Row],[Name of Student]]="","",ROWS($A$1:A996))</f>
        <v/>
      </c>
      <c r="B1000" s="26" t="str">
        <f>IF('Paste SD Data'!A997="","",'Paste SD Data'!A997)</f>
        <v/>
      </c>
      <c r="C1000" s="26" t="str">
        <f>IF('Paste SD Data'!B997="","",'Paste SD Data'!B997)</f>
        <v/>
      </c>
      <c r="D1000" s="26" t="str">
        <f>IF('Paste SD Data'!C997="","",'Paste SD Data'!C997)</f>
        <v/>
      </c>
      <c r="E1000" s="27" t="str">
        <f>IF('Paste SD Data'!E997="","",UPPER('Paste SD Data'!E997))</f>
        <v/>
      </c>
      <c r="F1000" s="27" t="str">
        <f>IF('Paste SD Data'!G997="","",UPPER('Paste SD Data'!G997))</f>
        <v/>
      </c>
      <c r="G1000" s="27" t="str">
        <f>IF('Paste SD Data'!H997="","",UPPER('Paste SD Data'!H997))</f>
        <v/>
      </c>
      <c r="H1000" s="26" t="str">
        <f>IF('Paste SD Data'!I997="","",IF('Paste SD Data'!I997="M","BOY","GIRL"))</f>
        <v/>
      </c>
      <c r="I1000" s="28" t="str">
        <f>IF('Paste SD Data'!J997="","",'Paste SD Data'!J997)</f>
        <v/>
      </c>
      <c r="J1000" s="34">
        <f t="shared" si="15"/>
        <v>1426</v>
      </c>
      <c r="K1000" s="29" t="str">
        <f>IF('Paste SD Data'!O997="","",'Paste SD Data'!O997)</f>
        <v/>
      </c>
    </row>
    <row r="1001" spans="1:11" ht="30" customHeight="1" x14ac:dyDescent="0.25">
      <c r="A1001" s="25" t="str">
        <f>IF(Table1[[#This Row],[Name of Student]]="","",ROWS($A$1:A997))</f>
        <v/>
      </c>
      <c r="B1001" s="26" t="str">
        <f>IF('Paste SD Data'!A998="","",'Paste SD Data'!A998)</f>
        <v/>
      </c>
      <c r="C1001" s="26" t="str">
        <f>IF('Paste SD Data'!B998="","",'Paste SD Data'!B998)</f>
        <v/>
      </c>
      <c r="D1001" s="26" t="str">
        <f>IF('Paste SD Data'!C998="","",'Paste SD Data'!C998)</f>
        <v/>
      </c>
      <c r="E1001" s="27" t="str">
        <f>IF('Paste SD Data'!E998="","",UPPER('Paste SD Data'!E998))</f>
        <v/>
      </c>
      <c r="F1001" s="27" t="str">
        <f>IF('Paste SD Data'!G998="","",UPPER('Paste SD Data'!G998))</f>
        <v/>
      </c>
      <c r="G1001" s="27" t="str">
        <f>IF('Paste SD Data'!H998="","",UPPER('Paste SD Data'!H998))</f>
        <v/>
      </c>
      <c r="H1001" s="26" t="str">
        <f>IF('Paste SD Data'!I998="","",IF('Paste SD Data'!I998="M","BOY","GIRL"))</f>
        <v/>
      </c>
      <c r="I1001" s="28" t="str">
        <f>IF('Paste SD Data'!J998="","",'Paste SD Data'!J998)</f>
        <v/>
      </c>
      <c r="J1001" s="34">
        <f t="shared" si="15"/>
        <v>1427</v>
      </c>
      <c r="K1001" s="29" t="str">
        <f>IF('Paste SD Data'!O998="","",'Paste SD Data'!O998)</f>
        <v/>
      </c>
    </row>
    <row r="1002" spans="1:11" ht="30" customHeight="1" x14ac:dyDescent="0.25">
      <c r="A1002" s="25" t="str">
        <f>IF(Table1[[#This Row],[Name of Student]]="","",ROWS($A$1:A998))</f>
        <v/>
      </c>
      <c r="B1002" s="26" t="str">
        <f>IF('Paste SD Data'!A999="","",'Paste SD Data'!A999)</f>
        <v/>
      </c>
      <c r="C1002" s="26" t="str">
        <f>IF('Paste SD Data'!B999="","",'Paste SD Data'!B999)</f>
        <v/>
      </c>
      <c r="D1002" s="26" t="str">
        <f>IF('Paste SD Data'!C999="","",'Paste SD Data'!C999)</f>
        <v/>
      </c>
      <c r="E1002" s="27" t="str">
        <f>IF('Paste SD Data'!E999="","",UPPER('Paste SD Data'!E999))</f>
        <v/>
      </c>
      <c r="F1002" s="27" t="str">
        <f>IF('Paste SD Data'!G999="","",UPPER('Paste SD Data'!G999))</f>
        <v/>
      </c>
      <c r="G1002" s="27" t="str">
        <f>IF('Paste SD Data'!H999="","",UPPER('Paste SD Data'!H999))</f>
        <v/>
      </c>
      <c r="H1002" s="26" t="str">
        <f>IF('Paste SD Data'!I999="","",IF('Paste SD Data'!I999="M","BOY","GIRL"))</f>
        <v/>
      </c>
      <c r="I1002" s="28" t="str">
        <f>IF('Paste SD Data'!J999="","",'Paste SD Data'!J999)</f>
        <v/>
      </c>
      <c r="J1002" s="34">
        <f t="shared" si="15"/>
        <v>1428</v>
      </c>
      <c r="K1002" s="29" t="str">
        <f>IF('Paste SD Data'!O999="","",'Paste SD Data'!O999)</f>
        <v/>
      </c>
    </row>
    <row r="1003" spans="1:11" ht="30" customHeight="1" x14ac:dyDescent="0.25">
      <c r="A1003" s="25" t="str">
        <f>IF(Table1[[#This Row],[Name of Student]]="","",ROWS($A$1:A999))</f>
        <v/>
      </c>
      <c r="B1003" s="26" t="str">
        <f>IF('Paste SD Data'!A1000="","",'Paste SD Data'!A1000)</f>
        <v/>
      </c>
      <c r="C1003" s="26" t="str">
        <f>IF('Paste SD Data'!B1000="","",'Paste SD Data'!B1000)</f>
        <v/>
      </c>
      <c r="D1003" s="26" t="str">
        <f>IF('Paste SD Data'!C1000="","",'Paste SD Data'!C1000)</f>
        <v/>
      </c>
      <c r="E1003" s="27" t="str">
        <f>IF('Paste SD Data'!E1000="","",UPPER('Paste SD Data'!E1000))</f>
        <v/>
      </c>
      <c r="F1003" s="27" t="str">
        <f>IF('Paste SD Data'!G1000="","",UPPER('Paste SD Data'!G1000))</f>
        <v/>
      </c>
      <c r="G1003" s="27" t="str">
        <f>IF('Paste SD Data'!H1000="","",UPPER('Paste SD Data'!H1000))</f>
        <v/>
      </c>
      <c r="H1003" s="26" t="str">
        <f>IF('Paste SD Data'!I1000="","",IF('Paste SD Data'!I1000="M","BOY","GIRL"))</f>
        <v/>
      </c>
      <c r="I1003" s="28" t="str">
        <f>IF('Paste SD Data'!J1000="","",'Paste SD Data'!J1000)</f>
        <v/>
      </c>
      <c r="J1003" s="34">
        <f t="shared" si="15"/>
        <v>1429</v>
      </c>
      <c r="K1003" s="29" t="str">
        <f>IF('Paste SD Data'!O1000="","",'Paste SD Data'!O1000)</f>
        <v/>
      </c>
    </row>
    <row r="1004" spans="1:11" ht="30" customHeight="1" x14ac:dyDescent="0.25">
      <c r="A1004" s="25" t="str">
        <f>IF(Table1[[#This Row],[Name of Student]]="","",ROWS($A$1:A1000))</f>
        <v/>
      </c>
      <c r="B1004" s="26" t="str">
        <f>IF('Paste SD Data'!A1001="","",'Paste SD Data'!A1001)</f>
        <v/>
      </c>
      <c r="C1004" s="26" t="str">
        <f>IF('Paste SD Data'!B1001="","",'Paste SD Data'!B1001)</f>
        <v/>
      </c>
      <c r="D1004" s="26" t="str">
        <f>IF('Paste SD Data'!C1001="","",'Paste SD Data'!C1001)</f>
        <v/>
      </c>
      <c r="E1004" s="27" t="str">
        <f>IF('Paste SD Data'!E1001="","",UPPER('Paste SD Data'!E1001))</f>
        <v/>
      </c>
      <c r="F1004" s="27" t="str">
        <f>IF('Paste SD Data'!G1001="","",UPPER('Paste SD Data'!G1001))</f>
        <v/>
      </c>
      <c r="G1004" s="27" t="str">
        <f>IF('Paste SD Data'!H1001="","",UPPER('Paste SD Data'!H1001))</f>
        <v/>
      </c>
      <c r="H1004" s="26" t="str">
        <f>IF('Paste SD Data'!I1001="","",IF('Paste SD Data'!I1001="M","BOY","GIRL"))</f>
        <v/>
      </c>
      <c r="I1004" s="28" t="str">
        <f>IF('Paste SD Data'!J1001="","",'Paste SD Data'!J1001)</f>
        <v/>
      </c>
      <c r="J1004" s="34">
        <f t="shared" si="15"/>
        <v>1430</v>
      </c>
      <c r="K1004" s="29" t="str">
        <f>IF('Paste SD Data'!O1001="","",'Paste SD Data'!O1001)</f>
        <v/>
      </c>
    </row>
    <row r="1005" spans="1:11" ht="30" customHeight="1" x14ac:dyDescent="0.25">
      <c r="A1005" s="25" t="str">
        <f>IF(Table1[[#This Row],[Name of Student]]="","",ROWS($A$1:A1001))</f>
        <v/>
      </c>
      <c r="B1005" s="26" t="str">
        <f>IF('Paste SD Data'!A1002="","",'Paste SD Data'!A1002)</f>
        <v/>
      </c>
      <c r="C1005" s="26" t="str">
        <f>IF('Paste SD Data'!B1002="","",'Paste SD Data'!B1002)</f>
        <v/>
      </c>
      <c r="D1005" s="26" t="str">
        <f>IF('Paste SD Data'!C1002="","",'Paste SD Data'!C1002)</f>
        <v/>
      </c>
      <c r="E1005" s="27" t="str">
        <f>IF('Paste SD Data'!E1002="","",UPPER('Paste SD Data'!E1002))</f>
        <v/>
      </c>
      <c r="F1005" s="27" t="str">
        <f>IF('Paste SD Data'!G1002="","",UPPER('Paste SD Data'!G1002))</f>
        <v/>
      </c>
      <c r="G1005" s="27" t="str">
        <f>IF('Paste SD Data'!H1002="","",UPPER('Paste SD Data'!H1002))</f>
        <v/>
      </c>
      <c r="H1005" s="26" t="str">
        <f>IF('Paste SD Data'!I1002="","",IF('Paste SD Data'!I1002="M","BOY","GIRL"))</f>
        <v/>
      </c>
      <c r="I1005" s="28" t="str">
        <f>IF('Paste SD Data'!J1002="","",'Paste SD Data'!J1002)</f>
        <v/>
      </c>
      <c r="J1005" s="34">
        <f t="shared" si="15"/>
        <v>1431</v>
      </c>
      <c r="K1005" s="29" t="str">
        <f>IF('Paste SD Data'!O1002="","",'Paste SD Data'!O1002)</f>
        <v/>
      </c>
    </row>
    <row r="1006" spans="1:11" ht="30" customHeight="1" x14ac:dyDescent="0.25">
      <c r="A1006" s="25" t="str">
        <f>IF(Table1[[#This Row],[Name of Student]]="","",ROWS($A$1:A1002))</f>
        <v/>
      </c>
      <c r="B1006" s="26" t="str">
        <f>IF('Paste SD Data'!A1003="","",'Paste SD Data'!A1003)</f>
        <v/>
      </c>
      <c r="C1006" s="26" t="str">
        <f>IF('Paste SD Data'!B1003="","",'Paste SD Data'!B1003)</f>
        <v/>
      </c>
      <c r="D1006" s="26" t="str">
        <f>IF('Paste SD Data'!C1003="","",'Paste SD Data'!C1003)</f>
        <v/>
      </c>
      <c r="E1006" s="27" t="str">
        <f>IF('Paste SD Data'!E1003="","",UPPER('Paste SD Data'!E1003))</f>
        <v/>
      </c>
      <c r="F1006" s="27" t="str">
        <f>IF('Paste SD Data'!G1003="","",UPPER('Paste SD Data'!G1003))</f>
        <v/>
      </c>
      <c r="G1006" s="27" t="str">
        <f>IF('Paste SD Data'!H1003="","",UPPER('Paste SD Data'!H1003))</f>
        <v/>
      </c>
      <c r="H1006" s="26" t="str">
        <f>IF('Paste SD Data'!I1003="","",IF('Paste SD Data'!I1003="M","BOY","GIRL"))</f>
        <v/>
      </c>
      <c r="I1006" s="28" t="str">
        <f>IF('Paste SD Data'!J1003="","",'Paste SD Data'!J1003)</f>
        <v/>
      </c>
      <c r="J1006" s="34">
        <f t="shared" si="15"/>
        <v>1432</v>
      </c>
      <c r="K1006" s="29" t="str">
        <f>IF('Paste SD Data'!O1003="","",'Paste SD Data'!O1003)</f>
        <v/>
      </c>
    </row>
    <row r="1007" spans="1:11" ht="30" customHeight="1" x14ac:dyDescent="0.25">
      <c r="A1007" s="25" t="str">
        <f>IF(Table1[[#This Row],[Name of Student]]="","",ROWS($A$1:A1003))</f>
        <v/>
      </c>
      <c r="B1007" s="26" t="str">
        <f>IF('Paste SD Data'!A1004="","",'Paste SD Data'!A1004)</f>
        <v/>
      </c>
      <c r="C1007" s="26" t="str">
        <f>IF('Paste SD Data'!B1004="","",'Paste SD Data'!B1004)</f>
        <v/>
      </c>
      <c r="D1007" s="26" t="str">
        <f>IF('Paste SD Data'!C1004="","",'Paste SD Data'!C1004)</f>
        <v/>
      </c>
      <c r="E1007" s="27" t="str">
        <f>IF('Paste SD Data'!E1004="","",UPPER('Paste SD Data'!E1004))</f>
        <v/>
      </c>
      <c r="F1007" s="27" t="str">
        <f>IF('Paste SD Data'!G1004="","",UPPER('Paste SD Data'!G1004))</f>
        <v/>
      </c>
      <c r="G1007" s="27" t="str">
        <f>IF('Paste SD Data'!H1004="","",UPPER('Paste SD Data'!H1004))</f>
        <v/>
      </c>
      <c r="H1007" s="26" t="str">
        <f>IF('Paste SD Data'!I1004="","",IF('Paste SD Data'!I1004="M","BOY","GIRL"))</f>
        <v/>
      </c>
      <c r="I1007" s="28" t="str">
        <f>IF('Paste SD Data'!J1004="","",'Paste SD Data'!J1004)</f>
        <v/>
      </c>
      <c r="J1007" s="34">
        <f t="shared" si="15"/>
        <v>1433</v>
      </c>
      <c r="K1007" s="29" t="str">
        <f>IF('Paste SD Data'!O1004="","",'Paste SD Data'!O1004)</f>
        <v/>
      </c>
    </row>
    <row r="1008" spans="1:11" ht="30" customHeight="1" x14ac:dyDescent="0.25">
      <c r="A1008" s="25" t="str">
        <f>IF(Table1[[#This Row],[Name of Student]]="","",ROWS($A$1:A1004))</f>
        <v/>
      </c>
      <c r="B1008" s="26" t="str">
        <f>IF('Paste SD Data'!A1005="","",'Paste SD Data'!A1005)</f>
        <v/>
      </c>
      <c r="C1008" s="26" t="str">
        <f>IF('Paste SD Data'!B1005="","",'Paste SD Data'!B1005)</f>
        <v/>
      </c>
      <c r="D1008" s="26" t="str">
        <f>IF('Paste SD Data'!C1005="","",'Paste SD Data'!C1005)</f>
        <v/>
      </c>
      <c r="E1008" s="27" t="str">
        <f>IF('Paste SD Data'!E1005="","",UPPER('Paste SD Data'!E1005))</f>
        <v/>
      </c>
      <c r="F1008" s="27" t="str">
        <f>IF('Paste SD Data'!G1005="","",UPPER('Paste SD Data'!G1005))</f>
        <v/>
      </c>
      <c r="G1008" s="27" t="str">
        <f>IF('Paste SD Data'!H1005="","",UPPER('Paste SD Data'!H1005))</f>
        <v/>
      </c>
      <c r="H1008" s="26" t="str">
        <f>IF('Paste SD Data'!I1005="","",IF('Paste SD Data'!I1005="M","BOY","GIRL"))</f>
        <v/>
      </c>
      <c r="I1008" s="28" t="str">
        <f>IF('Paste SD Data'!J1005="","",'Paste SD Data'!J1005)</f>
        <v/>
      </c>
      <c r="J1008" s="34">
        <f t="shared" si="15"/>
        <v>1434</v>
      </c>
      <c r="K1008" s="29" t="str">
        <f>IF('Paste SD Data'!O1005="","",'Paste SD Data'!O1005)</f>
        <v/>
      </c>
    </row>
    <row r="1009" spans="1:11" ht="30" customHeight="1" x14ac:dyDescent="0.25">
      <c r="A1009" s="25" t="str">
        <f>IF(Table1[[#This Row],[Name of Student]]="","",ROWS($A$1:A1005))</f>
        <v/>
      </c>
      <c r="B1009" s="26" t="str">
        <f>IF('Paste SD Data'!A1006="","",'Paste SD Data'!A1006)</f>
        <v/>
      </c>
      <c r="C1009" s="26" t="str">
        <f>IF('Paste SD Data'!B1006="","",'Paste SD Data'!B1006)</f>
        <v/>
      </c>
      <c r="D1009" s="26" t="str">
        <f>IF('Paste SD Data'!C1006="","",'Paste SD Data'!C1006)</f>
        <v/>
      </c>
      <c r="E1009" s="27" t="str">
        <f>IF('Paste SD Data'!E1006="","",UPPER('Paste SD Data'!E1006))</f>
        <v/>
      </c>
      <c r="F1009" s="27" t="str">
        <f>IF('Paste SD Data'!G1006="","",UPPER('Paste SD Data'!G1006))</f>
        <v/>
      </c>
      <c r="G1009" s="27" t="str">
        <f>IF('Paste SD Data'!H1006="","",UPPER('Paste SD Data'!H1006))</f>
        <v/>
      </c>
      <c r="H1009" s="26" t="str">
        <f>IF('Paste SD Data'!I1006="","",IF('Paste SD Data'!I1006="M","BOY","GIRL"))</f>
        <v/>
      </c>
      <c r="I1009" s="28" t="str">
        <f>IF('Paste SD Data'!J1006="","",'Paste SD Data'!J1006)</f>
        <v/>
      </c>
      <c r="J1009" s="34">
        <f t="shared" si="15"/>
        <v>1435</v>
      </c>
      <c r="K1009" s="29" t="str">
        <f>IF('Paste SD Data'!O1006="","",'Paste SD Data'!O1006)</f>
        <v/>
      </c>
    </row>
    <row r="1010" spans="1:11" ht="30" customHeight="1" x14ac:dyDescent="0.25">
      <c r="A1010" s="25" t="str">
        <f>IF(Table1[[#This Row],[Name of Student]]="","",ROWS($A$1:A1006))</f>
        <v/>
      </c>
      <c r="B1010" s="26" t="str">
        <f>IF('Paste SD Data'!A1007="","",'Paste SD Data'!A1007)</f>
        <v/>
      </c>
      <c r="C1010" s="26" t="str">
        <f>IF('Paste SD Data'!B1007="","",'Paste SD Data'!B1007)</f>
        <v/>
      </c>
      <c r="D1010" s="26" t="str">
        <f>IF('Paste SD Data'!C1007="","",'Paste SD Data'!C1007)</f>
        <v/>
      </c>
      <c r="E1010" s="27" t="str">
        <f>IF('Paste SD Data'!E1007="","",UPPER('Paste SD Data'!E1007))</f>
        <v/>
      </c>
      <c r="F1010" s="27" t="str">
        <f>IF('Paste SD Data'!G1007="","",UPPER('Paste SD Data'!G1007))</f>
        <v/>
      </c>
      <c r="G1010" s="27" t="str">
        <f>IF('Paste SD Data'!H1007="","",UPPER('Paste SD Data'!H1007))</f>
        <v/>
      </c>
      <c r="H1010" s="26" t="str">
        <f>IF('Paste SD Data'!I1007="","",IF('Paste SD Data'!I1007="M","BOY","GIRL"))</f>
        <v/>
      </c>
      <c r="I1010" s="28" t="str">
        <f>IF('Paste SD Data'!J1007="","",'Paste SD Data'!J1007)</f>
        <v/>
      </c>
      <c r="J1010" s="34">
        <f t="shared" si="15"/>
        <v>1436</v>
      </c>
      <c r="K1010" s="29" t="str">
        <f>IF('Paste SD Data'!O1007="","",'Paste SD Data'!O1007)</f>
        <v/>
      </c>
    </row>
    <row r="1011" spans="1:11" ht="30" customHeight="1" x14ac:dyDescent="0.25">
      <c r="A1011" s="25" t="str">
        <f>IF(Table1[[#This Row],[Name of Student]]="","",ROWS($A$1:A1007))</f>
        <v/>
      </c>
      <c r="B1011" s="26" t="str">
        <f>IF('Paste SD Data'!A1008="","",'Paste SD Data'!A1008)</f>
        <v/>
      </c>
      <c r="C1011" s="26" t="str">
        <f>IF('Paste SD Data'!B1008="","",'Paste SD Data'!B1008)</f>
        <v/>
      </c>
      <c r="D1011" s="26" t="str">
        <f>IF('Paste SD Data'!C1008="","",'Paste SD Data'!C1008)</f>
        <v/>
      </c>
      <c r="E1011" s="27" t="str">
        <f>IF('Paste SD Data'!E1008="","",UPPER('Paste SD Data'!E1008))</f>
        <v/>
      </c>
      <c r="F1011" s="27" t="str">
        <f>IF('Paste SD Data'!G1008="","",UPPER('Paste SD Data'!G1008))</f>
        <v/>
      </c>
      <c r="G1011" s="27" t="str">
        <f>IF('Paste SD Data'!H1008="","",UPPER('Paste SD Data'!H1008))</f>
        <v/>
      </c>
      <c r="H1011" s="26" t="str">
        <f>IF('Paste SD Data'!I1008="","",IF('Paste SD Data'!I1008="M","BOY","GIRL"))</f>
        <v/>
      </c>
      <c r="I1011" s="28" t="str">
        <f>IF('Paste SD Data'!J1008="","",'Paste SD Data'!J1008)</f>
        <v/>
      </c>
      <c r="J1011" s="34">
        <f t="shared" si="15"/>
        <v>1437</v>
      </c>
      <c r="K1011" s="29" t="str">
        <f>IF('Paste SD Data'!O1008="","",'Paste SD Data'!O1008)</f>
        <v/>
      </c>
    </row>
    <row r="1012" spans="1:11" ht="30" customHeight="1" x14ac:dyDescent="0.25">
      <c r="A1012" s="25" t="str">
        <f>IF(Table1[[#This Row],[Name of Student]]="","",ROWS($A$1:A1008))</f>
        <v/>
      </c>
      <c r="B1012" s="26" t="str">
        <f>IF('Paste SD Data'!A1009="","",'Paste SD Data'!A1009)</f>
        <v/>
      </c>
      <c r="C1012" s="26" t="str">
        <f>IF('Paste SD Data'!B1009="","",'Paste SD Data'!B1009)</f>
        <v/>
      </c>
      <c r="D1012" s="26" t="str">
        <f>IF('Paste SD Data'!C1009="","",'Paste SD Data'!C1009)</f>
        <v/>
      </c>
      <c r="E1012" s="27" t="str">
        <f>IF('Paste SD Data'!E1009="","",UPPER('Paste SD Data'!E1009))</f>
        <v/>
      </c>
      <c r="F1012" s="27" t="str">
        <f>IF('Paste SD Data'!G1009="","",UPPER('Paste SD Data'!G1009))</f>
        <v/>
      </c>
      <c r="G1012" s="27" t="str">
        <f>IF('Paste SD Data'!H1009="","",UPPER('Paste SD Data'!H1009))</f>
        <v/>
      </c>
      <c r="H1012" s="26" t="str">
        <f>IF('Paste SD Data'!I1009="","",IF('Paste SD Data'!I1009="M","BOY","GIRL"))</f>
        <v/>
      </c>
      <c r="I1012" s="28" t="str">
        <f>IF('Paste SD Data'!J1009="","",'Paste SD Data'!J1009)</f>
        <v/>
      </c>
      <c r="J1012" s="34">
        <f t="shared" si="15"/>
        <v>1438</v>
      </c>
      <c r="K1012" s="29" t="str">
        <f>IF('Paste SD Data'!O1009="","",'Paste SD Data'!O1009)</f>
        <v/>
      </c>
    </row>
    <row r="1013" spans="1:11" ht="30" customHeight="1" x14ac:dyDescent="0.25">
      <c r="A1013" s="25" t="str">
        <f>IF(Table1[[#This Row],[Name of Student]]="","",ROWS($A$1:A1009))</f>
        <v/>
      </c>
      <c r="B1013" s="26" t="str">
        <f>IF('Paste SD Data'!A1010="","",'Paste SD Data'!A1010)</f>
        <v/>
      </c>
      <c r="C1013" s="26" t="str">
        <f>IF('Paste SD Data'!B1010="","",'Paste SD Data'!B1010)</f>
        <v/>
      </c>
      <c r="D1013" s="26" t="str">
        <f>IF('Paste SD Data'!C1010="","",'Paste SD Data'!C1010)</f>
        <v/>
      </c>
      <c r="E1013" s="27" t="str">
        <f>IF('Paste SD Data'!E1010="","",UPPER('Paste SD Data'!E1010))</f>
        <v/>
      </c>
      <c r="F1013" s="27" t="str">
        <f>IF('Paste SD Data'!G1010="","",UPPER('Paste SD Data'!G1010))</f>
        <v/>
      </c>
      <c r="G1013" s="27" t="str">
        <f>IF('Paste SD Data'!H1010="","",UPPER('Paste SD Data'!H1010))</f>
        <v/>
      </c>
      <c r="H1013" s="26" t="str">
        <f>IF('Paste SD Data'!I1010="","",IF('Paste SD Data'!I1010="M","BOY","GIRL"))</f>
        <v/>
      </c>
      <c r="I1013" s="28" t="str">
        <f>IF('Paste SD Data'!J1010="","",'Paste SD Data'!J1010)</f>
        <v/>
      </c>
      <c r="J1013" s="34">
        <f t="shared" si="15"/>
        <v>1439</v>
      </c>
      <c r="K1013" s="29" t="str">
        <f>IF('Paste SD Data'!O1010="","",'Paste SD Data'!O1010)</f>
        <v/>
      </c>
    </row>
    <row r="1014" spans="1:11" ht="30" customHeight="1" x14ac:dyDescent="0.25">
      <c r="A1014" s="25" t="str">
        <f>IF(Table1[[#This Row],[Name of Student]]="","",ROWS($A$1:A1010))</f>
        <v/>
      </c>
      <c r="B1014" s="26" t="str">
        <f>IF('Paste SD Data'!A1011="","",'Paste SD Data'!A1011)</f>
        <v/>
      </c>
      <c r="C1014" s="26" t="str">
        <f>IF('Paste SD Data'!B1011="","",'Paste SD Data'!B1011)</f>
        <v/>
      </c>
      <c r="D1014" s="26" t="str">
        <f>IF('Paste SD Data'!C1011="","",'Paste SD Data'!C1011)</f>
        <v/>
      </c>
      <c r="E1014" s="27" t="str">
        <f>IF('Paste SD Data'!E1011="","",UPPER('Paste SD Data'!E1011))</f>
        <v/>
      </c>
      <c r="F1014" s="27" t="str">
        <f>IF('Paste SD Data'!G1011="","",UPPER('Paste SD Data'!G1011))</f>
        <v/>
      </c>
      <c r="G1014" s="27" t="str">
        <f>IF('Paste SD Data'!H1011="","",UPPER('Paste SD Data'!H1011))</f>
        <v/>
      </c>
      <c r="H1014" s="26" t="str">
        <f>IF('Paste SD Data'!I1011="","",IF('Paste SD Data'!I1011="M","BOY","GIRL"))</f>
        <v/>
      </c>
      <c r="I1014" s="28" t="str">
        <f>IF('Paste SD Data'!J1011="","",'Paste SD Data'!J1011)</f>
        <v/>
      </c>
      <c r="J1014" s="34">
        <f t="shared" si="15"/>
        <v>1440</v>
      </c>
      <c r="K1014" s="29" t="str">
        <f>IF('Paste SD Data'!O1011="","",'Paste SD Data'!O1011)</f>
        <v/>
      </c>
    </row>
    <row r="1015" spans="1:11" ht="30" customHeight="1" x14ac:dyDescent="0.25">
      <c r="A1015" s="25" t="str">
        <f>IF(Table1[[#This Row],[Name of Student]]="","",ROWS($A$1:A1011))</f>
        <v/>
      </c>
      <c r="B1015" s="26" t="str">
        <f>IF('Paste SD Data'!A1012="","",'Paste SD Data'!A1012)</f>
        <v/>
      </c>
      <c r="C1015" s="26" t="str">
        <f>IF('Paste SD Data'!B1012="","",'Paste SD Data'!B1012)</f>
        <v/>
      </c>
      <c r="D1015" s="26" t="str">
        <f>IF('Paste SD Data'!C1012="","",'Paste SD Data'!C1012)</f>
        <v/>
      </c>
      <c r="E1015" s="27" t="str">
        <f>IF('Paste SD Data'!E1012="","",UPPER('Paste SD Data'!E1012))</f>
        <v/>
      </c>
      <c r="F1015" s="27" t="str">
        <f>IF('Paste SD Data'!G1012="","",UPPER('Paste SD Data'!G1012))</f>
        <v/>
      </c>
      <c r="G1015" s="27" t="str">
        <f>IF('Paste SD Data'!H1012="","",UPPER('Paste SD Data'!H1012))</f>
        <v/>
      </c>
      <c r="H1015" s="26" t="str">
        <f>IF('Paste SD Data'!I1012="","",IF('Paste SD Data'!I1012="M","BOY","GIRL"))</f>
        <v/>
      </c>
      <c r="I1015" s="28" t="str">
        <f>IF('Paste SD Data'!J1012="","",'Paste SD Data'!J1012)</f>
        <v/>
      </c>
      <c r="J1015" s="34">
        <f t="shared" si="15"/>
        <v>1441</v>
      </c>
      <c r="K1015" s="29" t="str">
        <f>IF('Paste SD Data'!O1012="","",'Paste SD Data'!O1012)</f>
        <v/>
      </c>
    </row>
    <row r="1016" spans="1:11" ht="30" customHeight="1" x14ac:dyDescent="0.25">
      <c r="A1016" s="25" t="str">
        <f>IF(Table1[[#This Row],[Name of Student]]="","",ROWS($A$1:A1012))</f>
        <v/>
      </c>
      <c r="B1016" s="26" t="str">
        <f>IF('Paste SD Data'!A1013="","",'Paste SD Data'!A1013)</f>
        <v/>
      </c>
      <c r="C1016" s="26" t="str">
        <f>IF('Paste SD Data'!B1013="","",'Paste SD Data'!B1013)</f>
        <v/>
      </c>
      <c r="D1016" s="26" t="str">
        <f>IF('Paste SD Data'!C1013="","",'Paste SD Data'!C1013)</f>
        <v/>
      </c>
      <c r="E1016" s="27" t="str">
        <f>IF('Paste SD Data'!E1013="","",UPPER('Paste SD Data'!E1013))</f>
        <v/>
      </c>
      <c r="F1016" s="27" t="str">
        <f>IF('Paste SD Data'!G1013="","",UPPER('Paste SD Data'!G1013))</f>
        <v/>
      </c>
      <c r="G1016" s="27" t="str">
        <f>IF('Paste SD Data'!H1013="","",UPPER('Paste SD Data'!H1013))</f>
        <v/>
      </c>
      <c r="H1016" s="26" t="str">
        <f>IF('Paste SD Data'!I1013="","",IF('Paste SD Data'!I1013="M","BOY","GIRL"))</f>
        <v/>
      </c>
      <c r="I1016" s="28" t="str">
        <f>IF('Paste SD Data'!J1013="","",'Paste SD Data'!J1013)</f>
        <v/>
      </c>
      <c r="J1016" s="34">
        <f t="shared" si="15"/>
        <v>1442</v>
      </c>
      <c r="K1016" s="29" t="str">
        <f>IF('Paste SD Data'!O1013="","",'Paste SD Data'!O1013)</f>
        <v/>
      </c>
    </row>
    <row r="1017" spans="1:11" ht="30" customHeight="1" x14ac:dyDescent="0.25">
      <c r="A1017" s="25" t="str">
        <f>IF(Table1[[#This Row],[Name of Student]]="","",ROWS($A$1:A1013))</f>
        <v/>
      </c>
      <c r="B1017" s="26" t="str">
        <f>IF('Paste SD Data'!A1014="","",'Paste SD Data'!A1014)</f>
        <v/>
      </c>
      <c r="C1017" s="26" t="str">
        <f>IF('Paste SD Data'!B1014="","",'Paste SD Data'!B1014)</f>
        <v/>
      </c>
      <c r="D1017" s="26" t="str">
        <f>IF('Paste SD Data'!C1014="","",'Paste SD Data'!C1014)</f>
        <v/>
      </c>
      <c r="E1017" s="27" t="str">
        <f>IF('Paste SD Data'!E1014="","",UPPER('Paste SD Data'!E1014))</f>
        <v/>
      </c>
      <c r="F1017" s="27" t="str">
        <f>IF('Paste SD Data'!G1014="","",UPPER('Paste SD Data'!G1014))</f>
        <v/>
      </c>
      <c r="G1017" s="27" t="str">
        <f>IF('Paste SD Data'!H1014="","",UPPER('Paste SD Data'!H1014))</f>
        <v/>
      </c>
      <c r="H1017" s="26" t="str">
        <f>IF('Paste SD Data'!I1014="","",IF('Paste SD Data'!I1014="M","BOY","GIRL"))</f>
        <v/>
      </c>
      <c r="I1017" s="28" t="str">
        <f>IF('Paste SD Data'!J1014="","",'Paste SD Data'!J1014)</f>
        <v/>
      </c>
      <c r="J1017" s="34">
        <f t="shared" si="15"/>
        <v>1443</v>
      </c>
      <c r="K1017" s="29" t="str">
        <f>IF('Paste SD Data'!O1014="","",'Paste SD Data'!O1014)</f>
        <v/>
      </c>
    </row>
    <row r="1018" spans="1:11" ht="30" customHeight="1" x14ac:dyDescent="0.25">
      <c r="A1018" s="25" t="str">
        <f>IF(Table1[[#This Row],[Name of Student]]="","",ROWS($A$1:A1014))</f>
        <v/>
      </c>
      <c r="B1018" s="26" t="str">
        <f>IF('Paste SD Data'!A1015="","",'Paste SD Data'!A1015)</f>
        <v/>
      </c>
      <c r="C1018" s="26" t="str">
        <f>IF('Paste SD Data'!B1015="","",'Paste SD Data'!B1015)</f>
        <v/>
      </c>
      <c r="D1018" s="26" t="str">
        <f>IF('Paste SD Data'!C1015="","",'Paste SD Data'!C1015)</f>
        <v/>
      </c>
      <c r="E1018" s="27" t="str">
        <f>IF('Paste SD Data'!E1015="","",UPPER('Paste SD Data'!E1015))</f>
        <v/>
      </c>
      <c r="F1018" s="27" t="str">
        <f>IF('Paste SD Data'!G1015="","",UPPER('Paste SD Data'!G1015))</f>
        <v/>
      </c>
      <c r="G1018" s="27" t="str">
        <f>IF('Paste SD Data'!H1015="","",UPPER('Paste SD Data'!H1015))</f>
        <v/>
      </c>
      <c r="H1018" s="26" t="str">
        <f>IF('Paste SD Data'!I1015="","",IF('Paste SD Data'!I1015="M","BOY","GIRL"))</f>
        <v/>
      </c>
      <c r="I1018" s="28" t="str">
        <f>IF('Paste SD Data'!J1015="","",'Paste SD Data'!J1015)</f>
        <v/>
      </c>
      <c r="J1018" s="34">
        <f t="shared" si="15"/>
        <v>1444</v>
      </c>
      <c r="K1018" s="29" t="str">
        <f>IF('Paste SD Data'!O1015="","",'Paste SD Data'!O1015)</f>
        <v/>
      </c>
    </row>
    <row r="1019" spans="1:11" ht="30" customHeight="1" x14ac:dyDescent="0.25">
      <c r="A1019" s="25" t="str">
        <f>IF(Table1[[#This Row],[Name of Student]]="","",ROWS($A$1:A1015))</f>
        <v/>
      </c>
      <c r="B1019" s="26" t="str">
        <f>IF('Paste SD Data'!A1016="","",'Paste SD Data'!A1016)</f>
        <v/>
      </c>
      <c r="C1019" s="26" t="str">
        <f>IF('Paste SD Data'!B1016="","",'Paste SD Data'!B1016)</f>
        <v/>
      </c>
      <c r="D1019" s="26" t="str">
        <f>IF('Paste SD Data'!C1016="","",'Paste SD Data'!C1016)</f>
        <v/>
      </c>
      <c r="E1019" s="27" t="str">
        <f>IF('Paste SD Data'!E1016="","",UPPER('Paste SD Data'!E1016))</f>
        <v/>
      </c>
      <c r="F1019" s="27" t="str">
        <f>IF('Paste SD Data'!G1016="","",UPPER('Paste SD Data'!G1016))</f>
        <v/>
      </c>
      <c r="G1019" s="27" t="str">
        <f>IF('Paste SD Data'!H1016="","",UPPER('Paste SD Data'!H1016))</f>
        <v/>
      </c>
      <c r="H1019" s="26" t="str">
        <f>IF('Paste SD Data'!I1016="","",IF('Paste SD Data'!I1016="M","BOY","GIRL"))</f>
        <v/>
      </c>
      <c r="I1019" s="28" t="str">
        <f>IF('Paste SD Data'!J1016="","",'Paste SD Data'!J1016)</f>
        <v/>
      </c>
      <c r="J1019" s="34">
        <f t="shared" si="15"/>
        <v>1445</v>
      </c>
      <c r="K1019" s="29" t="str">
        <f>IF('Paste SD Data'!O1016="","",'Paste SD Data'!O1016)</f>
        <v/>
      </c>
    </row>
    <row r="1020" spans="1:11" ht="30" customHeight="1" x14ac:dyDescent="0.25">
      <c r="A1020" s="25" t="str">
        <f>IF(Table1[[#This Row],[Name of Student]]="","",ROWS($A$1:A1016))</f>
        <v/>
      </c>
      <c r="B1020" s="26" t="str">
        <f>IF('Paste SD Data'!A1017="","",'Paste SD Data'!A1017)</f>
        <v/>
      </c>
      <c r="C1020" s="26" t="str">
        <f>IF('Paste SD Data'!B1017="","",'Paste SD Data'!B1017)</f>
        <v/>
      </c>
      <c r="D1020" s="26" t="str">
        <f>IF('Paste SD Data'!C1017="","",'Paste SD Data'!C1017)</f>
        <v/>
      </c>
      <c r="E1020" s="27" t="str">
        <f>IF('Paste SD Data'!E1017="","",UPPER('Paste SD Data'!E1017))</f>
        <v/>
      </c>
      <c r="F1020" s="27" t="str">
        <f>IF('Paste SD Data'!G1017="","",UPPER('Paste SD Data'!G1017))</f>
        <v/>
      </c>
      <c r="G1020" s="27" t="str">
        <f>IF('Paste SD Data'!H1017="","",UPPER('Paste SD Data'!H1017))</f>
        <v/>
      </c>
      <c r="H1020" s="26" t="str">
        <f>IF('Paste SD Data'!I1017="","",IF('Paste SD Data'!I1017="M","BOY","GIRL"))</f>
        <v/>
      </c>
      <c r="I1020" s="28" t="str">
        <f>IF('Paste SD Data'!J1017="","",'Paste SD Data'!J1017)</f>
        <v/>
      </c>
      <c r="J1020" s="34">
        <f t="shared" si="15"/>
        <v>1446</v>
      </c>
      <c r="K1020" s="29" t="str">
        <f>IF('Paste SD Data'!O1017="","",'Paste SD Data'!O1017)</f>
        <v/>
      </c>
    </row>
    <row r="1021" spans="1:11" ht="30" customHeight="1" x14ac:dyDescent="0.25">
      <c r="A1021" s="25" t="str">
        <f>IF(Table1[[#This Row],[Name of Student]]="","",ROWS($A$1:A1017))</f>
        <v/>
      </c>
      <c r="B1021" s="26" t="str">
        <f>IF('Paste SD Data'!A1018="","",'Paste SD Data'!A1018)</f>
        <v/>
      </c>
      <c r="C1021" s="26" t="str">
        <f>IF('Paste SD Data'!B1018="","",'Paste SD Data'!B1018)</f>
        <v/>
      </c>
      <c r="D1021" s="26" t="str">
        <f>IF('Paste SD Data'!C1018="","",'Paste SD Data'!C1018)</f>
        <v/>
      </c>
      <c r="E1021" s="27" t="str">
        <f>IF('Paste SD Data'!E1018="","",UPPER('Paste SD Data'!E1018))</f>
        <v/>
      </c>
      <c r="F1021" s="27" t="str">
        <f>IF('Paste SD Data'!G1018="","",UPPER('Paste SD Data'!G1018))</f>
        <v/>
      </c>
      <c r="G1021" s="27" t="str">
        <f>IF('Paste SD Data'!H1018="","",UPPER('Paste SD Data'!H1018))</f>
        <v/>
      </c>
      <c r="H1021" s="26" t="str">
        <f>IF('Paste SD Data'!I1018="","",IF('Paste SD Data'!I1018="M","BOY","GIRL"))</f>
        <v/>
      </c>
      <c r="I1021" s="28" t="str">
        <f>IF('Paste SD Data'!J1018="","",'Paste SD Data'!J1018)</f>
        <v/>
      </c>
      <c r="J1021" s="34">
        <f t="shared" si="15"/>
        <v>1447</v>
      </c>
      <c r="K1021" s="29" t="str">
        <f>IF('Paste SD Data'!O1018="","",'Paste SD Data'!O1018)</f>
        <v/>
      </c>
    </row>
    <row r="1022" spans="1:11" ht="30" customHeight="1" x14ac:dyDescent="0.25">
      <c r="A1022" s="25" t="str">
        <f>IF(Table1[[#This Row],[Name of Student]]="","",ROWS($A$1:A1018))</f>
        <v/>
      </c>
      <c r="B1022" s="26" t="str">
        <f>IF('Paste SD Data'!A1019="","",'Paste SD Data'!A1019)</f>
        <v/>
      </c>
      <c r="C1022" s="26" t="str">
        <f>IF('Paste SD Data'!B1019="","",'Paste SD Data'!B1019)</f>
        <v/>
      </c>
      <c r="D1022" s="26" t="str">
        <f>IF('Paste SD Data'!C1019="","",'Paste SD Data'!C1019)</f>
        <v/>
      </c>
      <c r="E1022" s="27" t="str">
        <f>IF('Paste SD Data'!E1019="","",UPPER('Paste SD Data'!E1019))</f>
        <v/>
      </c>
      <c r="F1022" s="27" t="str">
        <f>IF('Paste SD Data'!G1019="","",UPPER('Paste SD Data'!G1019))</f>
        <v/>
      </c>
      <c r="G1022" s="27" t="str">
        <f>IF('Paste SD Data'!H1019="","",UPPER('Paste SD Data'!H1019))</f>
        <v/>
      </c>
      <c r="H1022" s="26" t="str">
        <f>IF('Paste SD Data'!I1019="","",IF('Paste SD Data'!I1019="M","BOY","GIRL"))</f>
        <v/>
      </c>
      <c r="I1022" s="28" t="str">
        <f>IF('Paste SD Data'!J1019="","",'Paste SD Data'!J1019)</f>
        <v/>
      </c>
      <c r="J1022" s="34">
        <f t="shared" si="15"/>
        <v>1448</v>
      </c>
      <c r="K1022" s="29" t="str">
        <f>IF('Paste SD Data'!O1019="","",'Paste SD Data'!O1019)</f>
        <v/>
      </c>
    </row>
    <row r="1023" spans="1:11" ht="30" customHeight="1" x14ac:dyDescent="0.25">
      <c r="A1023" s="25" t="str">
        <f>IF(Table1[[#This Row],[Name of Student]]="","",ROWS($A$1:A1019))</f>
        <v/>
      </c>
      <c r="B1023" s="26" t="str">
        <f>IF('Paste SD Data'!A1020="","",'Paste SD Data'!A1020)</f>
        <v/>
      </c>
      <c r="C1023" s="26" t="str">
        <f>IF('Paste SD Data'!B1020="","",'Paste SD Data'!B1020)</f>
        <v/>
      </c>
      <c r="D1023" s="26" t="str">
        <f>IF('Paste SD Data'!C1020="","",'Paste SD Data'!C1020)</f>
        <v/>
      </c>
      <c r="E1023" s="27" t="str">
        <f>IF('Paste SD Data'!E1020="","",UPPER('Paste SD Data'!E1020))</f>
        <v/>
      </c>
      <c r="F1023" s="27" t="str">
        <f>IF('Paste SD Data'!G1020="","",UPPER('Paste SD Data'!G1020))</f>
        <v/>
      </c>
      <c r="G1023" s="27" t="str">
        <f>IF('Paste SD Data'!H1020="","",UPPER('Paste SD Data'!H1020))</f>
        <v/>
      </c>
      <c r="H1023" s="26" t="str">
        <f>IF('Paste SD Data'!I1020="","",IF('Paste SD Data'!I1020="M","BOY","GIRL"))</f>
        <v/>
      </c>
      <c r="I1023" s="28" t="str">
        <f>IF('Paste SD Data'!J1020="","",'Paste SD Data'!J1020)</f>
        <v/>
      </c>
      <c r="J1023" s="34">
        <f t="shared" si="15"/>
        <v>1449</v>
      </c>
      <c r="K1023" s="29" t="str">
        <f>IF('Paste SD Data'!O1020="","",'Paste SD Data'!O1020)</f>
        <v/>
      </c>
    </row>
    <row r="1024" spans="1:11" ht="30" customHeight="1" x14ac:dyDescent="0.25">
      <c r="A1024" s="25" t="str">
        <f>IF(Table1[[#This Row],[Name of Student]]="","",ROWS($A$1:A1020))</f>
        <v/>
      </c>
      <c r="B1024" s="26" t="str">
        <f>IF('Paste SD Data'!A1021="","",'Paste SD Data'!A1021)</f>
        <v/>
      </c>
      <c r="C1024" s="26" t="str">
        <f>IF('Paste SD Data'!B1021="","",'Paste SD Data'!B1021)</f>
        <v/>
      </c>
      <c r="D1024" s="26" t="str">
        <f>IF('Paste SD Data'!C1021="","",'Paste SD Data'!C1021)</f>
        <v/>
      </c>
      <c r="E1024" s="27" t="str">
        <f>IF('Paste SD Data'!E1021="","",UPPER('Paste SD Data'!E1021))</f>
        <v/>
      </c>
      <c r="F1024" s="27" t="str">
        <f>IF('Paste SD Data'!G1021="","",UPPER('Paste SD Data'!G1021))</f>
        <v/>
      </c>
      <c r="G1024" s="27" t="str">
        <f>IF('Paste SD Data'!H1021="","",UPPER('Paste SD Data'!H1021))</f>
        <v/>
      </c>
      <c r="H1024" s="26" t="str">
        <f>IF('Paste SD Data'!I1021="","",IF('Paste SD Data'!I1021="M","BOY","GIRL"))</f>
        <v/>
      </c>
      <c r="I1024" s="28" t="str">
        <f>IF('Paste SD Data'!J1021="","",'Paste SD Data'!J1021)</f>
        <v/>
      </c>
      <c r="J1024" s="34">
        <f t="shared" si="15"/>
        <v>1450</v>
      </c>
      <c r="K1024" s="29" t="str">
        <f>IF('Paste SD Data'!O1021="","",'Paste SD Data'!O1021)</f>
        <v/>
      </c>
    </row>
    <row r="1025" spans="1:11" ht="30" customHeight="1" x14ac:dyDescent="0.25">
      <c r="A1025" s="25" t="str">
        <f>IF(Table1[[#This Row],[Name of Student]]="","",ROWS($A$1:A1021))</f>
        <v/>
      </c>
      <c r="B1025" s="26" t="str">
        <f>IF('Paste SD Data'!A1022="","",'Paste SD Data'!A1022)</f>
        <v/>
      </c>
      <c r="C1025" s="26" t="str">
        <f>IF('Paste SD Data'!B1022="","",'Paste SD Data'!B1022)</f>
        <v/>
      </c>
      <c r="D1025" s="26" t="str">
        <f>IF('Paste SD Data'!C1022="","",'Paste SD Data'!C1022)</f>
        <v/>
      </c>
      <c r="E1025" s="27" t="str">
        <f>IF('Paste SD Data'!E1022="","",UPPER('Paste SD Data'!E1022))</f>
        <v/>
      </c>
      <c r="F1025" s="27" t="str">
        <f>IF('Paste SD Data'!G1022="","",UPPER('Paste SD Data'!G1022))</f>
        <v/>
      </c>
      <c r="G1025" s="27" t="str">
        <f>IF('Paste SD Data'!H1022="","",UPPER('Paste SD Data'!H1022))</f>
        <v/>
      </c>
      <c r="H1025" s="26" t="str">
        <f>IF('Paste SD Data'!I1022="","",IF('Paste SD Data'!I1022="M","BOY","GIRL"))</f>
        <v/>
      </c>
      <c r="I1025" s="28" t="str">
        <f>IF('Paste SD Data'!J1022="","",'Paste SD Data'!J1022)</f>
        <v/>
      </c>
      <c r="J1025" s="34">
        <f t="shared" si="15"/>
        <v>1451</v>
      </c>
      <c r="K1025" s="29" t="str">
        <f>IF('Paste SD Data'!O1022="","",'Paste SD Data'!O1022)</f>
        <v/>
      </c>
    </row>
    <row r="1026" spans="1:11" ht="30" customHeight="1" x14ac:dyDescent="0.25">
      <c r="A1026" s="25" t="str">
        <f>IF(Table1[[#This Row],[Name of Student]]="","",ROWS($A$1:A1022))</f>
        <v/>
      </c>
      <c r="B1026" s="26" t="str">
        <f>IF('Paste SD Data'!A1023="","",'Paste SD Data'!A1023)</f>
        <v/>
      </c>
      <c r="C1026" s="26" t="str">
        <f>IF('Paste SD Data'!B1023="","",'Paste SD Data'!B1023)</f>
        <v/>
      </c>
      <c r="D1026" s="26" t="str">
        <f>IF('Paste SD Data'!C1023="","",'Paste SD Data'!C1023)</f>
        <v/>
      </c>
      <c r="E1026" s="27" t="str">
        <f>IF('Paste SD Data'!E1023="","",UPPER('Paste SD Data'!E1023))</f>
        <v/>
      </c>
      <c r="F1026" s="27" t="str">
        <f>IF('Paste SD Data'!G1023="","",UPPER('Paste SD Data'!G1023))</f>
        <v/>
      </c>
      <c r="G1026" s="27" t="str">
        <f>IF('Paste SD Data'!H1023="","",UPPER('Paste SD Data'!H1023))</f>
        <v/>
      </c>
      <c r="H1026" s="26" t="str">
        <f>IF('Paste SD Data'!I1023="","",IF('Paste SD Data'!I1023="M","BOY","GIRL"))</f>
        <v/>
      </c>
      <c r="I1026" s="28" t="str">
        <f>IF('Paste SD Data'!J1023="","",'Paste SD Data'!J1023)</f>
        <v/>
      </c>
      <c r="J1026" s="34">
        <f t="shared" si="15"/>
        <v>1452</v>
      </c>
      <c r="K1026" s="29" t="str">
        <f>IF('Paste SD Data'!O1023="","",'Paste SD Data'!O1023)</f>
        <v/>
      </c>
    </row>
    <row r="1027" spans="1:11" ht="30" customHeight="1" x14ac:dyDescent="0.25">
      <c r="A1027" s="25" t="str">
        <f>IF(Table1[[#This Row],[Name of Student]]="","",ROWS($A$1:A1023))</f>
        <v/>
      </c>
      <c r="B1027" s="26" t="str">
        <f>IF('Paste SD Data'!A1024="","",'Paste SD Data'!A1024)</f>
        <v/>
      </c>
      <c r="C1027" s="26" t="str">
        <f>IF('Paste SD Data'!B1024="","",'Paste SD Data'!B1024)</f>
        <v/>
      </c>
      <c r="D1027" s="26" t="str">
        <f>IF('Paste SD Data'!C1024="","",'Paste SD Data'!C1024)</f>
        <v/>
      </c>
      <c r="E1027" s="27" t="str">
        <f>IF('Paste SD Data'!E1024="","",UPPER('Paste SD Data'!E1024))</f>
        <v/>
      </c>
      <c r="F1027" s="27" t="str">
        <f>IF('Paste SD Data'!G1024="","",UPPER('Paste SD Data'!G1024))</f>
        <v/>
      </c>
      <c r="G1027" s="27" t="str">
        <f>IF('Paste SD Data'!H1024="","",UPPER('Paste SD Data'!H1024))</f>
        <v/>
      </c>
      <c r="H1027" s="26" t="str">
        <f>IF('Paste SD Data'!I1024="","",IF('Paste SD Data'!I1024="M","BOY","GIRL"))</f>
        <v/>
      </c>
      <c r="I1027" s="28" t="str">
        <f>IF('Paste SD Data'!J1024="","",'Paste SD Data'!J1024)</f>
        <v/>
      </c>
      <c r="J1027" s="34">
        <f t="shared" si="15"/>
        <v>1453</v>
      </c>
      <c r="K1027" s="29" t="str">
        <f>IF('Paste SD Data'!O1024="","",'Paste SD Data'!O1024)</f>
        <v/>
      </c>
    </row>
    <row r="1028" spans="1:11" ht="30" customHeight="1" x14ac:dyDescent="0.25">
      <c r="A1028" s="25" t="str">
        <f>IF(Table1[[#This Row],[Name of Student]]="","",ROWS($A$1:A1024))</f>
        <v/>
      </c>
      <c r="B1028" s="26" t="str">
        <f>IF('Paste SD Data'!A1025="","",'Paste SD Data'!A1025)</f>
        <v/>
      </c>
      <c r="C1028" s="26" t="str">
        <f>IF('Paste SD Data'!B1025="","",'Paste SD Data'!B1025)</f>
        <v/>
      </c>
      <c r="D1028" s="26" t="str">
        <f>IF('Paste SD Data'!C1025="","",'Paste SD Data'!C1025)</f>
        <v/>
      </c>
      <c r="E1028" s="27" t="str">
        <f>IF('Paste SD Data'!E1025="","",UPPER('Paste SD Data'!E1025))</f>
        <v/>
      </c>
      <c r="F1028" s="27" t="str">
        <f>IF('Paste SD Data'!G1025="","",UPPER('Paste SD Data'!G1025))</f>
        <v/>
      </c>
      <c r="G1028" s="27" t="str">
        <f>IF('Paste SD Data'!H1025="","",UPPER('Paste SD Data'!H1025))</f>
        <v/>
      </c>
      <c r="H1028" s="26" t="str">
        <f>IF('Paste SD Data'!I1025="","",IF('Paste SD Data'!I1025="M","BOY","GIRL"))</f>
        <v/>
      </c>
      <c r="I1028" s="28" t="str">
        <f>IF('Paste SD Data'!J1025="","",'Paste SD Data'!J1025)</f>
        <v/>
      </c>
      <c r="J1028" s="34">
        <f t="shared" si="15"/>
        <v>1454</v>
      </c>
      <c r="K1028" s="29" t="str">
        <f>IF('Paste SD Data'!O1025="","",'Paste SD Data'!O1025)</f>
        <v/>
      </c>
    </row>
    <row r="1029" spans="1:11" ht="30" customHeight="1" x14ac:dyDescent="0.25">
      <c r="A1029" s="25" t="str">
        <f>IF(Table1[[#This Row],[Name of Student]]="","",ROWS($A$1:A1025))</f>
        <v/>
      </c>
      <c r="B1029" s="26" t="str">
        <f>IF('Paste SD Data'!A1026="","",'Paste SD Data'!A1026)</f>
        <v/>
      </c>
      <c r="C1029" s="26" t="str">
        <f>IF('Paste SD Data'!B1026="","",'Paste SD Data'!B1026)</f>
        <v/>
      </c>
      <c r="D1029" s="26" t="str">
        <f>IF('Paste SD Data'!C1026="","",'Paste SD Data'!C1026)</f>
        <v/>
      </c>
      <c r="E1029" s="27" t="str">
        <f>IF('Paste SD Data'!E1026="","",UPPER('Paste SD Data'!E1026))</f>
        <v/>
      </c>
      <c r="F1029" s="27" t="str">
        <f>IF('Paste SD Data'!G1026="","",UPPER('Paste SD Data'!G1026))</f>
        <v/>
      </c>
      <c r="G1029" s="27" t="str">
        <f>IF('Paste SD Data'!H1026="","",UPPER('Paste SD Data'!H1026))</f>
        <v/>
      </c>
      <c r="H1029" s="26" t="str">
        <f>IF('Paste SD Data'!I1026="","",IF('Paste SD Data'!I1026="M","BOY","GIRL"))</f>
        <v/>
      </c>
      <c r="I1029" s="28" t="str">
        <f>IF('Paste SD Data'!J1026="","",'Paste SD Data'!J1026)</f>
        <v/>
      </c>
      <c r="J1029" s="34">
        <f t="shared" si="15"/>
        <v>1455</v>
      </c>
      <c r="K1029" s="29" t="str">
        <f>IF('Paste SD Data'!O1026="","",'Paste SD Data'!O1026)</f>
        <v/>
      </c>
    </row>
    <row r="1030" spans="1:11" ht="30" customHeight="1" x14ac:dyDescent="0.25">
      <c r="A1030" s="25" t="str">
        <f>IF(Table1[[#This Row],[Name of Student]]="","",ROWS($A$1:A1026))</f>
        <v/>
      </c>
      <c r="B1030" s="26" t="str">
        <f>IF('Paste SD Data'!A1027="","",'Paste SD Data'!A1027)</f>
        <v/>
      </c>
      <c r="C1030" s="26" t="str">
        <f>IF('Paste SD Data'!B1027="","",'Paste SD Data'!B1027)</f>
        <v/>
      </c>
      <c r="D1030" s="26" t="str">
        <f>IF('Paste SD Data'!C1027="","",'Paste SD Data'!C1027)</f>
        <v/>
      </c>
      <c r="E1030" s="27" t="str">
        <f>IF('Paste SD Data'!E1027="","",UPPER('Paste SD Data'!E1027))</f>
        <v/>
      </c>
      <c r="F1030" s="27" t="str">
        <f>IF('Paste SD Data'!G1027="","",UPPER('Paste SD Data'!G1027))</f>
        <v/>
      </c>
      <c r="G1030" s="27" t="str">
        <f>IF('Paste SD Data'!H1027="","",UPPER('Paste SD Data'!H1027))</f>
        <v/>
      </c>
      <c r="H1030" s="26" t="str">
        <f>IF('Paste SD Data'!I1027="","",IF('Paste SD Data'!I1027="M","BOY","GIRL"))</f>
        <v/>
      </c>
      <c r="I1030" s="28" t="str">
        <f>IF('Paste SD Data'!J1027="","",'Paste SD Data'!J1027)</f>
        <v/>
      </c>
      <c r="J1030" s="34">
        <f t="shared" si="15"/>
        <v>1456</v>
      </c>
      <c r="K1030" s="29" t="str">
        <f>IF('Paste SD Data'!O1027="","",'Paste SD Data'!O1027)</f>
        <v/>
      </c>
    </row>
    <row r="1031" spans="1:11" ht="30" customHeight="1" x14ac:dyDescent="0.25">
      <c r="A1031" s="25" t="str">
        <f>IF(Table1[[#This Row],[Name of Student]]="","",ROWS($A$1:A1027))</f>
        <v/>
      </c>
      <c r="B1031" s="26" t="str">
        <f>IF('Paste SD Data'!A1028="","",'Paste SD Data'!A1028)</f>
        <v/>
      </c>
      <c r="C1031" s="26" t="str">
        <f>IF('Paste SD Data'!B1028="","",'Paste SD Data'!B1028)</f>
        <v/>
      </c>
      <c r="D1031" s="26" t="str">
        <f>IF('Paste SD Data'!C1028="","",'Paste SD Data'!C1028)</f>
        <v/>
      </c>
      <c r="E1031" s="27" t="str">
        <f>IF('Paste SD Data'!E1028="","",UPPER('Paste SD Data'!E1028))</f>
        <v/>
      </c>
      <c r="F1031" s="27" t="str">
        <f>IF('Paste SD Data'!G1028="","",UPPER('Paste SD Data'!G1028))</f>
        <v/>
      </c>
      <c r="G1031" s="27" t="str">
        <f>IF('Paste SD Data'!H1028="","",UPPER('Paste SD Data'!H1028))</f>
        <v/>
      </c>
      <c r="H1031" s="26" t="str">
        <f>IF('Paste SD Data'!I1028="","",IF('Paste SD Data'!I1028="M","BOY","GIRL"))</f>
        <v/>
      </c>
      <c r="I1031" s="28" t="str">
        <f>IF('Paste SD Data'!J1028="","",'Paste SD Data'!J1028)</f>
        <v/>
      </c>
      <c r="J1031" s="34">
        <f t="shared" ref="J1031:J1094" si="16">J1030+1</f>
        <v>1457</v>
      </c>
      <c r="K1031" s="29" t="str">
        <f>IF('Paste SD Data'!O1028="","",'Paste SD Data'!O1028)</f>
        <v/>
      </c>
    </row>
    <row r="1032" spans="1:11" ht="30" customHeight="1" x14ac:dyDescent="0.25">
      <c r="A1032" s="25" t="str">
        <f>IF(Table1[[#This Row],[Name of Student]]="","",ROWS($A$1:A1028))</f>
        <v/>
      </c>
      <c r="B1032" s="26" t="str">
        <f>IF('Paste SD Data'!A1029="","",'Paste SD Data'!A1029)</f>
        <v/>
      </c>
      <c r="C1032" s="26" t="str">
        <f>IF('Paste SD Data'!B1029="","",'Paste SD Data'!B1029)</f>
        <v/>
      </c>
      <c r="D1032" s="26" t="str">
        <f>IF('Paste SD Data'!C1029="","",'Paste SD Data'!C1029)</f>
        <v/>
      </c>
      <c r="E1032" s="27" t="str">
        <f>IF('Paste SD Data'!E1029="","",UPPER('Paste SD Data'!E1029))</f>
        <v/>
      </c>
      <c r="F1032" s="27" t="str">
        <f>IF('Paste SD Data'!G1029="","",UPPER('Paste SD Data'!G1029))</f>
        <v/>
      </c>
      <c r="G1032" s="27" t="str">
        <f>IF('Paste SD Data'!H1029="","",UPPER('Paste SD Data'!H1029))</f>
        <v/>
      </c>
      <c r="H1032" s="26" t="str">
        <f>IF('Paste SD Data'!I1029="","",IF('Paste SD Data'!I1029="M","BOY","GIRL"))</f>
        <v/>
      </c>
      <c r="I1032" s="28" t="str">
        <f>IF('Paste SD Data'!J1029="","",'Paste SD Data'!J1029)</f>
        <v/>
      </c>
      <c r="J1032" s="34">
        <f t="shared" si="16"/>
        <v>1458</v>
      </c>
      <c r="K1032" s="29" t="str">
        <f>IF('Paste SD Data'!O1029="","",'Paste SD Data'!O1029)</f>
        <v/>
      </c>
    </row>
    <row r="1033" spans="1:11" ht="30" customHeight="1" x14ac:dyDescent="0.25">
      <c r="A1033" s="25" t="str">
        <f>IF(Table1[[#This Row],[Name of Student]]="","",ROWS($A$1:A1029))</f>
        <v/>
      </c>
      <c r="B1033" s="26" t="str">
        <f>IF('Paste SD Data'!A1030="","",'Paste SD Data'!A1030)</f>
        <v/>
      </c>
      <c r="C1033" s="26" t="str">
        <f>IF('Paste SD Data'!B1030="","",'Paste SD Data'!B1030)</f>
        <v/>
      </c>
      <c r="D1033" s="26" t="str">
        <f>IF('Paste SD Data'!C1030="","",'Paste SD Data'!C1030)</f>
        <v/>
      </c>
      <c r="E1033" s="27" t="str">
        <f>IF('Paste SD Data'!E1030="","",UPPER('Paste SD Data'!E1030))</f>
        <v/>
      </c>
      <c r="F1033" s="27" t="str">
        <f>IF('Paste SD Data'!G1030="","",UPPER('Paste SD Data'!G1030))</f>
        <v/>
      </c>
      <c r="G1033" s="27" t="str">
        <f>IF('Paste SD Data'!H1030="","",UPPER('Paste SD Data'!H1030))</f>
        <v/>
      </c>
      <c r="H1033" s="26" t="str">
        <f>IF('Paste SD Data'!I1030="","",IF('Paste SD Data'!I1030="M","BOY","GIRL"))</f>
        <v/>
      </c>
      <c r="I1033" s="28" t="str">
        <f>IF('Paste SD Data'!J1030="","",'Paste SD Data'!J1030)</f>
        <v/>
      </c>
      <c r="J1033" s="34">
        <f t="shared" si="16"/>
        <v>1459</v>
      </c>
      <c r="K1033" s="29" t="str">
        <f>IF('Paste SD Data'!O1030="","",'Paste SD Data'!O1030)</f>
        <v/>
      </c>
    </row>
    <row r="1034" spans="1:11" ht="30" customHeight="1" x14ac:dyDescent="0.25">
      <c r="A1034" s="25" t="str">
        <f>IF(Table1[[#This Row],[Name of Student]]="","",ROWS($A$1:A1030))</f>
        <v/>
      </c>
      <c r="B1034" s="26" t="str">
        <f>IF('Paste SD Data'!A1031="","",'Paste SD Data'!A1031)</f>
        <v/>
      </c>
      <c r="C1034" s="26" t="str">
        <f>IF('Paste SD Data'!B1031="","",'Paste SD Data'!B1031)</f>
        <v/>
      </c>
      <c r="D1034" s="26" t="str">
        <f>IF('Paste SD Data'!C1031="","",'Paste SD Data'!C1031)</f>
        <v/>
      </c>
      <c r="E1034" s="27" t="str">
        <f>IF('Paste SD Data'!E1031="","",UPPER('Paste SD Data'!E1031))</f>
        <v/>
      </c>
      <c r="F1034" s="27" t="str">
        <f>IF('Paste SD Data'!G1031="","",UPPER('Paste SD Data'!G1031))</f>
        <v/>
      </c>
      <c r="G1034" s="27" t="str">
        <f>IF('Paste SD Data'!H1031="","",UPPER('Paste SD Data'!H1031))</f>
        <v/>
      </c>
      <c r="H1034" s="26" t="str">
        <f>IF('Paste SD Data'!I1031="","",IF('Paste SD Data'!I1031="M","BOY","GIRL"))</f>
        <v/>
      </c>
      <c r="I1034" s="28" t="str">
        <f>IF('Paste SD Data'!J1031="","",'Paste SD Data'!J1031)</f>
        <v/>
      </c>
      <c r="J1034" s="34">
        <f t="shared" si="16"/>
        <v>1460</v>
      </c>
      <c r="K1034" s="29" t="str">
        <f>IF('Paste SD Data'!O1031="","",'Paste SD Data'!O1031)</f>
        <v/>
      </c>
    </row>
    <row r="1035" spans="1:11" ht="30" customHeight="1" x14ac:dyDescent="0.25">
      <c r="A1035" s="25" t="str">
        <f>IF(Table1[[#This Row],[Name of Student]]="","",ROWS($A$1:A1031))</f>
        <v/>
      </c>
      <c r="B1035" s="26" t="str">
        <f>IF('Paste SD Data'!A1032="","",'Paste SD Data'!A1032)</f>
        <v/>
      </c>
      <c r="C1035" s="26" t="str">
        <f>IF('Paste SD Data'!B1032="","",'Paste SD Data'!B1032)</f>
        <v/>
      </c>
      <c r="D1035" s="26" t="str">
        <f>IF('Paste SD Data'!C1032="","",'Paste SD Data'!C1032)</f>
        <v/>
      </c>
      <c r="E1035" s="27" t="str">
        <f>IF('Paste SD Data'!E1032="","",UPPER('Paste SD Data'!E1032))</f>
        <v/>
      </c>
      <c r="F1035" s="27" t="str">
        <f>IF('Paste SD Data'!G1032="","",UPPER('Paste SD Data'!G1032))</f>
        <v/>
      </c>
      <c r="G1035" s="27" t="str">
        <f>IF('Paste SD Data'!H1032="","",UPPER('Paste SD Data'!H1032))</f>
        <v/>
      </c>
      <c r="H1035" s="26" t="str">
        <f>IF('Paste SD Data'!I1032="","",IF('Paste SD Data'!I1032="M","BOY","GIRL"))</f>
        <v/>
      </c>
      <c r="I1035" s="28" t="str">
        <f>IF('Paste SD Data'!J1032="","",'Paste SD Data'!J1032)</f>
        <v/>
      </c>
      <c r="J1035" s="34">
        <f t="shared" si="16"/>
        <v>1461</v>
      </c>
      <c r="K1035" s="29" t="str">
        <f>IF('Paste SD Data'!O1032="","",'Paste SD Data'!O1032)</f>
        <v/>
      </c>
    </row>
    <row r="1036" spans="1:11" ht="30" customHeight="1" x14ac:dyDescent="0.25">
      <c r="A1036" s="25" t="str">
        <f>IF(Table1[[#This Row],[Name of Student]]="","",ROWS($A$1:A1032))</f>
        <v/>
      </c>
      <c r="B1036" s="26" t="str">
        <f>IF('Paste SD Data'!A1033="","",'Paste SD Data'!A1033)</f>
        <v/>
      </c>
      <c r="C1036" s="26" t="str">
        <f>IF('Paste SD Data'!B1033="","",'Paste SD Data'!B1033)</f>
        <v/>
      </c>
      <c r="D1036" s="26" t="str">
        <f>IF('Paste SD Data'!C1033="","",'Paste SD Data'!C1033)</f>
        <v/>
      </c>
      <c r="E1036" s="27" t="str">
        <f>IF('Paste SD Data'!E1033="","",UPPER('Paste SD Data'!E1033))</f>
        <v/>
      </c>
      <c r="F1036" s="27" t="str">
        <f>IF('Paste SD Data'!G1033="","",UPPER('Paste SD Data'!G1033))</f>
        <v/>
      </c>
      <c r="G1036" s="27" t="str">
        <f>IF('Paste SD Data'!H1033="","",UPPER('Paste SD Data'!H1033))</f>
        <v/>
      </c>
      <c r="H1036" s="26" t="str">
        <f>IF('Paste SD Data'!I1033="","",IF('Paste SD Data'!I1033="M","BOY","GIRL"))</f>
        <v/>
      </c>
      <c r="I1036" s="28" t="str">
        <f>IF('Paste SD Data'!J1033="","",'Paste SD Data'!J1033)</f>
        <v/>
      </c>
      <c r="J1036" s="34">
        <f t="shared" si="16"/>
        <v>1462</v>
      </c>
      <c r="K1036" s="29" t="str">
        <f>IF('Paste SD Data'!O1033="","",'Paste SD Data'!O1033)</f>
        <v/>
      </c>
    </row>
    <row r="1037" spans="1:11" ht="30" customHeight="1" x14ac:dyDescent="0.25">
      <c r="A1037" s="25" t="str">
        <f>IF(Table1[[#This Row],[Name of Student]]="","",ROWS($A$1:A1033))</f>
        <v/>
      </c>
      <c r="B1037" s="26" t="str">
        <f>IF('Paste SD Data'!A1034="","",'Paste SD Data'!A1034)</f>
        <v/>
      </c>
      <c r="C1037" s="26" t="str">
        <f>IF('Paste SD Data'!B1034="","",'Paste SD Data'!B1034)</f>
        <v/>
      </c>
      <c r="D1037" s="26" t="str">
        <f>IF('Paste SD Data'!C1034="","",'Paste SD Data'!C1034)</f>
        <v/>
      </c>
      <c r="E1037" s="27" t="str">
        <f>IF('Paste SD Data'!E1034="","",UPPER('Paste SD Data'!E1034))</f>
        <v/>
      </c>
      <c r="F1037" s="27" t="str">
        <f>IF('Paste SD Data'!G1034="","",UPPER('Paste SD Data'!G1034))</f>
        <v/>
      </c>
      <c r="G1037" s="27" t="str">
        <f>IF('Paste SD Data'!H1034="","",UPPER('Paste SD Data'!H1034))</f>
        <v/>
      </c>
      <c r="H1037" s="26" t="str">
        <f>IF('Paste SD Data'!I1034="","",IF('Paste SD Data'!I1034="M","BOY","GIRL"))</f>
        <v/>
      </c>
      <c r="I1037" s="28" t="str">
        <f>IF('Paste SD Data'!J1034="","",'Paste SD Data'!J1034)</f>
        <v/>
      </c>
      <c r="J1037" s="34">
        <f t="shared" si="16"/>
        <v>1463</v>
      </c>
      <c r="K1037" s="29" t="str">
        <f>IF('Paste SD Data'!O1034="","",'Paste SD Data'!O1034)</f>
        <v/>
      </c>
    </row>
    <row r="1038" spans="1:11" ht="30" customHeight="1" x14ac:dyDescent="0.25">
      <c r="A1038" s="25" t="str">
        <f>IF(Table1[[#This Row],[Name of Student]]="","",ROWS($A$1:A1034))</f>
        <v/>
      </c>
      <c r="B1038" s="26" t="str">
        <f>IF('Paste SD Data'!A1035="","",'Paste SD Data'!A1035)</f>
        <v/>
      </c>
      <c r="C1038" s="26" t="str">
        <f>IF('Paste SD Data'!B1035="","",'Paste SD Data'!B1035)</f>
        <v/>
      </c>
      <c r="D1038" s="26" t="str">
        <f>IF('Paste SD Data'!C1035="","",'Paste SD Data'!C1035)</f>
        <v/>
      </c>
      <c r="E1038" s="27" t="str">
        <f>IF('Paste SD Data'!E1035="","",UPPER('Paste SD Data'!E1035))</f>
        <v/>
      </c>
      <c r="F1038" s="27" t="str">
        <f>IF('Paste SD Data'!G1035="","",UPPER('Paste SD Data'!G1035))</f>
        <v/>
      </c>
      <c r="G1038" s="27" t="str">
        <f>IF('Paste SD Data'!H1035="","",UPPER('Paste SD Data'!H1035))</f>
        <v/>
      </c>
      <c r="H1038" s="26" t="str">
        <f>IF('Paste SD Data'!I1035="","",IF('Paste SD Data'!I1035="M","BOY","GIRL"))</f>
        <v/>
      </c>
      <c r="I1038" s="28" t="str">
        <f>IF('Paste SD Data'!J1035="","",'Paste SD Data'!J1035)</f>
        <v/>
      </c>
      <c r="J1038" s="34">
        <f t="shared" si="16"/>
        <v>1464</v>
      </c>
      <c r="K1038" s="29" t="str">
        <f>IF('Paste SD Data'!O1035="","",'Paste SD Data'!O1035)</f>
        <v/>
      </c>
    </row>
    <row r="1039" spans="1:11" ht="30" customHeight="1" x14ac:dyDescent="0.25">
      <c r="A1039" s="25" t="str">
        <f>IF(Table1[[#This Row],[Name of Student]]="","",ROWS($A$1:A1035))</f>
        <v/>
      </c>
      <c r="B1039" s="26" t="str">
        <f>IF('Paste SD Data'!A1036="","",'Paste SD Data'!A1036)</f>
        <v/>
      </c>
      <c r="C1039" s="26" t="str">
        <f>IF('Paste SD Data'!B1036="","",'Paste SD Data'!B1036)</f>
        <v/>
      </c>
      <c r="D1039" s="26" t="str">
        <f>IF('Paste SD Data'!C1036="","",'Paste SD Data'!C1036)</f>
        <v/>
      </c>
      <c r="E1039" s="27" t="str">
        <f>IF('Paste SD Data'!E1036="","",UPPER('Paste SD Data'!E1036))</f>
        <v/>
      </c>
      <c r="F1039" s="27" t="str">
        <f>IF('Paste SD Data'!G1036="","",UPPER('Paste SD Data'!G1036))</f>
        <v/>
      </c>
      <c r="G1039" s="27" t="str">
        <f>IF('Paste SD Data'!H1036="","",UPPER('Paste SD Data'!H1036))</f>
        <v/>
      </c>
      <c r="H1039" s="26" t="str">
        <f>IF('Paste SD Data'!I1036="","",IF('Paste SD Data'!I1036="M","BOY","GIRL"))</f>
        <v/>
      </c>
      <c r="I1039" s="28" t="str">
        <f>IF('Paste SD Data'!J1036="","",'Paste SD Data'!J1036)</f>
        <v/>
      </c>
      <c r="J1039" s="34">
        <f t="shared" si="16"/>
        <v>1465</v>
      </c>
      <c r="K1039" s="29" t="str">
        <f>IF('Paste SD Data'!O1036="","",'Paste SD Data'!O1036)</f>
        <v/>
      </c>
    </row>
    <row r="1040" spans="1:11" ht="30" customHeight="1" x14ac:dyDescent="0.25">
      <c r="A1040" s="25" t="str">
        <f>IF(Table1[[#This Row],[Name of Student]]="","",ROWS($A$1:A1036))</f>
        <v/>
      </c>
      <c r="B1040" s="26" t="str">
        <f>IF('Paste SD Data'!A1037="","",'Paste SD Data'!A1037)</f>
        <v/>
      </c>
      <c r="C1040" s="26" t="str">
        <f>IF('Paste SD Data'!B1037="","",'Paste SD Data'!B1037)</f>
        <v/>
      </c>
      <c r="D1040" s="26" t="str">
        <f>IF('Paste SD Data'!C1037="","",'Paste SD Data'!C1037)</f>
        <v/>
      </c>
      <c r="E1040" s="27" t="str">
        <f>IF('Paste SD Data'!E1037="","",UPPER('Paste SD Data'!E1037))</f>
        <v/>
      </c>
      <c r="F1040" s="27" t="str">
        <f>IF('Paste SD Data'!G1037="","",UPPER('Paste SD Data'!G1037))</f>
        <v/>
      </c>
      <c r="G1040" s="27" t="str">
        <f>IF('Paste SD Data'!H1037="","",UPPER('Paste SD Data'!H1037))</f>
        <v/>
      </c>
      <c r="H1040" s="26" t="str">
        <f>IF('Paste SD Data'!I1037="","",IF('Paste SD Data'!I1037="M","BOY","GIRL"))</f>
        <v/>
      </c>
      <c r="I1040" s="28" t="str">
        <f>IF('Paste SD Data'!J1037="","",'Paste SD Data'!J1037)</f>
        <v/>
      </c>
      <c r="J1040" s="34">
        <f t="shared" si="16"/>
        <v>1466</v>
      </c>
      <c r="K1040" s="29" t="str">
        <f>IF('Paste SD Data'!O1037="","",'Paste SD Data'!O1037)</f>
        <v/>
      </c>
    </row>
    <row r="1041" spans="1:11" ht="30" customHeight="1" x14ac:dyDescent="0.25">
      <c r="A1041" s="25" t="str">
        <f>IF(Table1[[#This Row],[Name of Student]]="","",ROWS($A$1:A1037))</f>
        <v/>
      </c>
      <c r="B1041" s="26" t="str">
        <f>IF('Paste SD Data'!A1038="","",'Paste SD Data'!A1038)</f>
        <v/>
      </c>
      <c r="C1041" s="26" t="str">
        <f>IF('Paste SD Data'!B1038="","",'Paste SD Data'!B1038)</f>
        <v/>
      </c>
      <c r="D1041" s="26" t="str">
        <f>IF('Paste SD Data'!C1038="","",'Paste SD Data'!C1038)</f>
        <v/>
      </c>
      <c r="E1041" s="27" t="str">
        <f>IF('Paste SD Data'!E1038="","",UPPER('Paste SD Data'!E1038))</f>
        <v/>
      </c>
      <c r="F1041" s="27" t="str">
        <f>IF('Paste SD Data'!G1038="","",UPPER('Paste SD Data'!G1038))</f>
        <v/>
      </c>
      <c r="G1041" s="27" t="str">
        <f>IF('Paste SD Data'!H1038="","",UPPER('Paste SD Data'!H1038))</f>
        <v/>
      </c>
      <c r="H1041" s="26" t="str">
        <f>IF('Paste SD Data'!I1038="","",IF('Paste SD Data'!I1038="M","BOY","GIRL"))</f>
        <v/>
      </c>
      <c r="I1041" s="28" t="str">
        <f>IF('Paste SD Data'!J1038="","",'Paste SD Data'!J1038)</f>
        <v/>
      </c>
      <c r="J1041" s="34">
        <f t="shared" si="16"/>
        <v>1467</v>
      </c>
      <c r="K1041" s="29" t="str">
        <f>IF('Paste SD Data'!O1038="","",'Paste SD Data'!O1038)</f>
        <v/>
      </c>
    </row>
    <row r="1042" spans="1:11" ht="30" customHeight="1" x14ac:dyDescent="0.25">
      <c r="A1042" s="25" t="str">
        <f>IF(Table1[[#This Row],[Name of Student]]="","",ROWS($A$1:A1038))</f>
        <v/>
      </c>
      <c r="B1042" s="26" t="str">
        <f>IF('Paste SD Data'!A1039="","",'Paste SD Data'!A1039)</f>
        <v/>
      </c>
      <c r="C1042" s="26" t="str">
        <f>IF('Paste SD Data'!B1039="","",'Paste SD Data'!B1039)</f>
        <v/>
      </c>
      <c r="D1042" s="26" t="str">
        <f>IF('Paste SD Data'!C1039="","",'Paste SD Data'!C1039)</f>
        <v/>
      </c>
      <c r="E1042" s="27" t="str">
        <f>IF('Paste SD Data'!E1039="","",UPPER('Paste SD Data'!E1039))</f>
        <v/>
      </c>
      <c r="F1042" s="27" t="str">
        <f>IF('Paste SD Data'!G1039="","",UPPER('Paste SD Data'!G1039))</f>
        <v/>
      </c>
      <c r="G1042" s="27" t="str">
        <f>IF('Paste SD Data'!H1039="","",UPPER('Paste SD Data'!H1039))</f>
        <v/>
      </c>
      <c r="H1042" s="26" t="str">
        <f>IF('Paste SD Data'!I1039="","",IF('Paste SD Data'!I1039="M","BOY","GIRL"))</f>
        <v/>
      </c>
      <c r="I1042" s="28" t="str">
        <f>IF('Paste SD Data'!J1039="","",'Paste SD Data'!J1039)</f>
        <v/>
      </c>
      <c r="J1042" s="34">
        <f t="shared" si="16"/>
        <v>1468</v>
      </c>
      <c r="K1042" s="29" t="str">
        <f>IF('Paste SD Data'!O1039="","",'Paste SD Data'!O1039)</f>
        <v/>
      </c>
    </row>
    <row r="1043" spans="1:11" ht="30" customHeight="1" x14ac:dyDescent="0.25">
      <c r="A1043" s="25" t="str">
        <f>IF(Table1[[#This Row],[Name of Student]]="","",ROWS($A$1:A1039))</f>
        <v/>
      </c>
      <c r="B1043" s="26" t="str">
        <f>IF('Paste SD Data'!A1040="","",'Paste SD Data'!A1040)</f>
        <v/>
      </c>
      <c r="C1043" s="26" t="str">
        <f>IF('Paste SD Data'!B1040="","",'Paste SD Data'!B1040)</f>
        <v/>
      </c>
      <c r="D1043" s="26" t="str">
        <f>IF('Paste SD Data'!C1040="","",'Paste SD Data'!C1040)</f>
        <v/>
      </c>
      <c r="E1043" s="27" t="str">
        <f>IF('Paste SD Data'!E1040="","",UPPER('Paste SD Data'!E1040))</f>
        <v/>
      </c>
      <c r="F1043" s="27" t="str">
        <f>IF('Paste SD Data'!G1040="","",UPPER('Paste SD Data'!G1040))</f>
        <v/>
      </c>
      <c r="G1043" s="27" t="str">
        <f>IF('Paste SD Data'!H1040="","",UPPER('Paste SD Data'!H1040))</f>
        <v/>
      </c>
      <c r="H1043" s="26" t="str">
        <f>IF('Paste SD Data'!I1040="","",IF('Paste SD Data'!I1040="M","BOY","GIRL"))</f>
        <v/>
      </c>
      <c r="I1043" s="28" t="str">
        <f>IF('Paste SD Data'!J1040="","",'Paste SD Data'!J1040)</f>
        <v/>
      </c>
      <c r="J1043" s="34">
        <f t="shared" si="16"/>
        <v>1469</v>
      </c>
      <c r="K1043" s="29" t="str">
        <f>IF('Paste SD Data'!O1040="","",'Paste SD Data'!O1040)</f>
        <v/>
      </c>
    </row>
    <row r="1044" spans="1:11" ht="30" customHeight="1" x14ac:dyDescent="0.25">
      <c r="A1044" s="25" t="str">
        <f>IF(Table1[[#This Row],[Name of Student]]="","",ROWS($A$1:A1040))</f>
        <v/>
      </c>
      <c r="B1044" s="26" t="str">
        <f>IF('Paste SD Data'!A1041="","",'Paste SD Data'!A1041)</f>
        <v/>
      </c>
      <c r="C1044" s="26" t="str">
        <f>IF('Paste SD Data'!B1041="","",'Paste SD Data'!B1041)</f>
        <v/>
      </c>
      <c r="D1044" s="26" t="str">
        <f>IF('Paste SD Data'!C1041="","",'Paste SD Data'!C1041)</f>
        <v/>
      </c>
      <c r="E1044" s="27" t="str">
        <f>IF('Paste SD Data'!E1041="","",UPPER('Paste SD Data'!E1041))</f>
        <v/>
      </c>
      <c r="F1044" s="27" t="str">
        <f>IF('Paste SD Data'!G1041="","",UPPER('Paste SD Data'!G1041))</f>
        <v/>
      </c>
      <c r="G1044" s="27" t="str">
        <f>IF('Paste SD Data'!H1041="","",UPPER('Paste SD Data'!H1041))</f>
        <v/>
      </c>
      <c r="H1044" s="26" t="str">
        <f>IF('Paste SD Data'!I1041="","",IF('Paste SD Data'!I1041="M","BOY","GIRL"))</f>
        <v/>
      </c>
      <c r="I1044" s="28" t="str">
        <f>IF('Paste SD Data'!J1041="","",'Paste SD Data'!J1041)</f>
        <v/>
      </c>
      <c r="J1044" s="34">
        <f t="shared" si="16"/>
        <v>1470</v>
      </c>
      <c r="K1044" s="29" t="str">
        <f>IF('Paste SD Data'!O1041="","",'Paste SD Data'!O1041)</f>
        <v/>
      </c>
    </row>
    <row r="1045" spans="1:11" ht="30" customHeight="1" x14ac:dyDescent="0.25">
      <c r="A1045" s="25" t="str">
        <f>IF(Table1[[#This Row],[Name of Student]]="","",ROWS($A$1:A1041))</f>
        <v/>
      </c>
      <c r="B1045" s="26" t="str">
        <f>IF('Paste SD Data'!A1042="","",'Paste SD Data'!A1042)</f>
        <v/>
      </c>
      <c r="C1045" s="26" t="str">
        <f>IF('Paste SD Data'!B1042="","",'Paste SD Data'!B1042)</f>
        <v/>
      </c>
      <c r="D1045" s="26" t="str">
        <f>IF('Paste SD Data'!C1042="","",'Paste SD Data'!C1042)</f>
        <v/>
      </c>
      <c r="E1045" s="27" t="str">
        <f>IF('Paste SD Data'!E1042="","",UPPER('Paste SD Data'!E1042))</f>
        <v/>
      </c>
      <c r="F1045" s="27" t="str">
        <f>IF('Paste SD Data'!G1042="","",UPPER('Paste SD Data'!G1042))</f>
        <v/>
      </c>
      <c r="G1045" s="27" t="str">
        <f>IF('Paste SD Data'!H1042="","",UPPER('Paste SD Data'!H1042))</f>
        <v/>
      </c>
      <c r="H1045" s="26" t="str">
        <f>IF('Paste SD Data'!I1042="","",IF('Paste SD Data'!I1042="M","BOY","GIRL"))</f>
        <v/>
      </c>
      <c r="I1045" s="28" t="str">
        <f>IF('Paste SD Data'!J1042="","",'Paste SD Data'!J1042)</f>
        <v/>
      </c>
      <c r="J1045" s="34">
        <f t="shared" si="16"/>
        <v>1471</v>
      </c>
      <c r="K1045" s="29" t="str">
        <f>IF('Paste SD Data'!O1042="","",'Paste SD Data'!O1042)</f>
        <v/>
      </c>
    </row>
    <row r="1046" spans="1:11" ht="30" customHeight="1" x14ac:dyDescent="0.25">
      <c r="A1046" s="25" t="str">
        <f>IF(Table1[[#This Row],[Name of Student]]="","",ROWS($A$1:A1042))</f>
        <v/>
      </c>
      <c r="B1046" s="26" t="str">
        <f>IF('Paste SD Data'!A1043="","",'Paste SD Data'!A1043)</f>
        <v/>
      </c>
      <c r="C1046" s="26" t="str">
        <f>IF('Paste SD Data'!B1043="","",'Paste SD Data'!B1043)</f>
        <v/>
      </c>
      <c r="D1046" s="26" t="str">
        <f>IF('Paste SD Data'!C1043="","",'Paste SD Data'!C1043)</f>
        <v/>
      </c>
      <c r="E1046" s="27" t="str">
        <f>IF('Paste SD Data'!E1043="","",UPPER('Paste SD Data'!E1043))</f>
        <v/>
      </c>
      <c r="F1046" s="27" t="str">
        <f>IF('Paste SD Data'!G1043="","",UPPER('Paste SD Data'!G1043))</f>
        <v/>
      </c>
      <c r="G1046" s="27" t="str">
        <f>IF('Paste SD Data'!H1043="","",UPPER('Paste SD Data'!H1043))</f>
        <v/>
      </c>
      <c r="H1046" s="26" t="str">
        <f>IF('Paste SD Data'!I1043="","",IF('Paste SD Data'!I1043="M","BOY","GIRL"))</f>
        <v/>
      </c>
      <c r="I1046" s="28" t="str">
        <f>IF('Paste SD Data'!J1043="","",'Paste SD Data'!J1043)</f>
        <v/>
      </c>
      <c r="J1046" s="34">
        <f t="shared" si="16"/>
        <v>1472</v>
      </c>
      <c r="K1046" s="29" t="str">
        <f>IF('Paste SD Data'!O1043="","",'Paste SD Data'!O1043)</f>
        <v/>
      </c>
    </row>
    <row r="1047" spans="1:11" ht="30" customHeight="1" x14ac:dyDescent="0.25">
      <c r="A1047" s="25" t="str">
        <f>IF(Table1[[#This Row],[Name of Student]]="","",ROWS($A$1:A1043))</f>
        <v/>
      </c>
      <c r="B1047" s="26" t="str">
        <f>IF('Paste SD Data'!A1044="","",'Paste SD Data'!A1044)</f>
        <v/>
      </c>
      <c r="C1047" s="26" t="str">
        <f>IF('Paste SD Data'!B1044="","",'Paste SD Data'!B1044)</f>
        <v/>
      </c>
      <c r="D1047" s="26" t="str">
        <f>IF('Paste SD Data'!C1044="","",'Paste SD Data'!C1044)</f>
        <v/>
      </c>
      <c r="E1047" s="27" t="str">
        <f>IF('Paste SD Data'!E1044="","",UPPER('Paste SD Data'!E1044))</f>
        <v/>
      </c>
      <c r="F1047" s="27" t="str">
        <f>IF('Paste SD Data'!G1044="","",UPPER('Paste SD Data'!G1044))</f>
        <v/>
      </c>
      <c r="G1047" s="27" t="str">
        <f>IF('Paste SD Data'!H1044="","",UPPER('Paste SD Data'!H1044))</f>
        <v/>
      </c>
      <c r="H1047" s="26" t="str">
        <f>IF('Paste SD Data'!I1044="","",IF('Paste SD Data'!I1044="M","BOY","GIRL"))</f>
        <v/>
      </c>
      <c r="I1047" s="28" t="str">
        <f>IF('Paste SD Data'!J1044="","",'Paste SD Data'!J1044)</f>
        <v/>
      </c>
      <c r="J1047" s="34">
        <f t="shared" si="16"/>
        <v>1473</v>
      </c>
      <c r="K1047" s="29" t="str">
        <f>IF('Paste SD Data'!O1044="","",'Paste SD Data'!O1044)</f>
        <v/>
      </c>
    </row>
    <row r="1048" spans="1:11" ht="30" customHeight="1" x14ac:dyDescent="0.25">
      <c r="A1048" s="25" t="str">
        <f>IF(Table1[[#This Row],[Name of Student]]="","",ROWS($A$1:A1044))</f>
        <v/>
      </c>
      <c r="B1048" s="26" t="str">
        <f>IF('Paste SD Data'!A1045="","",'Paste SD Data'!A1045)</f>
        <v/>
      </c>
      <c r="C1048" s="26" t="str">
        <f>IF('Paste SD Data'!B1045="","",'Paste SD Data'!B1045)</f>
        <v/>
      </c>
      <c r="D1048" s="26" t="str">
        <f>IF('Paste SD Data'!C1045="","",'Paste SD Data'!C1045)</f>
        <v/>
      </c>
      <c r="E1048" s="27" t="str">
        <f>IF('Paste SD Data'!E1045="","",UPPER('Paste SD Data'!E1045))</f>
        <v/>
      </c>
      <c r="F1048" s="27" t="str">
        <f>IF('Paste SD Data'!G1045="","",UPPER('Paste SD Data'!G1045))</f>
        <v/>
      </c>
      <c r="G1048" s="27" t="str">
        <f>IF('Paste SD Data'!H1045="","",UPPER('Paste SD Data'!H1045))</f>
        <v/>
      </c>
      <c r="H1048" s="26" t="str">
        <f>IF('Paste SD Data'!I1045="","",IF('Paste SD Data'!I1045="M","BOY","GIRL"))</f>
        <v/>
      </c>
      <c r="I1048" s="28" t="str">
        <f>IF('Paste SD Data'!J1045="","",'Paste SD Data'!J1045)</f>
        <v/>
      </c>
      <c r="J1048" s="34">
        <f t="shared" si="16"/>
        <v>1474</v>
      </c>
      <c r="K1048" s="29" t="str">
        <f>IF('Paste SD Data'!O1045="","",'Paste SD Data'!O1045)</f>
        <v/>
      </c>
    </row>
    <row r="1049" spans="1:11" ht="30" customHeight="1" x14ac:dyDescent="0.25">
      <c r="A1049" s="25" t="str">
        <f>IF(Table1[[#This Row],[Name of Student]]="","",ROWS($A$1:A1045))</f>
        <v/>
      </c>
      <c r="B1049" s="26" t="str">
        <f>IF('Paste SD Data'!A1046="","",'Paste SD Data'!A1046)</f>
        <v/>
      </c>
      <c r="C1049" s="26" t="str">
        <f>IF('Paste SD Data'!B1046="","",'Paste SD Data'!B1046)</f>
        <v/>
      </c>
      <c r="D1049" s="26" t="str">
        <f>IF('Paste SD Data'!C1046="","",'Paste SD Data'!C1046)</f>
        <v/>
      </c>
      <c r="E1049" s="27" t="str">
        <f>IF('Paste SD Data'!E1046="","",UPPER('Paste SD Data'!E1046))</f>
        <v/>
      </c>
      <c r="F1049" s="27" t="str">
        <f>IF('Paste SD Data'!G1046="","",UPPER('Paste SD Data'!G1046))</f>
        <v/>
      </c>
      <c r="G1049" s="27" t="str">
        <f>IF('Paste SD Data'!H1046="","",UPPER('Paste SD Data'!H1046))</f>
        <v/>
      </c>
      <c r="H1049" s="26" t="str">
        <f>IF('Paste SD Data'!I1046="","",IF('Paste SD Data'!I1046="M","BOY","GIRL"))</f>
        <v/>
      </c>
      <c r="I1049" s="28" t="str">
        <f>IF('Paste SD Data'!J1046="","",'Paste SD Data'!J1046)</f>
        <v/>
      </c>
      <c r="J1049" s="34">
        <f t="shared" si="16"/>
        <v>1475</v>
      </c>
      <c r="K1049" s="29" t="str">
        <f>IF('Paste SD Data'!O1046="","",'Paste SD Data'!O1046)</f>
        <v/>
      </c>
    </row>
    <row r="1050" spans="1:11" ht="30" customHeight="1" x14ac:dyDescent="0.25">
      <c r="A1050" s="25" t="str">
        <f>IF(Table1[[#This Row],[Name of Student]]="","",ROWS($A$1:A1046))</f>
        <v/>
      </c>
      <c r="B1050" s="26" t="str">
        <f>IF('Paste SD Data'!A1047="","",'Paste SD Data'!A1047)</f>
        <v/>
      </c>
      <c r="C1050" s="26" t="str">
        <f>IF('Paste SD Data'!B1047="","",'Paste SD Data'!B1047)</f>
        <v/>
      </c>
      <c r="D1050" s="26" t="str">
        <f>IF('Paste SD Data'!C1047="","",'Paste SD Data'!C1047)</f>
        <v/>
      </c>
      <c r="E1050" s="27" t="str">
        <f>IF('Paste SD Data'!E1047="","",UPPER('Paste SD Data'!E1047))</f>
        <v/>
      </c>
      <c r="F1050" s="27" t="str">
        <f>IF('Paste SD Data'!G1047="","",UPPER('Paste SD Data'!G1047))</f>
        <v/>
      </c>
      <c r="G1050" s="27" t="str">
        <f>IF('Paste SD Data'!H1047="","",UPPER('Paste SD Data'!H1047))</f>
        <v/>
      </c>
      <c r="H1050" s="26" t="str">
        <f>IF('Paste SD Data'!I1047="","",IF('Paste SD Data'!I1047="M","BOY","GIRL"))</f>
        <v/>
      </c>
      <c r="I1050" s="28" t="str">
        <f>IF('Paste SD Data'!J1047="","",'Paste SD Data'!J1047)</f>
        <v/>
      </c>
      <c r="J1050" s="34">
        <f t="shared" si="16"/>
        <v>1476</v>
      </c>
      <c r="K1050" s="29" t="str">
        <f>IF('Paste SD Data'!O1047="","",'Paste SD Data'!O1047)</f>
        <v/>
      </c>
    </row>
    <row r="1051" spans="1:11" ht="30" customHeight="1" x14ac:dyDescent="0.25">
      <c r="A1051" s="25" t="str">
        <f>IF(Table1[[#This Row],[Name of Student]]="","",ROWS($A$1:A1047))</f>
        <v/>
      </c>
      <c r="B1051" s="26" t="str">
        <f>IF('Paste SD Data'!A1048="","",'Paste SD Data'!A1048)</f>
        <v/>
      </c>
      <c r="C1051" s="26" t="str">
        <f>IF('Paste SD Data'!B1048="","",'Paste SD Data'!B1048)</f>
        <v/>
      </c>
      <c r="D1051" s="26" t="str">
        <f>IF('Paste SD Data'!C1048="","",'Paste SD Data'!C1048)</f>
        <v/>
      </c>
      <c r="E1051" s="27" t="str">
        <f>IF('Paste SD Data'!E1048="","",UPPER('Paste SD Data'!E1048))</f>
        <v/>
      </c>
      <c r="F1051" s="27" t="str">
        <f>IF('Paste SD Data'!G1048="","",UPPER('Paste SD Data'!G1048))</f>
        <v/>
      </c>
      <c r="G1051" s="27" t="str">
        <f>IF('Paste SD Data'!H1048="","",UPPER('Paste SD Data'!H1048))</f>
        <v/>
      </c>
      <c r="H1051" s="26" t="str">
        <f>IF('Paste SD Data'!I1048="","",IF('Paste SD Data'!I1048="M","BOY","GIRL"))</f>
        <v/>
      </c>
      <c r="I1051" s="28" t="str">
        <f>IF('Paste SD Data'!J1048="","",'Paste SD Data'!J1048)</f>
        <v/>
      </c>
      <c r="J1051" s="34">
        <f t="shared" si="16"/>
        <v>1477</v>
      </c>
      <c r="K1051" s="29" t="str">
        <f>IF('Paste SD Data'!O1048="","",'Paste SD Data'!O1048)</f>
        <v/>
      </c>
    </row>
    <row r="1052" spans="1:11" ht="30" customHeight="1" x14ac:dyDescent="0.25">
      <c r="A1052" s="25" t="str">
        <f>IF(Table1[[#This Row],[Name of Student]]="","",ROWS($A$1:A1048))</f>
        <v/>
      </c>
      <c r="B1052" s="26" t="str">
        <f>IF('Paste SD Data'!A1049="","",'Paste SD Data'!A1049)</f>
        <v/>
      </c>
      <c r="C1052" s="26" t="str">
        <f>IF('Paste SD Data'!B1049="","",'Paste SD Data'!B1049)</f>
        <v/>
      </c>
      <c r="D1052" s="26" t="str">
        <f>IF('Paste SD Data'!C1049="","",'Paste SD Data'!C1049)</f>
        <v/>
      </c>
      <c r="E1052" s="27" t="str">
        <f>IF('Paste SD Data'!E1049="","",UPPER('Paste SD Data'!E1049))</f>
        <v/>
      </c>
      <c r="F1052" s="27" t="str">
        <f>IF('Paste SD Data'!G1049="","",UPPER('Paste SD Data'!G1049))</f>
        <v/>
      </c>
      <c r="G1052" s="27" t="str">
        <f>IF('Paste SD Data'!H1049="","",UPPER('Paste SD Data'!H1049))</f>
        <v/>
      </c>
      <c r="H1052" s="26" t="str">
        <f>IF('Paste SD Data'!I1049="","",IF('Paste SD Data'!I1049="M","BOY","GIRL"))</f>
        <v/>
      </c>
      <c r="I1052" s="28" t="str">
        <f>IF('Paste SD Data'!J1049="","",'Paste SD Data'!J1049)</f>
        <v/>
      </c>
      <c r="J1052" s="34">
        <f t="shared" si="16"/>
        <v>1478</v>
      </c>
      <c r="K1052" s="29" t="str">
        <f>IF('Paste SD Data'!O1049="","",'Paste SD Data'!O1049)</f>
        <v/>
      </c>
    </row>
    <row r="1053" spans="1:11" ht="30" customHeight="1" x14ac:dyDescent="0.25">
      <c r="A1053" s="25" t="str">
        <f>IF(Table1[[#This Row],[Name of Student]]="","",ROWS($A$1:A1049))</f>
        <v/>
      </c>
      <c r="B1053" s="26" t="str">
        <f>IF('Paste SD Data'!A1050="","",'Paste SD Data'!A1050)</f>
        <v/>
      </c>
      <c r="C1053" s="26" t="str">
        <f>IF('Paste SD Data'!B1050="","",'Paste SD Data'!B1050)</f>
        <v/>
      </c>
      <c r="D1053" s="26" t="str">
        <f>IF('Paste SD Data'!C1050="","",'Paste SD Data'!C1050)</f>
        <v/>
      </c>
      <c r="E1053" s="27" t="str">
        <f>IF('Paste SD Data'!E1050="","",UPPER('Paste SD Data'!E1050))</f>
        <v/>
      </c>
      <c r="F1053" s="27" t="str">
        <f>IF('Paste SD Data'!G1050="","",UPPER('Paste SD Data'!G1050))</f>
        <v/>
      </c>
      <c r="G1053" s="27" t="str">
        <f>IF('Paste SD Data'!H1050="","",UPPER('Paste SD Data'!H1050))</f>
        <v/>
      </c>
      <c r="H1053" s="26" t="str">
        <f>IF('Paste SD Data'!I1050="","",IF('Paste SD Data'!I1050="M","BOY","GIRL"))</f>
        <v/>
      </c>
      <c r="I1053" s="28" t="str">
        <f>IF('Paste SD Data'!J1050="","",'Paste SD Data'!J1050)</f>
        <v/>
      </c>
      <c r="J1053" s="34">
        <f t="shared" si="16"/>
        <v>1479</v>
      </c>
      <c r="K1053" s="29" t="str">
        <f>IF('Paste SD Data'!O1050="","",'Paste SD Data'!O1050)</f>
        <v/>
      </c>
    </row>
    <row r="1054" spans="1:11" ht="30" customHeight="1" x14ac:dyDescent="0.25">
      <c r="A1054" s="25" t="str">
        <f>IF(Table1[[#This Row],[Name of Student]]="","",ROWS($A$1:A1050))</f>
        <v/>
      </c>
      <c r="B1054" s="26" t="str">
        <f>IF('Paste SD Data'!A1051="","",'Paste SD Data'!A1051)</f>
        <v/>
      </c>
      <c r="C1054" s="26" t="str">
        <f>IF('Paste SD Data'!B1051="","",'Paste SD Data'!B1051)</f>
        <v/>
      </c>
      <c r="D1054" s="26" t="str">
        <f>IF('Paste SD Data'!C1051="","",'Paste SD Data'!C1051)</f>
        <v/>
      </c>
      <c r="E1054" s="27" t="str">
        <f>IF('Paste SD Data'!E1051="","",UPPER('Paste SD Data'!E1051))</f>
        <v/>
      </c>
      <c r="F1054" s="27" t="str">
        <f>IF('Paste SD Data'!G1051="","",UPPER('Paste SD Data'!G1051))</f>
        <v/>
      </c>
      <c r="G1054" s="27" t="str">
        <f>IF('Paste SD Data'!H1051="","",UPPER('Paste SD Data'!H1051))</f>
        <v/>
      </c>
      <c r="H1054" s="26" t="str">
        <f>IF('Paste SD Data'!I1051="","",IF('Paste SD Data'!I1051="M","BOY","GIRL"))</f>
        <v/>
      </c>
      <c r="I1054" s="28" t="str">
        <f>IF('Paste SD Data'!J1051="","",'Paste SD Data'!J1051)</f>
        <v/>
      </c>
      <c r="J1054" s="34">
        <f t="shared" si="16"/>
        <v>1480</v>
      </c>
      <c r="K1054" s="29" t="str">
        <f>IF('Paste SD Data'!O1051="","",'Paste SD Data'!O1051)</f>
        <v/>
      </c>
    </row>
    <row r="1055" spans="1:11" ht="30" customHeight="1" x14ac:dyDescent="0.25">
      <c r="A1055" s="25" t="str">
        <f>IF(Table1[[#This Row],[Name of Student]]="","",ROWS($A$1:A1051))</f>
        <v/>
      </c>
      <c r="B1055" s="26" t="str">
        <f>IF('Paste SD Data'!A1052="","",'Paste SD Data'!A1052)</f>
        <v/>
      </c>
      <c r="C1055" s="26" t="str">
        <f>IF('Paste SD Data'!B1052="","",'Paste SD Data'!B1052)</f>
        <v/>
      </c>
      <c r="D1055" s="26" t="str">
        <f>IF('Paste SD Data'!C1052="","",'Paste SD Data'!C1052)</f>
        <v/>
      </c>
      <c r="E1055" s="27" t="str">
        <f>IF('Paste SD Data'!E1052="","",UPPER('Paste SD Data'!E1052))</f>
        <v/>
      </c>
      <c r="F1055" s="27" t="str">
        <f>IF('Paste SD Data'!G1052="","",UPPER('Paste SD Data'!G1052))</f>
        <v/>
      </c>
      <c r="G1055" s="27" t="str">
        <f>IF('Paste SD Data'!H1052="","",UPPER('Paste SD Data'!H1052))</f>
        <v/>
      </c>
      <c r="H1055" s="26" t="str">
        <f>IF('Paste SD Data'!I1052="","",IF('Paste SD Data'!I1052="M","BOY","GIRL"))</f>
        <v/>
      </c>
      <c r="I1055" s="28" t="str">
        <f>IF('Paste SD Data'!J1052="","",'Paste SD Data'!J1052)</f>
        <v/>
      </c>
      <c r="J1055" s="34">
        <f t="shared" si="16"/>
        <v>1481</v>
      </c>
      <c r="K1055" s="29" t="str">
        <f>IF('Paste SD Data'!O1052="","",'Paste SD Data'!O1052)</f>
        <v/>
      </c>
    </row>
    <row r="1056" spans="1:11" ht="30" customHeight="1" x14ac:dyDescent="0.25">
      <c r="A1056" s="25" t="str">
        <f>IF(Table1[[#This Row],[Name of Student]]="","",ROWS($A$1:A1052))</f>
        <v/>
      </c>
      <c r="B1056" s="26" t="str">
        <f>IF('Paste SD Data'!A1053="","",'Paste SD Data'!A1053)</f>
        <v/>
      </c>
      <c r="C1056" s="26" t="str">
        <f>IF('Paste SD Data'!B1053="","",'Paste SD Data'!B1053)</f>
        <v/>
      </c>
      <c r="D1056" s="26" t="str">
        <f>IF('Paste SD Data'!C1053="","",'Paste SD Data'!C1053)</f>
        <v/>
      </c>
      <c r="E1056" s="27" t="str">
        <f>IF('Paste SD Data'!E1053="","",UPPER('Paste SD Data'!E1053))</f>
        <v/>
      </c>
      <c r="F1056" s="27" t="str">
        <f>IF('Paste SD Data'!G1053="","",UPPER('Paste SD Data'!G1053))</f>
        <v/>
      </c>
      <c r="G1056" s="27" t="str">
        <f>IF('Paste SD Data'!H1053="","",UPPER('Paste SD Data'!H1053))</f>
        <v/>
      </c>
      <c r="H1056" s="26" t="str">
        <f>IF('Paste SD Data'!I1053="","",IF('Paste SD Data'!I1053="M","BOY","GIRL"))</f>
        <v/>
      </c>
      <c r="I1056" s="28" t="str">
        <f>IF('Paste SD Data'!J1053="","",'Paste SD Data'!J1053)</f>
        <v/>
      </c>
      <c r="J1056" s="34">
        <f t="shared" si="16"/>
        <v>1482</v>
      </c>
      <c r="K1056" s="29" t="str">
        <f>IF('Paste SD Data'!O1053="","",'Paste SD Data'!O1053)</f>
        <v/>
      </c>
    </row>
    <row r="1057" spans="1:11" ht="30" customHeight="1" x14ac:dyDescent="0.25">
      <c r="A1057" s="25" t="str">
        <f>IF(Table1[[#This Row],[Name of Student]]="","",ROWS($A$1:A1053))</f>
        <v/>
      </c>
      <c r="B1057" s="26" t="str">
        <f>IF('Paste SD Data'!A1054="","",'Paste SD Data'!A1054)</f>
        <v/>
      </c>
      <c r="C1057" s="26" t="str">
        <f>IF('Paste SD Data'!B1054="","",'Paste SD Data'!B1054)</f>
        <v/>
      </c>
      <c r="D1057" s="26" t="str">
        <f>IF('Paste SD Data'!C1054="","",'Paste SD Data'!C1054)</f>
        <v/>
      </c>
      <c r="E1057" s="27" t="str">
        <f>IF('Paste SD Data'!E1054="","",UPPER('Paste SD Data'!E1054))</f>
        <v/>
      </c>
      <c r="F1057" s="27" t="str">
        <f>IF('Paste SD Data'!G1054="","",UPPER('Paste SD Data'!G1054))</f>
        <v/>
      </c>
      <c r="G1057" s="27" t="str">
        <f>IF('Paste SD Data'!H1054="","",UPPER('Paste SD Data'!H1054))</f>
        <v/>
      </c>
      <c r="H1057" s="26" t="str">
        <f>IF('Paste SD Data'!I1054="","",IF('Paste SD Data'!I1054="M","BOY","GIRL"))</f>
        <v/>
      </c>
      <c r="I1057" s="28" t="str">
        <f>IF('Paste SD Data'!J1054="","",'Paste SD Data'!J1054)</f>
        <v/>
      </c>
      <c r="J1057" s="34">
        <f t="shared" si="16"/>
        <v>1483</v>
      </c>
      <c r="K1057" s="29" t="str">
        <f>IF('Paste SD Data'!O1054="","",'Paste SD Data'!O1054)</f>
        <v/>
      </c>
    </row>
    <row r="1058" spans="1:11" ht="30" customHeight="1" x14ac:dyDescent="0.25">
      <c r="A1058" s="25" t="str">
        <f>IF(Table1[[#This Row],[Name of Student]]="","",ROWS($A$1:A1054))</f>
        <v/>
      </c>
      <c r="B1058" s="26" t="str">
        <f>IF('Paste SD Data'!A1055="","",'Paste SD Data'!A1055)</f>
        <v/>
      </c>
      <c r="C1058" s="26" t="str">
        <f>IF('Paste SD Data'!B1055="","",'Paste SD Data'!B1055)</f>
        <v/>
      </c>
      <c r="D1058" s="26" t="str">
        <f>IF('Paste SD Data'!C1055="","",'Paste SD Data'!C1055)</f>
        <v/>
      </c>
      <c r="E1058" s="27" t="str">
        <f>IF('Paste SD Data'!E1055="","",UPPER('Paste SD Data'!E1055))</f>
        <v/>
      </c>
      <c r="F1058" s="27" t="str">
        <f>IF('Paste SD Data'!G1055="","",UPPER('Paste SD Data'!G1055))</f>
        <v/>
      </c>
      <c r="G1058" s="27" t="str">
        <f>IF('Paste SD Data'!H1055="","",UPPER('Paste SD Data'!H1055))</f>
        <v/>
      </c>
      <c r="H1058" s="26" t="str">
        <f>IF('Paste SD Data'!I1055="","",IF('Paste SD Data'!I1055="M","BOY","GIRL"))</f>
        <v/>
      </c>
      <c r="I1058" s="28" t="str">
        <f>IF('Paste SD Data'!J1055="","",'Paste SD Data'!J1055)</f>
        <v/>
      </c>
      <c r="J1058" s="34">
        <f t="shared" si="16"/>
        <v>1484</v>
      </c>
      <c r="K1058" s="29" t="str">
        <f>IF('Paste SD Data'!O1055="","",'Paste SD Data'!O1055)</f>
        <v/>
      </c>
    </row>
    <row r="1059" spans="1:11" ht="30" customHeight="1" x14ac:dyDescent="0.25">
      <c r="A1059" s="25" t="str">
        <f>IF(Table1[[#This Row],[Name of Student]]="","",ROWS($A$1:A1055))</f>
        <v/>
      </c>
      <c r="B1059" s="26" t="str">
        <f>IF('Paste SD Data'!A1056="","",'Paste SD Data'!A1056)</f>
        <v/>
      </c>
      <c r="C1059" s="26" t="str">
        <f>IF('Paste SD Data'!B1056="","",'Paste SD Data'!B1056)</f>
        <v/>
      </c>
      <c r="D1059" s="26" t="str">
        <f>IF('Paste SD Data'!C1056="","",'Paste SD Data'!C1056)</f>
        <v/>
      </c>
      <c r="E1059" s="27" t="str">
        <f>IF('Paste SD Data'!E1056="","",UPPER('Paste SD Data'!E1056))</f>
        <v/>
      </c>
      <c r="F1059" s="27" t="str">
        <f>IF('Paste SD Data'!G1056="","",UPPER('Paste SD Data'!G1056))</f>
        <v/>
      </c>
      <c r="G1059" s="27" t="str">
        <f>IF('Paste SD Data'!H1056="","",UPPER('Paste SD Data'!H1056))</f>
        <v/>
      </c>
      <c r="H1059" s="26" t="str">
        <f>IF('Paste SD Data'!I1056="","",IF('Paste SD Data'!I1056="M","BOY","GIRL"))</f>
        <v/>
      </c>
      <c r="I1059" s="28" t="str">
        <f>IF('Paste SD Data'!J1056="","",'Paste SD Data'!J1056)</f>
        <v/>
      </c>
      <c r="J1059" s="34">
        <f t="shared" si="16"/>
        <v>1485</v>
      </c>
      <c r="K1059" s="29" t="str">
        <f>IF('Paste SD Data'!O1056="","",'Paste SD Data'!O1056)</f>
        <v/>
      </c>
    </row>
    <row r="1060" spans="1:11" ht="30" customHeight="1" x14ac:dyDescent="0.25">
      <c r="A1060" s="25" t="str">
        <f>IF(Table1[[#This Row],[Name of Student]]="","",ROWS($A$1:A1056))</f>
        <v/>
      </c>
      <c r="B1060" s="26" t="str">
        <f>IF('Paste SD Data'!A1057="","",'Paste SD Data'!A1057)</f>
        <v/>
      </c>
      <c r="C1060" s="26" t="str">
        <f>IF('Paste SD Data'!B1057="","",'Paste SD Data'!B1057)</f>
        <v/>
      </c>
      <c r="D1060" s="26" t="str">
        <f>IF('Paste SD Data'!C1057="","",'Paste SD Data'!C1057)</f>
        <v/>
      </c>
      <c r="E1060" s="27" t="str">
        <f>IF('Paste SD Data'!E1057="","",UPPER('Paste SD Data'!E1057))</f>
        <v/>
      </c>
      <c r="F1060" s="27" t="str">
        <f>IF('Paste SD Data'!G1057="","",UPPER('Paste SD Data'!G1057))</f>
        <v/>
      </c>
      <c r="G1060" s="27" t="str">
        <f>IF('Paste SD Data'!H1057="","",UPPER('Paste SD Data'!H1057))</f>
        <v/>
      </c>
      <c r="H1060" s="26" t="str">
        <f>IF('Paste SD Data'!I1057="","",IF('Paste SD Data'!I1057="M","BOY","GIRL"))</f>
        <v/>
      </c>
      <c r="I1060" s="28" t="str">
        <f>IF('Paste SD Data'!J1057="","",'Paste SD Data'!J1057)</f>
        <v/>
      </c>
      <c r="J1060" s="34">
        <f t="shared" si="16"/>
        <v>1486</v>
      </c>
      <c r="K1060" s="29" t="str">
        <f>IF('Paste SD Data'!O1057="","",'Paste SD Data'!O1057)</f>
        <v/>
      </c>
    </row>
    <row r="1061" spans="1:11" ht="30" customHeight="1" x14ac:dyDescent="0.25">
      <c r="A1061" s="25" t="str">
        <f>IF(Table1[[#This Row],[Name of Student]]="","",ROWS($A$1:A1057))</f>
        <v/>
      </c>
      <c r="B1061" s="26" t="str">
        <f>IF('Paste SD Data'!A1058="","",'Paste SD Data'!A1058)</f>
        <v/>
      </c>
      <c r="C1061" s="26" t="str">
        <f>IF('Paste SD Data'!B1058="","",'Paste SD Data'!B1058)</f>
        <v/>
      </c>
      <c r="D1061" s="26" t="str">
        <f>IF('Paste SD Data'!C1058="","",'Paste SD Data'!C1058)</f>
        <v/>
      </c>
      <c r="E1061" s="27" t="str">
        <f>IF('Paste SD Data'!E1058="","",UPPER('Paste SD Data'!E1058))</f>
        <v/>
      </c>
      <c r="F1061" s="27" t="str">
        <f>IF('Paste SD Data'!G1058="","",UPPER('Paste SD Data'!G1058))</f>
        <v/>
      </c>
      <c r="G1061" s="27" t="str">
        <f>IF('Paste SD Data'!H1058="","",UPPER('Paste SD Data'!H1058))</f>
        <v/>
      </c>
      <c r="H1061" s="26" t="str">
        <f>IF('Paste SD Data'!I1058="","",IF('Paste SD Data'!I1058="M","BOY","GIRL"))</f>
        <v/>
      </c>
      <c r="I1061" s="28" t="str">
        <f>IF('Paste SD Data'!J1058="","",'Paste SD Data'!J1058)</f>
        <v/>
      </c>
      <c r="J1061" s="34">
        <f t="shared" si="16"/>
        <v>1487</v>
      </c>
      <c r="K1061" s="29" t="str">
        <f>IF('Paste SD Data'!O1058="","",'Paste SD Data'!O1058)</f>
        <v/>
      </c>
    </row>
    <row r="1062" spans="1:11" ht="30" customHeight="1" x14ac:dyDescent="0.25">
      <c r="A1062" s="25" t="str">
        <f>IF(Table1[[#This Row],[Name of Student]]="","",ROWS($A$1:A1058))</f>
        <v/>
      </c>
      <c r="B1062" s="26" t="str">
        <f>IF('Paste SD Data'!A1059="","",'Paste SD Data'!A1059)</f>
        <v/>
      </c>
      <c r="C1062" s="26" t="str">
        <f>IF('Paste SD Data'!B1059="","",'Paste SD Data'!B1059)</f>
        <v/>
      </c>
      <c r="D1062" s="26" t="str">
        <f>IF('Paste SD Data'!C1059="","",'Paste SD Data'!C1059)</f>
        <v/>
      </c>
      <c r="E1062" s="27" t="str">
        <f>IF('Paste SD Data'!E1059="","",UPPER('Paste SD Data'!E1059))</f>
        <v/>
      </c>
      <c r="F1062" s="27" t="str">
        <f>IF('Paste SD Data'!G1059="","",UPPER('Paste SD Data'!G1059))</f>
        <v/>
      </c>
      <c r="G1062" s="27" t="str">
        <f>IF('Paste SD Data'!H1059="","",UPPER('Paste SD Data'!H1059))</f>
        <v/>
      </c>
      <c r="H1062" s="26" t="str">
        <f>IF('Paste SD Data'!I1059="","",IF('Paste SD Data'!I1059="M","BOY","GIRL"))</f>
        <v/>
      </c>
      <c r="I1062" s="28" t="str">
        <f>IF('Paste SD Data'!J1059="","",'Paste SD Data'!J1059)</f>
        <v/>
      </c>
      <c r="J1062" s="34">
        <f t="shared" si="16"/>
        <v>1488</v>
      </c>
      <c r="K1062" s="29" t="str">
        <f>IF('Paste SD Data'!O1059="","",'Paste SD Data'!O1059)</f>
        <v/>
      </c>
    </row>
    <row r="1063" spans="1:11" ht="30" customHeight="1" x14ac:dyDescent="0.25">
      <c r="A1063" s="25" t="str">
        <f>IF(Table1[[#This Row],[Name of Student]]="","",ROWS($A$1:A1059))</f>
        <v/>
      </c>
      <c r="B1063" s="26" t="str">
        <f>IF('Paste SD Data'!A1060="","",'Paste SD Data'!A1060)</f>
        <v/>
      </c>
      <c r="C1063" s="26" t="str">
        <f>IF('Paste SD Data'!B1060="","",'Paste SD Data'!B1060)</f>
        <v/>
      </c>
      <c r="D1063" s="26" t="str">
        <f>IF('Paste SD Data'!C1060="","",'Paste SD Data'!C1060)</f>
        <v/>
      </c>
      <c r="E1063" s="27" t="str">
        <f>IF('Paste SD Data'!E1060="","",UPPER('Paste SD Data'!E1060))</f>
        <v/>
      </c>
      <c r="F1063" s="27" t="str">
        <f>IF('Paste SD Data'!G1060="","",UPPER('Paste SD Data'!G1060))</f>
        <v/>
      </c>
      <c r="G1063" s="27" t="str">
        <f>IF('Paste SD Data'!H1060="","",UPPER('Paste SD Data'!H1060))</f>
        <v/>
      </c>
      <c r="H1063" s="26" t="str">
        <f>IF('Paste SD Data'!I1060="","",IF('Paste SD Data'!I1060="M","BOY","GIRL"))</f>
        <v/>
      </c>
      <c r="I1063" s="28" t="str">
        <f>IF('Paste SD Data'!J1060="","",'Paste SD Data'!J1060)</f>
        <v/>
      </c>
      <c r="J1063" s="34">
        <f t="shared" si="16"/>
        <v>1489</v>
      </c>
      <c r="K1063" s="29" t="str">
        <f>IF('Paste SD Data'!O1060="","",'Paste SD Data'!O1060)</f>
        <v/>
      </c>
    </row>
    <row r="1064" spans="1:11" ht="30" customHeight="1" x14ac:dyDescent="0.25">
      <c r="A1064" s="25" t="str">
        <f>IF(Table1[[#This Row],[Name of Student]]="","",ROWS($A$1:A1060))</f>
        <v/>
      </c>
      <c r="B1064" s="26" t="str">
        <f>IF('Paste SD Data'!A1061="","",'Paste SD Data'!A1061)</f>
        <v/>
      </c>
      <c r="C1064" s="26" t="str">
        <f>IF('Paste SD Data'!B1061="","",'Paste SD Data'!B1061)</f>
        <v/>
      </c>
      <c r="D1064" s="26" t="str">
        <f>IF('Paste SD Data'!C1061="","",'Paste SD Data'!C1061)</f>
        <v/>
      </c>
      <c r="E1064" s="27" t="str">
        <f>IF('Paste SD Data'!E1061="","",UPPER('Paste SD Data'!E1061))</f>
        <v/>
      </c>
      <c r="F1064" s="27" t="str">
        <f>IF('Paste SD Data'!G1061="","",UPPER('Paste SD Data'!G1061))</f>
        <v/>
      </c>
      <c r="G1064" s="27" t="str">
        <f>IF('Paste SD Data'!H1061="","",UPPER('Paste SD Data'!H1061))</f>
        <v/>
      </c>
      <c r="H1064" s="26" t="str">
        <f>IF('Paste SD Data'!I1061="","",IF('Paste SD Data'!I1061="M","BOY","GIRL"))</f>
        <v/>
      </c>
      <c r="I1064" s="28" t="str">
        <f>IF('Paste SD Data'!J1061="","",'Paste SD Data'!J1061)</f>
        <v/>
      </c>
      <c r="J1064" s="34">
        <f t="shared" si="16"/>
        <v>1490</v>
      </c>
      <c r="K1064" s="29" t="str">
        <f>IF('Paste SD Data'!O1061="","",'Paste SD Data'!O1061)</f>
        <v/>
      </c>
    </row>
    <row r="1065" spans="1:11" ht="30" customHeight="1" x14ac:dyDescent="0.25">
      <c r="A1065" s="25" t="str">
        <f>IF(Table1[[#This Row],[Name of Student]]="","",ROWS($A$1:A1061))</f>
        <v/>
      </c>
      <c r="B1065" s="26" t="str">
        <f>IF('Paste SD Data'!A1062="","",'Paste SD Data'!A1062)</f>
        <v/>
      </c>
      <c r="C1065" s="26" t="str">
        <f>IF('Paste SD Data'!B1062="","",'Paste SD Data'!B1062)</f>
        <v/>
      </c>
      <c r="D1065" s="26" t="str">
        <f>IF('Paste SD Data'!C1062="","",'Paste SD Data'!C1062)</f>
        <v/>
      </c>
      <c r="E1065" s="27" t="str">
        <f>IF('Paste SD Data'!E1062="","",UPPER('Paste SD Data'!E1062))</f>
        <v/>
      </c>
      <c r="F1065" s="27" t="str">
        <f>IF('Paste SD Data'!G1062="","",UPPER('Paste SD Data'!G1062))</f>
        <v/>
      </c>
      <c r="G1065" s="27" t="str">
        <f>IF('Paste SD Data'!H1062="","",UPPER('Paste SD Data'!H1062))</f>
        <v/>
      </c>
      <c r="H1065" s="26" t="str">
        <f>IF('Paste SD Data'!I1062="","",IF('Paste SD Data'!I1062="M","BOY","GIRL"))</f>
        <v/>
      </c>
      <c r="I1065" s="28" t="str">
        <f>IF('Paste SD Data'!J1062="","",'Paste SD Data'!J1062)</f>
        <v/>
      </c>
      <c r="J1065" s="34">
        <f t="shared" si="16"/>
        <v>1491</v>
      </c>
      <c r="K1065" s="29" t="str">
        <f>IF('Paste SD Data'!O1062="","",'Paste SD Data'!O1062)</f>
        <v/>
      </c>
    </row>
    <row r="1066" spans="1:11" ht="30" customHeight="1" x14ac:dyDescent="0.25">
      <c r="A1066" s="25" t="str">
        <f>IF(Table1[[#This Row],[Name of Student]]="","",ROWS($A$1:A1062))</f>
        <v/>
      </c>
      <c r="B1066" s="26" t="str">
        <f>IF('Paste SD Data'!A1063="","",'Paste SD Data'!A1063)</f>
        <v/>
      </c>
      <c r="C1066" s="26" t="str">
        <f>IF('Paste SD Data'!B1063="","",'Paste SD Data'!B1063)</f>
        <v/>
      </c>
      <c r="D1066" s="26" t="str">
        <f>IF('Paste SD Data'!C1063="","",'Paste SD Data'!C1063)</f>
        <v/>
      </c>
      <c r="E1066" s="27" t="str">
        <f>IF('Paste SD Data'!E1063="","",UPPER('Paste SD Data'!E1063))</f>
        <v/>
      </c>
      <c r="F1066" s="27" t="str">
        <f>IF('Paste SD Data'!G1063="","",UPPER('Paste SD Data'!G1063))</f>
        <v/>
      </c>
      <c r="G1066" s="27" t="str">
        <f>IF('Paste SD Data'!H1063="","",UPPER('Paste SD Data'!H1063))</f>
        <v/>
      </c>
      <c r="H1066" s="26" t="str">
        <f>IF('Paste SD Data'!I1063="","",IF('Paste SD Data'!I1063="M","BOY","GIRL"))</f>
        <v/>
      </c>
      <c r="I1066" s="28" t="str">
        <f>IF('Paste SD Data'!J1063="","",'Paste SD Data'!J1063)</f>
        <v/>
      </c>
      <c r="J1066" s="34">
        <f t="shared" si="16"/>
        <v>1492</v>
      </c>
      <c r="K1066" s="29" t="str">
        <f>IF('Paste SD Data'!O1063="","",'Paste SD Data'!O1063)</f>
        <v/>
      </c>
    </row>
    <row r="1067" spans="1:11" ht="30" customHeight="1" x14ac:dyDescent="0.25">
      <c r="A1067" s="25" t="str">
        <f>IF(Table1[[#This Row],[Name of Student]]="","",ROWS($A$1:A1063))</f>
        <v/>
      </c>
      <c r="B1067" s="26" t="str">
        <f>IF('Paste SD Data'!A1064="","",'Paste SD Data'!A1064)</f>
        <v/>
      </c>
      <c r="C1067" s="26" t="str">
        <f>IF('Paste SD Data'!B1064="","",'Paste SD Data'!B1064)</f>
        <v/>
      </c>
      <c r="D1067" s="26" t="str">
        <f>IF('Paste SD Data'!C1064="","",'Paste SD Data'!C1064)</f>
        <v/>
      </c>
      <c r="E1067" s="27" t="str">
        <f>IF('Paste SD Data'!E1064="","",UPPER('Paste SD Data'!E1064))</f>
        <v/>
      </c>
      <c r="F1067" s="27" t="str">
        <f>IF('Paste SD Data'!G1064="","",UPPER('Paste SD Data'!G1064))</f>
        <v/>
      </c>
      <c r="G1067" s="27" t="str">
        <f>IF('Paste SD Data'!H1064="","",UPPER('Paste SD Data'!H1064))</f>
        <v/>
      </c>
      <c r="H1067" s="26" t="str">
        <f>IF('Paste SD Data'!I1064="","",IF('Paste SD Data'!I1064="M","BOY","GIRL"))</f>
        <v/>
      </c>
      <c r="I1067" s="28" t="str">
        <f>IF('Paste SD Data'!J1064="","",'Paste SD Data'!J1064)</f>
        <v/>
      </c>
      <c r="J1067" s="34">
        <f t="shared" si="16"/>
        <v>1493</v>
      </c>
      <c r="K1067" s="29" t="str">
        <f>IF('Paste SD Data'!O1064="","",'Paste SD Data'!O1064)</f>
        <v/>
      </c>
    </row>
    <row r="1068" spans="1:11" ht="30" customHeight="1" x14ac:dyDescent="0.25">
      <c r="A1068" s="25" t="str">
        <f>IF(Table1[[#This Row],[Name of Student]]="","",ROWS($A$1:A1064))</f>
        <v/>
      </c>
      <c r="B1068" s="26" t="str">
        <f>IF('Paste SD Data'!A1065="","",'Paste SD Data'!A1065)</f>
        <v/>
      </c>
      <c r="C1068" s="26" t="str">
        <f>IF('Paste SD Data'!B1065="","",'Paste SD Data'!B1065)</f>
        <v/>
      </c>
      <c r="D1068" s="26" t="str">
        <f>IF('Paste SD Data'!C1065="","",'Paste SD Data'!C1065)</f>
        <v/>
      </c>
      <c r="E1068" s="27" t="str">
        <f>IF('Paste SD Data'!E1065="","",UPPER('Paste SD Data'!E1065))</f>
        <v/>
      </c>
      <c r="F1068" s="27" t="str">
        <f>IF('Paste SD Data'!G1065="","",UPPER('Paste SD Data'!G1065))</f>
        <v/>
      </c>
      <c r="G1068" s="27" t="str">
        <f>IF('Paste SD Data'!H1065="","",UPPER('Paste SD Data'!H1065))</f>
        <v/>
      </c>
      <c r="H1068" s="26" t="str">
        <f>IF('Paste SD Data'!I1065="","",IF('Paste SD Data'!I1065="M","BOY","GIRL"))</f>
        <v/>
      </c>
      <c r="I1068" s="28" t="str">
        <f>IF('Paste SD Data'!J1065="","",'Paste SD Data'!J1065)</f>
        <v/>
      </c>
      <c r="J1068" s="34">
        <f t="shared" si="16"/>
        <v>1494</v>
      </c>
      <c r="K1068" s="29" t="str">
        <f>IF('Paste SD Data'!O1065="","",'Paste SD Data'!O1065)</f>
        <v/>
      </c>
    </row>
    <row r="1069" spans="1:11" ht="30" customHeight="1" x14ac:dyDescent="0.25">
      <c r="A1069" s="25" t="str">
        <f>IF(Table1[[#This Row],[Name of Student]]="","",ROWS($A$1:A1065))</f>
        <v/>
      </c>
      <c r="B1069" s="26" t="str">
        <f>IF('Paste SD Data'!A1066="","",'Paste SD Data'!A1066)</f>
        <v/>
      </c>
      <c r="C1069" s="26" t="str">
        <f>IF('Paste SD Data'!B1066="","",'Paste SD Data'!B1066)</f>
        <v/>
      </c>
      <c r="D1069" s="26" t="str">
        <f>IF('Paste SD Data'!C1066="","",'Paste SD Data'!C1066)</f>
        <v/>
      </c>
      <c r="E1069" s="27" t="str">
        <f>IF('Paste SD Data'!E1066="","",UPPER('Paste SD Data'!E1066))</f>
        <v/>
      </c>
      <c r="F1069" s="27" t="str">
        <f>IF('Paste SD Data'!G1066="","",UPPER('Paste SD Data'!G1066))</f>
        <v/>
      </c>
      <c r="G1069" s="27" t="str">
        <f>IF('Paste SD Data'!H1066="","",UPPER('Paste SD Data'!H1066))</f>
        <v/>
      </c>
      <c r="H1069" s="26" t="str">
        <f>IF('Paste SD Data'!I1066="","",IF('Paste SD Data'!I1066="M","BOY","GIRL"))</f>
        <v/>
      </c>
      <c r="I1069" s="28" t="str">
        <f>IF('Paste SD Data'!J1066="","",'Paste SD Data'!J1066)</f>
        <v/>
      </c>
      <c r="J1069" s="34">
        <f t="shared" si="16"/>
        <v>1495</v>
      </c>
      <c r="K1069" s="29" t="str">
        <f>IF('Paste SD Data'!O1066="","",'Paste SD Data'!O1066)</f>
        <v/>
      </c>
    </row>
    <row r="1070" spans="1:11" ht="30" customHeight="1" x14ac:dyDescent="0.25">
      <c r="A1070" s="25" t="str">
        <f>IF(Table1[[#This Row],[Name of Student]]="","",ROWS($A$1:A1066))</f>
        <v/>
      </c>
      <c r="B1070" s="26" t="str">
        <f>IF('Paste SD Data'!A1067="","",'Paste SD Data'!A1067)</f>
        <v/>
      </c>
      <c r="C1070" s="26" t="str">
        <f>IF('Paste SD Data'!B1067="","",'Paste SD Data'!B1067)</f>
        <v/>
      </c>
      <c r="D1070" s="26" t="str">
        <f>IF('Paste SD Data'!C1067="","",'Paste SD Data'!C1067)</f>
        <v/>
      </c>
      <c r="E1070" s="27" t="str">
        <f>IF('Paste SD Data'!E1067="","",UPPER('Paste SD Data'!E1067))</f>
        <v/>
      </c>
      <c r="F1070" s="27" t="str">
        <f>IF('Paste SD Data'!G1067="","",UPPER('Paste SD Data'!G1067))</f>
        <v/>
      </c>
      <c r="G1070" s="27" t="str">
        <f>IF('Paste SD Data'!H1067="","",UPPER('Paste SD Data'!H1067))</f>
        <v/>
      </c>
      <c r="H1070" s="26" t="str">
        <f>IF('Paste SD Data'!I1067="","",IF('Paste SD Data'!I1067="M","BOY","GIRL"))</f>
        <v/>
      </c>
      <c r="I1070" s="28" t="str">
        <f>IF('Paste SD Data'!J1067="","",'Paste SD Data'!J1067)</f>
        <v/>
      </c>
      <c r="J1070" s="34">
        <f t="shared" si="16"/>
        <v>1496</v>
      </c>
      <c r="K1070" s="29" t="str">
        <f>IF('Paste SD Data'!O1067="","",'Paste SD Data'!O1067)</f>
        <v/>
      </c>
    </row>
    <row r="1071" spans="1:11" ht="30" customHeight="1" x14ac:dyDescent="0.25">
      <c r="A1071" s="25" t="str">
        <f>IF(Table1[[#This Row],[Name of Student]]="","",ROWS($A$1:A1067))</f>
        <v/>
      </c>
      <c r="B1071" s="26" t="str">
        <f>IF('Paste SD Data'!A1068="","",'Paste SD Data'!A1068)</f>
        <v/>
      </c>
      <c r="C1071" s="26" t="str">
        <f>IF('Paste SD Data'!B1068="","",'Paste SD Data'!B1068)</f>
        <v/>
      </c>
      <c r="D1071" s="26" t="str">
        <f>IF('Paste SD Data'!C1068="","",'Paste SD Data'!C1068)</f>
        <v/>
      </c>
      <c r="E1071" s="27" t="str">
        <f>IF('Paste SD Data'!E1068="","",UPPER('Paste SD Data'!E1068))</f>
        <v/>
      </c>
      <c r="F1071" s="27" t="str">
        <f>IF('Paste SD Data'!G1068="","",UPPER('Paste SD Data'!G1068))</f>
        <v/>
      </c>
      <c r="G1071" s="27" t="str">
        <f>IF('Paste SD Data'!H1068="","",UPPER('Paste SD Data'!H1068))</f>
        <v/>
      </c>
      <c r="H1071" s="26" t="str">
        <f>IF('Paste SD Data'!I1068="","",IF('Paste SD Data'!I1068="M","BOY","GIRL"))</f>
        <v/>
      </c>
      <c r="I1071" s="28" t="str">
        <f>IF('Paste SD Data'!J1068="","",'Paste SD Data'!J1068)</f>
        <v/>
      </c>
      <c r="J1071" s="34">
        <f t="shared" si="16"/>
        <v>1497</v>
      </c>
      <c r="K1071" s="29" t="str">
        <f>IF('Paste SD Data'!O1068="","",'Paste SD Data'!O1068)</f>
        <v/>
      </c>
    </row>
    <row r="1072" spans="1:11" ht="30" customHeight="1" x14ac:dyDescent="0.25">
      <c r="A1072" s="25" t="str">
        <f>IF(Table1[[#This Row],[Name of Student]]="","",ROWS($A$1:A1068))</f>
        <v/>
      </c>
      <c r="B1072" s="26" t="str">
        <f>IF('Paste SD Data'!A1069="","",'Paste SD Data'!A1069)</f>
        <v/>
      </c>
      <c r="C1072" s="26" t="str">
        <f>IF('Paste SD Data'!B1069="","",'Paste SD Data'!B1069)</f>
        <v/>
      </c>
      <c r="D1072" s="26" t="str">
        <f>IF('Paste SD Data'!C1069="","",'Paste SD Data'!C1069)</f>
        <v/>
      </c>
      <c r="E1072" s="27" t="str">
        <f>IF('Paste SD Data'!E1069="","",UPPER('Paste SD Data'!E1069))</f>
        <v/>
      </c>
      <c r="F1072" s="27" t="str">
        <f>IF('Paste SD Data'!G1069="","",UPPER('Paste SD Data'!G1069))</f>
        <v/>
      </c>
      <c r="G1072" s="27" t="str">
        <f>IF('Paste SD Data'!H1069="","",UPPER('Paste SD Data'!H1069))</f>
        <v/>
      </c>
      <c r="H1072" s="26" t="str">
        <f>IF('Paste SD Data'!I1069="","",IF('Paste SD Data'!I1069="M","BOY","GIRL"))</f>
        <v/>
      </c>
      <c r="I1072" s="28" t="str">
        <f>IF('Paste SD Data'!J1069="","",'Paste SD Data'!J1069)</f>
        <v/>
      </c>
      <c r="J1072" s="34">
        <f t="shared" si="16"/>
        <v>1498</v>
      </c>
      <c r="K1072" s="29" t="str">
        <f>IF('Paste SD Data'!O1069="","",'Paste SD Data'!O1069)</f>
        <v/>
      </c>
    </row>
    <row r="1073" spans="1:11" ht="30" customHeight="1" x14ac:dyDescent="0.25">
      <c r="A1073" s="25" t="str">
        <f>IF(Table1[[#This Row],[Name of Student]]="","",ROWS($A$1:A1069))</f>
        <v/>
      </c>
      <c r="B1073" s="26" t="str">
        <f>IF('Paste SD Data'!A1070="","",'Paste SD Data'!A1070)</f>
        <v/>
      </c>
      <c r="C1073" s="26" t="str">
        <f>IF('Paste SD Data'!B1070="","",'Paste SD Data'!B1070)</f>
        <v/>
      </c>
      <c r="D1073" s="26" t="str">
        <f>IF('Paste SD Data'!C1070="","",'Paste SD Data'!C1070)</f>
        <v/>
      </c>
      <c r="E1073" s="27" t="str">
        <f>IF('Paste SD Data'!E1070="","",UPPER('Paste SD Data'!E1070))</f>
        <v/>
      </c>
      <c r="F1073" s="27" t="str">
        <f>IF('Paste SD Data'!G1070="","",UPPER('Paste SD Data'!G1070))</f>
        <v/>
      </c>
      <c r="G1073" s="27" t="str">
        <f>IF('Paste SD Data'!H1070="","",UPPER('Paste SD Data'!H1070))</f>
        <v/>
      </c>
      <c r="H1073" s="26" t="str">
        <f>IF('Paste SD Data'!I1070="","",IF('Paste SD Data'!I1070="M","BOY","GIRL"))</f>
        <v/>
      </c>
      <c r="I1073" s="28" t="str">
        <f>IF('Paste SD Data'!J1070="","",'Paste SD Data'!J1070)</f>
        <v/>
      </c>
      <c r="J1073" s="34">
        <f t="shared" si="16"/>
        <v>1499</v>
      </c>
      <c r="K1073" s="29" t="str">
        <f>IF('Paste SD Data'!O1070="","",'Paste SD Data'!O1070)</f>
        <v/>
      </c>
    </row>
    <row r="1074" spans="1:11" ht="30" customHeight="1" x14ac:dyDescent="0.25">
      <c r="A1074" s="25" t="str">
        <f>IF(Table1[[#This Row],[Name of Student]]="","",ROWS($A$1:A1070))</f>
        <v/>
      </c>
      <c r="B1074" s="26" t="str">
        <f>IF('Paste SD Data'!A1071="","",'Paste SD Data'!A1071)</f>
        <v/>
      </c>
      <c r="C1074" s="26" t="str">
        <f>IF('Paste SD Data'!B1071="","",'Paste SD Data'!B1071)</f>
        <v/>
      </c>
      <c r="D1074" s="26" t="str">
        <f>IF('Paste SD Data'!C1071="","",'Paste SD Data'!C1071)</f>
        <v/>
      </c>
      <c r="E1074" s="27" t="str">
        <f>IF('Paste SD Data'!E1071="","",UPPER('Paste SD Data'!E1071))</f>
        <v/>
      </c>
      <c r="F1074" s="27" t="str">
        <f>IF('Paste SD Data'!G1071="","",UPPER('Paste SD Data'!G1071))</f>
        <v/>
      </c>
      <c r="G1074" s="27" t="str">
        <f>IF('Paste SD Data'!H1071="","",UPPER('Paste SD Data'!H1071))</f>
        <v/>
      </c>
      <c r="H1074" s="26" t="str">
        <f>IF('Paste SD Data'!I1071="","",IF('Paste SD Data'!I1071="M","BOY","GIRL"))</f>
        <v/>
      </c>
      <c r="I1074" s="28" t="str">
        <f>IF('Paste SD Data'!J1071="","",'Paste SD Data'!J1071)</f>
        <v/>
      </c>
      <c r="J1074" s="34">
        <f t="shared" si="16"/>
        <v>1500</v>
      </c>
      <c r="K1074" s="29" t="str">
        <f>IF('Paste SD Data'!O1071="","",'Paste SD Data'!O1071)</f>
        <v/>
      </c>
    </row>
    <row r="1075" spans="1:11" ht="30" customHeight="1" x14ac:dyDescent="0.25">
      <c r="A1075" s="25" t="str">
        <f>IF(Table1[[#This Row],[Name of Student]]="","",ROWS($A$1:A1071))</f>
        <v/>
      </c>
      <c r="B1075" s="26" t="str">
        <f>IF('Paste SD Data'!A1072="","",'Paste SD Data'!A1072)</f>
        <v/>
      </c>
      <c r="C1075" s="26" t="str">
        <f>IF('Paste SD Data'!B1072="","",'Paste SD Data'!B1072)</f>
        <v/>
      </c>
      <c r="D1075" s="26" t="str">
        <f>IF('Paste SD Data'!C1072="","",'Paste SD Data'!C1072)</f>
        <v/>
      </c>
      <c r="E1075" s="27" t="str">
        <f>IF('Paste SD Data'!E1072="","",UPPER('Paste SD Data'!E1072))</f>
        <v/>
      </c>
      <c r="F1075" s="27" t="str">
        <f>IF('Paste SD Data'!G1072="","",UPPER('Paste SD Data'!G1072))</f>
        <v/>
      </c>
      <c r="G1075" s="27" t="str">
        <f>IF('Paste SD Data'!H1072="","",UPPER('Paste SD Data'!H1072))</f>
        <v/>
      </c>
      <c r="H1075" s="26" t="str">
        <f>IF('Paste SD Data'!I1072="","",IF('Paste SD Data'!I1072="M","BOY","GIRL"))</f>
        <v/>
      </c>
      <c r="I1075" s="28" t="str">
        <f>IF('Paste SD Data'!J1072="","",'Paste SD Data'!J1072)</f>
        <v/>
      </c>
      <c r="J1075" s="34">
        <f t="shared" si="16"/>
        <v>1501</v>
      </c>
      <c r="K1075" s="29" t="str">
        <f>IF('Paste SD Data'!O1072="","",'Paste SD Data'!O1072)</f>
        <v/>
      </c>
    </row>
    <row r="1076" spans="1:11" ht="30" customHeight="1" x14ac:dyDescent="0.25">
      <c r="A1076" s="25" t="str">
        <f>IF(Table1[[#This Row],[Name of Student]]="","",ROWS($A$1:A1072))</f>
        <v/>
      </c>
      <c r="B1076" s="26" t="str">
        <f>IF('Paste SD Data'!A1073="","",'Paste SD Data'!A1073)</f>
        <v/>
      </c>
      <c r="C1076" s="26" t="str">
        <f>IF('Paste SD Data'!B1073="","",'Paste SD Data'!B1073)</f>
        <v/>
      </c>
      <c r="D1076" s="26" t="str">
        <f>IF('Paste SD Data'!C1073="","",'Paste SD Data'!C1073)</f>
        <v/>
      </c>
      <c r="E1076" s="27" t="str">
        <f>IF('Paste SD Data'!E1073="","",UPPER('Paste SD Data'!E1073))</f>
        <v/>
      </c>
      <c r="F1076" s="27" t="str">
        <f>IF('Paste SD Data'!G1073="","",UPPER('Paste SD Data'!G1073))</f>
        <v/>
      </c>
      <c r="G1076" s="27" t="str">
        <f>IF('Paste SD Data'!H1073="","",UPPER('Paste SD Data'!H1073))</f>
        <v/>
      </c>
      <c r="H1076" s="26" t="str">
        <f>IF('Paste SD Data'!I1073="","",IF('Paste SD Data'!I1073="M","BOY","GIRL"))</f>
        <v/>
      </c>
      <c r="I1076" s="28" t="str">
        <f>IF('Paste SD Data'!J1073="","",'Paste SD Data'!J1073)</f>
        <v/>
      </c>
      <c r="J1076" s="34">
        <f t="shared" si="16"/>
        <v>1502</v>
      </c>
      <c r="K1076" s="29" t="str">
        <f>IF('Paste SD Data'!O1073="","",'Paste SD Data'!O1073)</f>
        <v/>
      </c>
    </row>
    <row r="1077" spans="1:11" ht="30" customHeight="1" x14ac:dyDescent="0.25">
      <c r="A1077" s="25" t="str">
        <f>IF(Table1[[#This Row],[Name of Student]]="","",ROWS($A$1:A1073))</f>
        <v/>
      </c>
      <c r="B1077" s="26" t="str">
        <f>IF('Paste SD Data'!A1074="","",'Paste SD Data'!A1074)</f>
        <v/>
      </c>
      <c r="C1077" s="26" t="str">
        <f>IF('Paste SD Data'!B1074="","",'Paste SD Data'!B1074)</f>
        <v/>
      </c>
      <c r="D1077" s="26" t="str">
        <f>IF('Paste SD Data'!C1074="","",'Paste SD Data'!C1074)</f>
        <v/>
      </c>
      <c r="E1077" s="27" t="str">
        <f>IF('Paste SD Data'!E1074="","",UPPER('Paste SD Data'!E1074))</f>
        <v/>
      </c>
      <c r="F1077" s="27" t="str">
        <f>IF('Paste SD Data'!G1074="","",UPPER('Paste SD Data'!G1074))</f>
        <v/>
      </c>
      <c r="G1077" s="27" t="str">
        <f>IF('Paste SD Data'!H1074="","",UPPER('Paste SD Data'!H1074))</f>
        <v/>
      </c>
      <c r="H1077" s="26" t="str">
        <f>IF('Paste SD Data'!I1074="","",IF('Paste SD Data'!I1074="M","BOY","GIRL"))</f>
        <v/>
      </c>
      <c r="I1077" s="28" t="str">
        <f>IF('Paste SD Data'!J1074="","",'Paste SD Data'!J1074)</f>
        <v/>
      </c>
      <c r="J1077" s="34">
        <f t="shared" si="16"/>
        <v>1503</v>
      </c>
      <c r="K1077" s="29" t="str">
        <f>IF('Paste SD Data'!O1074="","",'Paste SD Data'!O1074)</f>
        <v/>
      </c>
    </row>
    <row r="1078" spans="1:11" ht="30" customHeight="1" x14ac:dyDescent="0.25">
      <c r="A1078" s="25" t="str">
        <f>IF(Table1[[#This Row],[Name of Student]]="","",ROWS($A$1:A1074))</f>
        <v/>
      </c>
      <c r="B1078" s="26" t="str">
        <f>IF('Paste SD Data'!A1075="","",'Paste SD Data'!A1075)</f>
        <v/>
      </c>
      <c r="C1078" s="26" t="str">
        <f>IF('Paste SD Data'!B1075="","",'Paste SD Data'!B1075)</f>
        <v/>
      </c>
      <c r="D1078" s="26" t="str">
        <f>IF('Paste SD Data'!C1075="","",'Paste SD Data'!C1075)</f>
        <v/>
      </c>
      <c r="E1078" s="27" t="str">
        <f>IF('Paste SD Data'!E1075="","",UPPER('Paste SD Data'!E1075))</f>
        <v/>
      </c>
      <c r="F1078" s="27" t="str">
        <f>IF('Paste SD Data'!G1075="","",UPPER('Paste SD Data'!G1075))</f>
        <v/>
      </c>
      <c r="G1078" s="27" t="str">
        <f>IF('Paste SD Data'!H1075="","",UPPER('Paste SD Data'!H1075))</f>
        <v/>
      </c>
      <c r="H1078" s="26" t="str">
        <f>IF('Paste SD Data'!I1075="","",IF('Paste SD Data'!I1075="M","BOY","GIRL"))</f>
        <v/>
      </c>
      <c r="I1078" s="28" t="str">
        <f>IF('Paste SD Data'!J1075="","",'Paste SD Data'!J1075)</f>
        <v/>
      </c>
      <c r="J1078" s="34">
        <f t="shared" si="16"/>
        <v>1504</v>
      </c>
      <c r="K1078" s="29" t="str">
        <f>IF('Paste SD Data'!O1075="","",'Paste SD Data'!O1075)</f>
        <v/>
      </c>
    </row>
    <row r="1079" spans="1:11" ht="30" customHeight="1" x14ac:dyDescent="0.25">
      <c r="A1079" s="25" t="str">
        <f>IF(Table1[[#This Row],[Name of Student]]="","",ROWS($A$1:A1075))</f>
        <v/>
      </c>
      <c r="B1079" s="26" t="str">
        <f>IF('Paste SD Data'!A1076="","",'Paste SD Data'!A1076)</f>
        <v/>
      </c>
      <c r="C1079" s="26" t="str">
        <f>IF('Paste SD Data'!B1076="","",'Paste SD Data'!B1076)</f>
        <v/>
      </c>
      <c r="D1079" s="26" t="str">
        <f>IF('Paste SD Data'!C1076="","",'Paste SD Data'!C1076)</f>
        <v/>
      </c>
      <c r="E1079" s="27" t="str">
        <f>IF('Paste SD Data'!E1076="","",UPPER('Paste SD Data'!E1076))</f>
        <v/>
      </c>
      <c r="F1079" s="27" t="str">
        <f>IF('Paste SD Data'!G1076="","",UPPER('Paste SD Data'!G1076))</f>
        <v/>
      </c>
      <c r="G1079" s="27" t="str">
        <f>IF('Paste SD Data'!H1076="","",UPPER('Paste SD Data'!H1076))</f>
        <v/>
      </c>
      <c r="H1079" s="26" t="str">
        <f>IF('Paste SD Data'!I1076="","",IF('Paste SD Data'!I1076="M","BOY","GIRL"))</f>
        <v/>
      </c>
      <c r="I1079" s="28" t="str">
        <f>IF('Paste SD Data'!J1076="","",'Paste SD Data'!J1076)</f>
        <v/>
      </c>
      <c r="J1079" s="34">
        <f t="shared" si="16"/>
        <v>1505</v>
      </c>
      <c r="K1079" s="29" t="str">
        <f>IF('Paste SD Data'!O1076="","",'Paste SD Data'!O1076)</f>
        <v/>
      </c>
    </row>
    <row r="1080" spans="1:11" ht="30" customHeight="1" x14ac:dyDescent="0.25">
      <c r="A1080" s="25" t="str">
        <f>IF(Table1[[#This Row],[Name of Student]]="","",ROWS($A$1:A1076))</f>
        <v/>
      </c>
      <c r="B1080" s="26" t="str">
        <f>IF('Paste SD Data'!A1077="","",'Paste SD Data'!A1077)</f>
        <v/>
      </c>
      <c r="C1080" s="26" t="str">
        <f>IF('Paste SD Data'!B1077="","",'Paste SD Data'!B1077)</f>
        <v/>
      </c>
      <c r="D1080" s="26" t="str">
        <f>IF('Paste SD Data'!C1077="","",'Paste SD Data'!C1077)</f>
        <v/>
      </c>
      <c r="E1080" s="27" t="str">
        <f>IF('Paste SD Data'!E1077="","",UPPER('Paste SD Data'!E1077))</f>
        <v/>
      </c>
      <c r="F1080" s="27" t="str">
        <f>IF('Paste SD Data'!G1077="","",UPPER('Paste SD Data'!G1077))</f>
        <v/>
      </c>
      <c r="G1080" s="27" t="str">
        <f>IF('Paste SD Data'!H1077="","",UPPER('Paste SD Data'!H1077))</f>
        <v/>
      </c>
      <c r="H1080" s="26" t="str">
        <f>IF('Paste SD Data'!I1077="","",IF('Paste SD Data'!I1077="M","BOY","GIRL"))</f>
        <v/>
      </c>
      <c r="I1080" s="28" t="str">
        <f>IF('Paste SD Data'!J1077="","",'Paste SD Data'!J1077)</f>
        <v/>
      </c>
      <c r="J1080" s="34">
        <f t="shared" si="16"/>
        <v>1506</v>
      </c>
      <c r="K1080" s="29" t="str">
        <f>IF('Paste SD Data'!O1077="","",'Paste SD Data'!O1077)</f>
        <v/>
      </c>
    </row>
    <row r="1081" spans="1:11" ht="30" customHeight="1" x14ac:dyDescent="0.25">
      <c r="A1081" s="25" t="str">
        <f>IF(Table1[[#This Row],[Name of Student]]="","",ROWS($A$1:A1077))</f>
        <v/>
      </c>
      <c r="B1081" s="26" t="str">
        <f>IF('Paste SD Data'!A1078="","",'Paste SD Data'!A1078)</f>
        <v/>
      </c>
      <c r="C1081" s="26" t="str">
        <f>IF('Paste SD Data'!B1078="","",'Paste SD Data'!B1078)</f>
        <v/>
      </c>
      <c r="D1081" s="26" t="str">
        <f>IF('Paste SD Data'!C1078="","",'Paste SD Data'!C1078)</f>
        <v/>
      </c>
      <c r="E1081" s="27" t="str">
        <f>IF('Paste SD Data'!E1078="","",UPPER('Paste SD Data'!E1078))</f>
        <v/>
      </c>
      <c r="F1081" s="27" t="str">
        <f>IF('Paste SD Data'!G1078="","",UPPER('Paste SD Data'!G1078))</f>
        <v/>
      </c>
      <c r="G1081" s="27" t="str">
        <f>IF('Paste SD Data'!H1078="","",UPPER('Paste SD Data'!H1078))</f>
        <v/>
      </c>
      <c r="H1081" s="26" t="str">
        <f>IF('Paste SD Data'!I1078="","",IF('Paste SD Data'!I1078="M","BOY","GIRL"))</f>
        <v/>
      </c>
      <c r="I1081" s="28" t="str">
        <f>IF('Paste SD Data'!J1078="","",'Paste SD Data'!J1078)</f>
        <v/>
      </c>
      <c r="J1081" s="34">
        <f t="shared" si="16"/>
        <v>1507</v>
      </c>
      <c r="K1081" s="29" t="str">
        <f>IF('Paste SD Data'!O1078="","",'Paste SD Data'!O1078)</f>
        <v/>
      </c>
    </row>
    <row r="1082" spans="1:11" ht="30" customHeight="1" x14ac:dyDescent="0.25">
      <c r="A1082" s="25" t="str">
        <f>IF(Table1[[#This Row],[Name of Student]]="","",ROWS($A$1:A1078))</f>
        <v/>
      </c>
      <c r="B1082" s="26" t="str">
        <f>IF('Paste SD Data'!A1079="","",'Paste SD Data'!A1079)</f>
        <v/>
      </c>
      <c r="C1082" s="26" t="str">
        <f>IF('Paste SD Data'!B1079="","",'Paste SD Data'!B1079)</f>
        <v/>
      </c>
      <c r="D1082" s="26" t="str">
        <f>IF('Paste SD Data'!C1079="","",'Paste SD Data'!C1079)</f>
        <v/>
      </c>
      <c r="E1082" s="27" t="str">
        <f>IF('Paste SD Data'!E1079="","",UPPER('Paste SD Data'!E1079))</f>
        <v/>
      </c>
      <c r="F1082" s="27" t="str">
        <f>IF('Paste SD Data'!G1079="","",UPPER('Paste SD Data'!G1079))</f>
        <v/>
      </c>
      <c r="G1082" s="27" t="str">
        <f>IF('Paste SD Data'!H1079="","",UPPER('Paste SD Data'!H1079))</f>
        <v/>
      </c>
      <c r="H1082" s="26" t="str">
        <f>IF('Paste SD Data'!I1079="","",IF('Paste SD Data'!I1079="M","BOY","GIRL"))</f>
        <v/>
      </c>
      <c r="I1082" s="28" t="str">
        <f>IF('Paste SD Data'!J1079="","",'Paste SD Data'!J1079)</f>
        <v/>
      </c>
      <c r="J1082" s="34">
        <f t="shared" si="16"/>
        <v>1508</v>
      </c>
      <c r="K1082" s="29" t="str">
        <f>IF('Paste SD Data'!O1079="","",'Paste SD Data'!O1079)</f>
        <v/>
      </c>
    </row>
    <row r="1083" spans="1:11" ht="30" customHeight="1" x14ac:dyDescent="0.25">
      <c r="A1083" s="25" t="str">
        <f>IF(Table1[[#This Row],[Name of Student]]="","",ROWS($A$1:A1079))</f>
        <v/>
      </c>
      <c r="B1083" s="26" t="str">
        <f>IF('Paste SD Data'!A1080="","",'Paste SD Data'!A1080)</f>
        <v/>
      </c>
      <c r="C1083" s="26" t="str">
        <f>IF('Paste SD Data'!B1080="","",'Paste SD Data'!B1080)</f>
        <v/>
      </c>
      <c r="D1083" s="26" t="str">
        <f>IF('Paste SD Data'!C1080="","",'Paste SD Data'!C1080)</f>
        <v/>
      </c>
      <c r="E1083" s="27" t="str">
        <f>IF('Paste SD Data'!E1080="","",UPPER('Paste SD Data'!E1080))</f>
        <v/>
      </c>
      <c r="F1083" s="27" t="str">
        <f>IF('Paste SD Data'!G1080="","",UPPER('Paste SD Data'!G1080))</f>
        <v/>
      </c>
      <c r="G1083" s="27" t="str">
        <f>IF('Paste SD Data'!H1080="","",UPPER('Paste SD Data'!H1080))</f>
        <v/>
      </c>
      <c r="H1083" s="26" t="str">
        <f>IF('Paste SD Data'!I1080="","",IF('Paste SD Data'!I1080="M","BOY","GIRL"))</f>
        <v/>
      </c>
      <c r="I1083" s="28" t="str">
        <f>IF('Paste SD Data'!J1080="","",'Paste SD Data'!J1080)</f>
        <v/>
      </c>
      <c r="J1083" s="34">
        <f t="shared" si="16"/>
        <v>1509</v>
      </c>
      <c r="K1083" s="29" t="str">
        <f>IF('Paste SD Data'!O1080="","",'Paste SD Data'!O1080)</f>
        <v/>
      </c>
    </row>
    <row r="1084" spans="1:11" ht="30" customHeight="1" x14ac:dyDescent="0.25">
      <c r="A1084" s="25" t="str">
        <f>IF(Table1[[#This Row],[Name of Student]]="","",ROWS($A$1:A1080))</f>
        <v/>
      </c>
      <c r="B1084" s="26" t="str">
        <f>IF('Paste SD Data'!A1081="","",'Paste SD Data'!A1081)</f>
        <v/>
      </c>
      <c r="C1084" s="26" t="str">
        <f>IF('Paste SD Data'!B1081="","",'Paste SD Data'!B1081)</f>
        <v/>
      </c>
      <c r="D1084" s="26" t="str">
        <f>IF('Paste SD Data'!C1081="","",'Paste SD Data'!C1081)</f>
        <v/>
      </c>
      <c r="E1084" s="27" t="str">
        <f>IF('Paste SD Data'!E1081="","",UPPER('Paste SD Data'!E1081))</f>
        <v/>
      </c>
      <c r="F1084" s="27" t="str">
        <f>IF('Paste SD Data'!G1081="","",UPPER('Paste SD Data'!G1081))</f>
        <v/>
      </c>
      <c r="G1084" s="27" t="str">
        <f>IF('Paste SD Data'!H1081="","",UPPER('Paste SD Data'!H1081))</f>
        <v/>
      </c>
      <c r="H1084" s="26" t="str">
        <f>IF('Paste SD Data'!I1081="","",IF('Paste SD Data'!I1081="M","BOY","GIRL"))</f>
        <v/>
      </c>
      <c r="I1084" s="28" t="str">
        <f>IF('Paste SD Data'!J1081="","",'Paste SD Data'!J1081)</f>
        <v/>
      </c>
      <c r="J1084" s="34">
        <f t="shared" si="16"/>
        <v>1510</v>
      </c>
      <c r="K1084" s="29" t="str">
        <f>IF('Paste SD Data'!O1081="","",'Paste SD Data'!O1081)</f>
        <v/>
      </c>
    </row>
    <row r="1085" spans="1:11" ht="30" customHeight="1" x14ac:dyDescent="0.25">
      <c r="A1085" s="25" t="str">
        <f>IF(Table1[[#This Row],[Name of Student]]="","",ROWS($A$1:A1081))</f>
        <v/>
      </c>
      <c r="B1085" s="26" t="str">
        <f>IF('Paste SD Data'!A1082="","",'Paste SD Data'!A1082)</f>
        <v/>
      </c>
      <c r="C1085" s="26" t="str">
        <f>IF('Paste SD Data'!B1082="","",'Paste SD Data'!B1082)</f>
        <v/>
      </c>
      <c r="D1085" s="26" t="str">
        <f>IF('Paste SD Data'!C1082="","",'Paste SD Data'!C1082)</f>
        <v/>
      </c>
      <c r="E1085" s="27" t="str">
        <f>IF('Paste SD Data'!E1082="","",UPPER('Paste SD Data'!E1082))</f>
        <v/>
      </c>
      <c r="F1085" s="27" t="str">
        <f>IF('Paste SD Data'!G1082="","",UPPER('Paste SD Data'!G1082))</f>
        <v/>
      </c>
      <c r="G1085" s="27" t="str">
        <f>IF('Paste SD Data'!H1082="","",UPPER('Paste SD Data'!H1082))</f>
        <v/>
      </c>
      <c r="H1085" s="26" t="str">
        <f>IF('Paste SD Data'!I1082="","",IF('Paste SD Data'!I1082="M","BOY","GIRL"))</f>
        <v/>
      </c>
      <c r="I1085" s="28" t="str">
        <f>IF('Paste SD Data'!J1082="","",'Paste SD Data'!J1082)</f>
        <v/>
      </c>
      <c r="J1085" s="34">
        <f t="shared" si="16"/>
        <v>1511</v>
      </c>
      <c r="K1085" s="29" t="str">
        <f>IF('Paste SD Data'!O1082="","",'Paste SD Data'!O1082)</f>
        <v/>
      </c>
    </row>
    <row r="1086" spans="1:11" ht="30" customHeight="1" x14ac:dyDescent="0.25">
      <c r="A1086" s="25" t="str">
        <f>IF(Table1[[#This Row],[Name of Student]]="","",ROWS($A$1:A1082))</f>
        <v/>
      </c>
      <c r="B1086" s="26" t="str">
        <f>IF('Paste SD Data'!A1083="","",'Paste SD Data'!A1083)</f>
        <v/>
      </c>
      <c r="C1086" s="26" t="str">
        <f>IF('Paste SD Data'!B1083="","",'Paste SD Data'!B1083)</f>
        <v/>
      </c>
      <c r="D1086" s="26" t="str">
        <f>IF('Paste SD Data'!C1083="","",'Paste SD Data'!C1083)</f>
        <v/>
      </c>
      <c r="E1086" s="27" t="str">
        <f>IF('Paste SD Data'!E1083="","",UPPER('Paste SD Data'!E1083))</f>
        <v/>
      </c>
      <c r="F1086" s="27" t="str">
        <f>IF('Paste SD Data'!G1083="","",UPPER('Paste SD Data'!G1083))</f>
        <v/>
      </c>
      <c r="G1086" s="27" t="str">
        <f>IF('Paste SD Data'!H1083="","",UPPER('Paste SD Data'!H1083))</f>
        <v/>
      </c>
      <c r="H1086" s="26" t="str">
        <f>IF('Paste SD Data'!I1083="","",IF('Paste SD Data'!I1083="M","BOY","GIRL"))</f>
        <v/>
      </c>
      <c r="I1086" s="28" t="str">
        <f>IF('Paste SD Data'!J1083="","",'Paste SD Data'!J1083)</f>
        <v/>
      </c>
      <c r="J1086" s="34">
        <f t="shared" si="16"/>
        <v>1512</v>
      </c>
      <c r="K1086" s="29" t="str">
        <f>IF('Paste SD Data'!O1083="","",'Paste SD Data'!O1083)</f>
        <v/>
      </c>
    </row>
    <row r="1087" spans="1:11" ht="30" customHeight="1" x14ac:dyDescent="0.25">
      <c r="A1087" s="25" t="str">
        <f>IF(Table1[[#This Row],[Name of Student]]="","",ROWS($A$1:A1083))</f>
        <v/>
      </c>
      <c r="B1087" s="26" t="str">
        <f>IF('Paste SD Data'!A1084="","",'Paste SD Data'!A1084)</f>
        <v/>
      </c>
      <c r="C1087" s="26" t="str">
        <f>IF('Paste SD Data'!B1084="","",'Paste SD Data'!B1084)</f>
        <v/>
      </c>
      <c r="D1087" s="26" t="str">
        <f>IF('Paste SD Data'!C1084="","",'Paste SD Data'!C1084)</f>
        <v/>
      </c>
      <c r="E1087" s="27" t="str">
        <f>IF('Paste SD Data'!E1084="","",UPPER('Paste SD Data'!E1084))</f>
        <v/>
      </c>
      <c r="F1087" s="27" t="str">
        <f>IF('Paste SD Data'!G1084="","",UPPER('Paste SD Data'!G1084))</f>
        <v/>
      </c>
      <c r="G1087" s="27" t="str">
        <f>IF('Paste SD Data'!H1084="","",UPPER('Paste SD Data'!H1084))</f>
        <v/>
      </c>
      <c r="H1087" s="26" t="str">
        <f>IF('Paste SD Data'!I1084="","",IF('Paste SD Data'!I1084="M","BOY","GIRL"))</f>
        <v/>
      </c>
      <c r="I1087" s="28" t="str">
        <f>IF('Paste SD Data'!J1084="","",'Paste SD Data'!J1084)</f>
        <v/>
      </c>
      <c r="J1087" s="34">
        <f t="shared" si="16"/>
        <v>1513</v>
      </c>
      <c r="K1087" s="29" t="str">
        <f>IF('Paste SD Data'!O1084="","",'Paste SD Data'!O1084)</f>
        <v/>
      </c>
    </row>
    <row r="1088" spans="1:11" ht="30" customHeight="1" x14ac:dyDescent="0.25">
      <c r="A1088" s="25" t="str">
        <f>IF(Table1[[#This Row],[Name of Student]]="","",ROWS($A$1:A1084))</f>
        <v/>
      </c>
      <c r="B1088" s="26" t="str">
        <f>IF('Paste SD Data'!A1085="","",'Paste SD Data'!A1085)</f>
        <v/>
      </c>
      <c r="C1088" s="26" t="str">
        <f>IF('Paste SD Data'!B1085="","",'Paste SD Data'!B1085)</f>
        <v/>
      </c>
      <c r="D1088" s="26" t="str">
        <f>IF('Paste SD Data'!C1085="","",'Paste SD Data'!C1085)</f>
        <v/>
      </c>
      <c r="E1088" s="27" t="str">
        <f>IF('Paste SD Data'!E1085="","",UPPER('Paste SD Data'!E1085))</f>
        <v/>
      </c>
      <c r="F1088" s="27" t="str">
        <f>IF('Paste SD Data'!G1085="","",UPPER('Paste SD Data'!G1085))</f>
        <v/>
      </c>
      <c r="G1088" s="27" t="str">
        <f>IF('Paste SD Data'!H1085="","",UPPER('Paste SD Data'!H1085))</f>
        <v/>
      </c>
      <c r="H1088" s="26" t="str">
        <f>IF('Paste SD Data'!I1085="","",IF('Paste SD Data'!I1085="M","BOY","GIRL"))</f>
        <v/>
      </c>
      <c r="I1088" s="28" t="str">
        <f>IF('Paste SD Data'!J1085="","",'Paste SD Data'!J1085)</f>
        <v/>
      </c>
      <c r="J1088" s="34">
        <f t="shared" si="16"/>
        <v>1514</v>
      </c>
      <c r="K1088" s="29" t="str">
        <f>IF('Paste SD Data'!O1085="","",'Paste SD Data'!O1085)</f>
        <v/>
      </c>
    </row>
    <row r="1089" spans="1:11" ht="30" customHeight="1" x14ac:dyDescent="0.25">
      <c r="A1089" s="25" t="str">
        <f>IF(Table1[[#This Row],[Name of Student]]="","",ROWS($A$1:A1085))</f>
        <v/>
      </c>
      <c r="B1089" s="26" t="str">
        <f>IF('Paste SD Data'!A1086="","",'Paste SD Data'!A1086)</f>
        <v/>
      </c>
      <c r="C1089" s="26" t="str">
        <f>IF('Paste SD Data'!B1086="","",'Paste SD Data'!B1086)</f>
        <v/>
      </c>
      <c r="D1089" s="26" t="str">
        <f>IF('Paste SD Data'!C1086="","",'Paste SD Data'!C1086)</f>
        <v/>
      </c>
      <c r="E1089" s="27" t="str">
        <f>IF('Paste SD Data'!E1086="","",UPPER('Paste SD Data'!E1086))</f>
        <v/>
      </c>
      <c r="F1089" s="27" t="str">
        <f>IF('Paste SD Data'!G1086="","",UPPER('Paste SD Data'!G1086))</f>
        <v/>
      </c>
      <c r="G1089" s="27" t="str">
        <f>IF('Paste SD Data'!H1086="","",UPPER('Paste SD Data'!H1086))</f>
        <v/>
      </c>
      <c r="H1089" s="26" t="str">
        <f>IF('Paste SD Data'!I1086="","",IF('Paste SD Data'!I1086="M","BOY","GIRL"))</f>
        <v/>
      </c>
      <c r="I1089" s="28" t="str">
        <f>IF('Paste SD Data'!J1086="","",'Paste SD Data'!J1086)</f>
        <v/>
      </c>
      <c r="J1089" s="34">
        <f t="shared" si="16"/>
        <v>1515</v>
      </c>
      <c r="K1089" s="29" t="str">
        <f>IF('Paste SD Data'!O1086="","",'Paste SD Data'!O1086)</f>
        <v/>
      </c>
    </row>
    <row r="1090" spans="1:11" ht="30" customHeight="1" x14ac:dyDescent="0.25">
      <c r="A1090" s="25" t="str">
        <f>IF(Table1[[#This Row],[Name of Student]]="","",ROWS($A$1:A1086))</f>
        <v/>
      </c>
      <c r="B1090" s="26" t="str">
        <f>IF('Paste SD Data'!A1087="","",'Paste SD Data'!A1087)</f>
        <v/>
      </c>
      <c r="C1090" s="26" t="str">
        <f>IF('Paste SD Data'!B1087="","",'Paste SD Data'!B1087)</f>
        <v/>
      </c>
      <c r="D1090" s="26" t="str">
        <f>IF('Paste SD Data'!C1087="","",'Paste SD Data'!C1087)</f>
        <v/>
      </c>
      <c r="E1090" s="27" t="str">
        <f>IF('Paste SD Data'!E1087="","",UPPER('Paste SD Data'!E1087))</f>
        <v/>
      </c>
      <c r="F1090" s="27" t="str">
        <f>IF('Paste SD Data'!G1087="","",UPPER('Paste SD Data'!G1087))</f>
        <v/>
      </c>
      <c r="G1090" s="27" t="str">
        <f>IF('Paste SD Data'!H1087="","",UPPER('Paste SD Data'!H1087))</f>
        <v/>
      </c>
      <c r="H1090" s="26" t="str">
        <f>IF('Paste SD Data'!I1087="","",IF('Paste SD Data'!I1087="M","BOY","GIRL"))</f>
        <v/>
      </c>
      <c r="I1090" s="28" t="str">
        <f>IF('Paste SD Data'!J1087="","",'Paste SD Data'!J1087)</f>
        <v/>
      </c>
      <c r="J1090" s="34">
        <f t="shared" si="16"/>
        <v>1516</v>
      </c>
      <c r="K1090" s="29" t="str">
        <f>IF('Paste SD Data'!O1087="","",'Paste SD Data'!O1087)</f>
        <v/>
      </c>
    </row>
    <row r="1091" spans="1:11" ht="30" customHeight="1" x14ac:dyDescent="0.25">
      <c r="A1091" s="25" t="str">
        <f>IF(Table1[[#This Row],[Name of Student]]="","",ROWS($A$1:A1087))</f>
        <v/>
      </c>
      <c r="B1091" s="26" t="str">
        <f>IF('Paste SD Data'!A1088="","",'Paste SD Data'!A1088)</f>
        <v/>
      </c>
      <c r="C1091" s="26" t="str">
        <f>IF('Paste SD Data'!B1088="","",'Paste SD Data'!B1088)</f>
        <v/>
      </c>
      <c r="D1091" s="26" t="str">
        <f>IF('Paste SD Data'!C1088="","",'Paste SD Data'!C1088)</f>
        <v/>
      </c>
      <c r="E1091" s="27" t="str">
        <f>IF('Paste SD Data'!E1088="","",UPPER('Paste SD Data'!E1088))</f>
        <v/>
      </c>
      <c r="F1091" s="27" t="str">
        <f>IF('Paste SD Data'!G1088="","",UPPER('Paste SD Data'!G1088))</f>
        <v/>
      </c>
      <c r="G1091" s="27" t="str">
        <f>IF('Paste SD Data'!H1088="","",UPPER('Paste SD Data'!H1088))</f>
        <v/>
      </c>
      <c r="H1091" s="26" t="str">
        <f>IF('Paste SD Data'!I1088="","",IF('Paste SD Data'!I1088="M","BOY","GIRL"))</f>
        <v/>
      </c>
      <c r="I1091" s="28" t="str">
        <f>IF('Paste SD Data'!J1088="","",'Paste SD Data'!J1088)</f>
        <v/>
      </c>
      <c r="J1091" s="34">
        <f t="shared" si="16"/>
        <v>1517</v>
      </c>
      <c r="K1091" s="29" t="str">
        <f>IF('Paste SD Data'!O1088="","",'Paste SD Data'!O1088)</f>
        <v/>
      </c>
    </row>
    <row r="1092" spans="1:11" ht="30" customHeight="1" x14ac:dyDescent="0.25">
      <c r="A1092" s="25" t="str">
        <f>IF(Table1[[#This Row],[Name of Student]]="","",ROWS($A$1:A1088))</f>
        <v/>
      </c>
      <c r="B1092" s="26" t="str">
        <f>IF('Paste SD Data'!A1089="","",'Paste SD Data'!A1089)</f>
        <v/>
      </c>
      <c r="C1092" s="26" t="str">
        <f>IF('Paste SD Data'!B1089="","",'Paste SD Data'!B1089)</f>
        <v/>
      </c>
      <c r="D1092" s="26" t="str">
        <f>IF('Paste SD Data'!C1089="","",'Paste SD Data'!C1089)</f>
        <v/>
      </c>
      <c r="E1092" s="27" t="str">
        <f>IF('Paste SD Data'!E1089="","",UPPER('Paste SD Data'!E1089))</f>
        <v/>
      </c>
      <c r="F1092" s="27" t="str">
        <f>IF('Paste SD Data'!G1089="","",UPPER('Paste SD Data'!G1089))</f>
        <v/>
      </c>
      <c r="G1092" s="27" t="str">
        <f>IF('Paste SD Data'!H1089="","",UPPER('Paste SD Data'!H1089))</f>
        <v/>
      </c>
      <c r="H1092" s="26" t="str">
        <f>IF('Paste SD Data'!I1089="","",IF('Paste SD Data'!I1089="M","BOY","GIRL"))</f>
        <v/>
      </c>
      <c r="I1092" s="28" t="str">
        <f>IF('Paste SD Data'!J1089="","",'Paste SD Data'!J1089)</f>
        <v/>
      </c>
      <c r="J1092" s="34">
        <f t="shared" si="16"/>
        <v>1518</v>
      </c>
      <c r="K1092" s="29" t="str">
        <f>IF('Paste SD Data'!O1089="","",'Paste SD Data'!O1089)</f>
        <v/>
      </c>
    </row>
    <row r="1093" spans="1:11" ht="30" customHeight="1" x14ac:dyDescent="0.25">
      <c r="A1093" s="25" t="str">
        <f>IF(Table1[[#This Row],[Name of Student]]="","",ROWS($A$1:A1089))</f>
        <v/>
      </c>
      <c r="B1093" s="26" t="str">
        <f>IF('Paste SD Data'!A1090="","",'Paste SD Data'!A1090)</f>
        <v/>
      </c>
      <c r="C1093" s="26" t="str">
        <f>IF('Paste SD Data'!B1090="","",'Paste SD Data'!B1090)</f>
        <v/>
      </c>
      <c r="D1093" s="26" t="str">
        <f>IF('Paste SD Data'!C1090="","",'Paste SD Data'!C1090)</f>
        <v/>
      </c>
      <c r="E1093" s="27" t="str">
        <f>IF('Paste SD Data'!E1090="","",UPPER('Paste SD Data'!E1090))</f>
        <v/>
      </c>
      <c r="F1093" s="27" t="str">
        <f>IF('Paste SD Data'!G1090="","",UPPER('Paste SD Data'!G1090))</f>
        <v/>
      </c>
      <c r="G1093" s="27" t="str">
        <f>IF('Paste SD Data'!H1090="","",UPPER('Paste SD Data'!H1090))</f>
        <v/>
      </c>
      <c r="H1093" s="26" t="str">
        <f>IF('Paste SD Data'!I1090="","",IF('Paste SD Data'!I1090="M","BOY","GIRL"))</f>
        <v/>
      </c>
      <c r="I1093" s="28" t="str">
        <f>IF('Paste SD Data'!J1090="","",'Paste SD Data'!J1090)</f>
        <v/>
      </c>
      <c r="J1093" s="34">
        <f t="shared" si="16"/>
        <v>1519</v>
      </c>
      <c r="K1093" s="29" t="str">
        <f>IF('Paste SD Data'!O1090="","",'Paste SD Data'!O1090)</f>
        <v/>
      </c>
    </row>
    <row r="1094" spans="1:11" ht="30" customHeight="1" x14ac:dyDescent="0.25">
      <c r="A1094" s="25" t="str">
        <f>IF(Table1[[#This Row],[Name of Student]]="","",ROWS($A$1:A1090))</f>
        <v/>
      </c>
      <c r="B1094" s="26" t="str">
        <f>IF('Paste SD Data'!A1091="","",'Paste SD Data'!A1091)</f>
        <v/>
      </c>
      <c r="C1094" s="26" t="str">
        <f>IF('Paste SD Data'!B1091="","",'Paste SD Data'!B1091)</f>
        <v/>
      </c>
      <c r="D1094" s="26" t="str">
        <f>IF('Paste SD Data'!C1091="","",'Paste SD Data'!C1091)</f>
        <v/>
      </c>
      <c r="E1094" s="27" t="str">
        <f>IF('Paste SD Data'!E1091="","",UPPER('Paste SD Data'!E1091))</f>
        <v/>
      </c>
      <c r="F1094" s="27" t="str">
        <f>IF('Paste SD Data'!G1091="","",UPPER('Paste SD Data'!G1091))</f>
        <v/>
      </c>
      <c r="G1094" s="27" t="str">
        <f>IF('Paste SD Data'!H1091="","",UPPER('Paste SD Data'!H1091))</f>
        <v/>
      </c>
      <c r="H1094" s="26" t="str">
        <f>IF('Paste SD Data'!I1091="","",IF('Paste SD Data'!I1091="M","BOY","GIRL"))</f>
        <v/>
      </c>
      <c r="I1094" s="28" t="str">
        <f>IF('Paste SD Data'!J1091="","",'Paste SD Data'!J1091)</f>
        <v/>
      </c>
      <c r="J1094" s="34">
        <f t="shared" si="16"/>
        <v>1520</v>
      </c>
      <c r="K1094" s="29" t="str">
        <f>IF('Paste SD Data'!O1091="","",'Paste SD Data'!O1091)</f>
        <v/>
      </c>
    </row>
    <row r="1095" spans="1:11" ht="30" customHeight="1" x14ac:dyDescent="0.25">
      <c r="A1095" s="25" t="str">
        <f>IF(Table1[[#This Row],[Name of Student]]="","",ROWS($A$1:A1091))</f>
        <v/>
      </c>
      <c r="B1095" s="26" t="str">
        <f>IF('Paste SD Data'!A1092="","",'Paste SD Data'!A1092)</f>
        <v/>
      </c>
      <c r="C1095" s="26" t="str">
        <f>IF('Paste SD Data'!B1092="","",'Paste SD Data'!B1092)</f>
        <v/>
      </c>
      <c r="D1095" s="26" t="str">
        <f>IF('Paste SD Data'!C1092="","",'Paste SD Data'!C1092)</f>
        <v/>
      </c>
      <c r="E1095" s="27" t="str">
        <f>IF('Paste SD Data'!E1092="","",UPPER('Paste SD Data'!E1092))</f>
        <v/>
      </c>
      <c r="F1095" s="27" t="str">
        <f>IF('Paste SD Data'!G1092="","",UPPER('Paste SD Data'!G1092))</f>
        <v/>
      </c>
      <c r="G1095" s="27" t="str">
        <f>IF('Paste SD Data'!H1092="","",UPPER('Paste SD Data'!H1092))</f>
        <v/>
      </c>
      <c r="H1095" s="26" t="str">
        <f>IF('Paste SD Data'!I1092="","",IF('Paste SD Data'!I1092="M","BOY","GIRL"))</f>
        <v/>
      </c>
      <c r="I1095" s="28" t="str">
        <f>IF('Paste SD Data'!J1092="","",'Paste SD Data'!J1092)</f>
        <v/>
      </c>
      <c r="J1095" s="34">
        <f t="shared" ref="J1095:J1158" si="17">J1094+1</f>
        <v>1521</v>
      </c>
      <c r="K1095" s="29" t="str">
        <f>IF('Paste SD Data'!O1092="","",'Paste SD Data'!O1092)</f>
        <v/>
      </c>
    </row>
    <row r="1096" spans="1:11" ht="30" customHeight="1" x14ac:dyDescent="0.25">
      <c r="A1096" s="25" t="str">
        <f>IF(Table1[[#This Row],[Name of Student]]="","",ROWS($A$1:A1092))</f>
        <v/>
      </c>
      <c r="B1096" s="26" t="str">
        <f>IF('Paste SD Data'!A1093="","",'Paste SD Data'!A1093)</f>
        <v/>
      </c>
      <c r="C1096" s="26" t="str">
        <f>IF('Paste SD Data'!B1093="","",'Paste SD Data'!B1093)</f>
        <v/>
      </c>
      <c r="D1096" s="26" t="str">
        <f>IF('Paste SD Data'!C1093="","",'Paste SD Data'!C1093)</f>
        <v/>
      </c>
      <c r="E1096" s="27" t="str">
        <f>IF('Paste SD Data'!E1093="","",UPPER('Paste SD Data'!E1093))</f>
        <v/>
      </c>
      <c r="F1096" s="27" t="str">
        <f>IF('Paste SD Data'!G1093="","",UPPER('Paste SD Data'!G1093))</f>
        <v/>
      </c>
      <c r="G1096" s="27" t="str">
        <f>IF('Paste SD Data'!H1093="","",UPPER('Paste SD Data'!H1093))</f>
        <v/>
      </c>
      <c r="H1096" s="26" t="str">
        <f>IF('Paste SD Data'!I1093="","",IF('Paste SD Data'!I1093="M","BOY","GIRL"))</f>
        <v/>
      </c>
      <c r="I1096" s="28" t="str">
        <f>IF('Paste SD Data'!J1093="","",'Paste SD Data'!J1093)</f>
        <v/>
      </c>
      <c r="J1096" s="34">
        <f t="shared" si="17"/>
        <v>1522</v>
      </c>
      <c r="K1096" s="29" t="str">
        <f>IF('Paste SD Data'!O1093="","",'Paste SD Data'!O1093)</f>
        <v/>
      </c>
    </row>
    <row r="1097" spans="1:11" ht="30" customHeight="1" x14ac:dyDescent="0.25">
      <c r="A1097" s="25" t="str">
        <f>IF(Table1[[#This Row],[Name of Student]]="","",ROWS($A$1:A1093))</f>
        <v/>
      </c>
      <c r="B1097" s="26" t="str">
        <f>IF('Paste SD Data'!A1094="","",'Paste SD Data'!A1094)</f>
        <v/>
      </c>
      <c r="C1097" s="26" t="str">
        <f>IF('Paste SD Data'!B1094="","",'Paste SD Data'!B1094)</f>
        <v/>
      </c>
      <c r="D1097" s="26" t="str">
        <f>IF('Paste SD Data'!C1094="","",'Paste SD Data'!C1094)</f>
        <v/>
      </c>
      <c r="E1097" s="27" t="str">
        <f>IF('Paste SD Data'!E1094="","",UPPER('Paste SD Data'!E1094))</f>
        <v/>
      </c>
      <c r="F1097" s="27" t="str">
        <f>IF('Paste SD Data'!G1094="","",UPPER('Paste SD Data'!G1094))</f>
        <v/>
      </c>
      <c r="G1097" s="27" t="str">
        <f>IF('Paste SD Data'!H1094="","",UPPER('Paste SD Data'!H1094))</f>
        <v/>
      </c>
      <c r="H1097" s="26" t="str">
        <f>IF('Paste SD Data'!I1094="","",IF('Paste SD Data'!I1094="M","BOY","GIRL"))</f>
        <v/>
      </c>
      <c r="I1097" s="28" t="str">
        <f>IF('Paste SD Data'!J1094="","",'Paste SD Data'!J1094)</f>
        <v/>
      </c>
      <c r="J1097" s="34">
        <f t="shared" si="17"/>
        <v>1523</v>
      </c>
      <c r="K1097" s="29" t="str">
        <f>IF('Paste SD Data'!O1094="","",'Paste SD Data'!O1094)</f>
        <v/>
      </c>
    </row>
    <row r="1098" spans="1:11" ht="30" customHeight="1" x14ac:dyDescent="0.25">
      <c r="A1098" s="25" t="str">
        <f>IF(Table1[[#This Row],[Name of Student]]="","",ROWS($A$1:A1094))</f>
        <v/>
      </c>
      <c r="B1098" s="26" t="str">
        <f>IF('Paste SD Data'!A1095="","",'Paste SD Data'!A1095)</f>
        <v/>
      </c>
      <c r="C1098" s="26" t="str">
        <f>IF('Paste SD Data'!B1095="","",'Paste SD Data'!B1095)</f>
        <v/>
      </c>
      <c r="D1098" s="26" t="str">
        <f>IF('Paste SD Data'!C1095="","",'Paste SD Data'!C1095)</f>
        <v/>
      </c>
      <c r="E1098" s="27" t="str">
        <f>IF('Paste SD Data'!E1095="","",UPPER('Paste SD Data'!E1095))</f>
        <v/>
      </c>
      <c r="F1098" s="27" t="str">
        <f>IF('Paste SD Data'!G1095="","",UPPER('Paste SD Data'!G1095))</f>
        <v/>
      </c>
      <c r="G1098" s="27" t="str">
        <f>IF('Paste SD Data'!H1095="","",UPPER('Paste SD Data'!H1095))</f>
        <v/>
      </c>
      <c r="H1098" s="26" t="str">
        <f>IF('Paste SD Data'!I1095="","",IF('Paste SD Data'!I1095="M","BOY","GIRL"))</f>
        <v/>
      </c>
      <c r="I1098" s="28" t="str">
        <f>IF('Paste SD Data'!J1095="","",'Paste SD Data'!J1095)</f>
        <v/>
      </c>
      <c r="J1098" s="34">
        <f t="shared" si="17"/>
        <v>1524</v>
      </c>
      <c r="K1098" s="29" t="str">
        <f>IF('Paste SD Data'!O1095="","",'Paste SD Data'!O1095)</f>
        <v/>
      </c>
    </row>
    <row r="1099" spans="1:11" ht="30" customHeight="1" x14ac:dyDescent="0.25">
      <c r="A1099" s="25" t="str">
        <f>IF(Table1[[#This Row],[Name of Student]]="","",ROWS($A$1:A1095))</f>
        <v/>
      </c>
      <c r="B1099" s="26" t="str">
        <f>IF('Paste SD Data'!A1096="","",'Paste SD Data'!A1096)</f>
        <v/>
      </c>
      <c r="C1099" s="26" t="str">
        <f>IF('Paste SD Data'!B1096="","",'Paste SD Data'!B1096)</f>
        <v/>
      </c>
      <c r="D1099" s="26" t="str">
        <f>IF('Paste SD Data'!C1096="","",'Paste SD Data'!C1096)</f>
        <v/>
      </c>
      <c r="E1099" s="27" t="str">
        <f>IF('Paste SD Data'!E1096="","",UPPER('Paste SD Data'!E1096))</f>
        <v/>
      </c>
      <c r="F1099" s="27" t="str">
        <f>IF('Paste SD Data'!G1096="","",UPPER('Paste SD Data'!G1096))</f>
        <v/>
      </c>
      <c r="G1099" s="27" t="str">
        <f>IF('Paste SD Data'!H1096="","",UPPER('Paste SD Data'!H1096))</f>
        <v/>
      </c>
      <c r="H1099" s="26" t="str">
        <f>IF('Paste SD Data'!I1096="","",IF('Paste SD Data'!I1096="M","BOY","GIRL"))</f>
        <v/>
      </c>
      <c r="I1099" s="28" t="str">
        <f>IF('Paste SD Data'!J1096="","",'Paste SD Data'!J1096)</f>
        <v/>
      </c>
      <c r="J1099" s="34">
        <f t="shared" si="17"/>
        <v>1525</v>
      </c>
      <c r="K1099" s="29" t="str">
        <f>IF('Paste SD Data'!O1096="","",'Paste SD Data'!O1096)</f>
        <v/>
      </c>
    </row>
    <row r="1100" spans="1:11" ht="30" customHeight="1" x14ac:dyDescent="0.25">
      <c r="A1100" s="25" t="str">
        <f>IF(Table1[[#This Row],[Name of Student]]="","",ROWS($A$1:A1096))</f>
        <v/>
      </c>
      <c r="B1100" s="26" t="str">
        <f>IF('Paste SD Data'!A1097="","",'Paste SD Data'!A1097)</f>
        <v/>
      </c>
      <c r="C1100" s="26" t="str">
        <f>IF('Paste SD Data'!B1097="","",'Paste SD Data'!B1097)</f>
        <v/>
      </c>
      <c r="D1100" s="26" t="str">
        <f>IF('Paste SD Data'!C1097="","",'Paste SD Data'!C1097)</f>
        <v/>
      </c>
      <c r="E1100" s="27" t="str">
        <f>IF('Paste SD Data'!E1097="","",UPPER('Paste SD Data'!E1097))</f>
        <v/>
      </c>
      <c r="F1100" s="27" t="str">
        <f>IF('Paste SD Data'!G1097="","",UPPER('Paste SD Data'!G1097))</f>
        <v/>
      </c>
      <c r="G1100" s="27" t="str">
        <f>IF('Paste SD Data'!H1097="","",UPPER('Paste SD Data'!H1097))</f>
        <v/>
      </c>
      <c r="H1100" s="26" t="str">
        <f>IF('Paste SD Data'!I1097="","",IF('Paste SD Data'!I1097="M","BOY","GIRL"))</f>
        <v/>
      </c>
      <c r="I1100" s="28" t="str">
        <f>IF('Paste SD Data'!J1097="","",'Paste SD Data'!J1097)</f>
        <v/>
      </c>
      <c r="J1100" s="34">
        <f t="shared" si="17"/>
        <v>1526</v>
      </c>
      <c r="K1100" s="29" t="str">
        <f>IF('Paste SD Data'!O1097="","",'Paste SD Data'!O1097)</f>
        <v/>
      </c>
    </row>
    <row r="1101" spans="1:11" ht="30" customHeight="1" x14ac:dyDescent="0.25">
      <c r="A1101" s="25" t="str">
        <f>IF(Table1[[#This Row],[Name of Student]]="","",ROWS($A$1:A1097))</f>
        <v/>
      </c>
      <c r="B1101" s="26" t="str">
        <f>IF('Paste SD Data'!A1098="","",'Paste SD Data'!A1098)</f>
        <v/>
      </c>
      <c r="C1101" s="26" t="str">
        <f>IF('Paste SD Data'!B1098="","",'Paste SD Data'!B1098)</f>
        <v/>
      </c>
      <c r="D1101" s="26" t="str">
        <f>IF('Paste SD Data'!C1098="","",'Paste SD Data'!C1098)</f>
        <v/>
      </c>
      <c r="E1101" s="27" t="str">
        <f>IF('Paste SD Data'!E1098="","",UPPER('Paste SD Data'!E1098))</f>
        <v/>
      </c>
      <c r="F1101" s="27" t="str">
        <f>IF('Paste SD Data'!G1098="","",UPPER('Paste SD Data'!G1098))</f>
        <v/>
      </c>
      <c r="G1101" s="27" t="str">
        <f>IF('Paste SD Data'!H1098="","",UPPER('Paste SD Data'!H1098))</f>
        <v/>
      </c>
      <c r="H1101" s="26" t="str">
        <f>IF('Paste SD Data'!I1098="","",IF('Paste SD Data'!I1098="M","BOY","GIRL"))</f>
        <v/>
      </c>
      <c r="I1101" s="28" t="str">
        <f>IF('Paste SD Data'!J1098="","",'Paste SD Data'!J1098)</f>
        <v/>
      </c>
      <c r="J1101" s="34">
        <f t="shared" si="17"/>
        <v>1527</v>
      </c>
      <c r="K1101" s="29" t="str">
        <f>IF('Paste SD Data'!O1098="","",'Paste SD Data'!O1098)</f>
        <v/>
      </c>
    </row>
    <row r="1102" spans="1:11" ht="30" customHeight="1" x14ac:dyDescent="0.25">
      <c r="A1102" s="25" t="str">
        <f>IF(Table1[[#This Row],[Name of Student]]="","",ROWS($A$1:A1098))</f>
        <v/>
      </c>
      <c r="B1102" s="26" t="str">
        <f>IF('Paste SD Data'!A1099="","",'Paste SD Data'!A1099)</f>
        <v/>
      </c>
      <c r="C1102" s="26" t="str">
        <f>IF('Paste SD Data'!B1099="","",'Paste SD Data'!B1099)</f>
        <v/>
      </c>
      <c r="D1102" s="26" t="str">
        <f>IF('Paste SD Data'!C1099="","",'Paste SD Data'!C1099)</f>
        <v/>
      </c>
      <c r="E1102" s="27" t="str">
        <f>IF('Paste SD Data'!E1099="","",UPPER('Paste SD Data'!E1099))</f>
        <v/>
      </c>
      <c r="F1102" s="27" t="str">
        <f>IF('Paste SD Data'!G1099="","",UPPER('Paste SD Data'!G1099))</f>
        <v/>
      </c>
      <c r="G1102" s="27" t="str">
        <f>IF('Paste SD Data'!H1099="","",UPPER('Paste SD Data'!H1099))</f>
        <v/>
      </c>
      <c r="H1102" s="26" t="str">
        <f>IF('Paste SD Data'!I1099="","",IF('Paste SD Data'!I1099="M","BOY","GIRL"))</f>
        <v/>
      </c>
      <c r="I1102" s="28" t="str">
        <f>IF('Paste SD Data'!J1099="","",'Paste SD Data'!J1099)</f>
        <v/>
      </c>
      <c r="J1102" s="34">
        <f t="shared" si="17"/>
        <v>1528</v>
      </c>
      <c r="K1102" s="29" t="str">
        <f>IF('Paste SD Data'!O1099="","",'Paste SD Data'!O1099)</f>
        <v/>
      </c>
    </row>
    <row r="1103" spans="1:11" ht="30" customHeight="1" x14ac:dyDescent="0.25">
      <c r="A1103" s="25" t="str">
        <f>IF(Table1[[#This Row],[Name of Student]]="","",ROWS($A$1:A1099))</f>
        <v/>
      </c>
      <c r="B1103" s="26" t="str">
        <f>IF('Paste SD Data'!A1100="","",'Paste SD Data'!A1100)</f>
        <v/>
      </c>
      <c r="C1103" s="26" t="str">
        <f>IF('Paste SD Data'!B1100="","",'Paste SD Data'!B1100)</f>
        <v/>
      </c>
      <c r="D1103" s="26" t="str">
        <f>IF('Paste SD Data'!C1100="","",'Paste SD Data'!C1100)</f>
        <v/>
      </c>
      <c r="E1103" s="27" t="str">
        <f>IF('Paste SD Data'!E1100="","",UPPER('Paste SD Data'!E1100))</f>
        <v/>
      </c>
      <c r="F1103" s="27" t="str">
        <f>IF('Paste SD Data'!G1100="","",UPPER('Paste SD Data'!G1100))</f>
        <v/>
      </c>
      <c r="G1103" s="27" t="str">
        <f>IF('Paste SD Data'!H1100="","",UPPER('Paste SD Data'!H1100))</f>
        <v/>
      </c>
      <c r="H1103" s="26" t="str">
        <f>IF('Paste SD Data'!I1100="","",IF('Paste SD Data'!I1100="M","BOY","GIRL"))</f>
        <v/>
      </c>
      <c r="I1103" s="28" t="str">
        <f>IF('Paste SD Data'!J1100="","",'Paste SD Data'!J1100)</f>
        <v/>
      </c>
      <c r="J1103" s="34">
        <f t="shared" si="17"/>
        <v>1529</v>
      </c>
      <c r="K1103" s="29" t="str">
        <f>IF('Paste SD Data'!O1100="","",'Paste SD Data'!O1100)</f>
        <v/>
      </c>
    </row>
    <row r="1104" spans="1:11" ht="30" customHeight="1" x14ac:dyDescent="0.25">
      <c r="A1104" s="25" t="str">
        <f>IF(Table1[[#This Row],[Name of Student]]="","",ROWS($A$1:A1100))</f>
        <v/>
      </c>
      <c r="B1104" s="26" t="str">
        <f>IF('Paste SD Data'!A1101="","",'Paste SD Data'!A1101)</f>
        <v/>
      </c>
      <c r="C1104" s="26" t="str">
        <f>IF('Paste SD Data'!B1101="","",'Paste SD Data'!B1101)</f>
        <v/>
      </c>
      <c r="D1104" s="26" t="str">
        <f>IF('Paste SD Data'!C1101="","",'Paste SD Data'!C1101)</f>
        <v/>
      </c>
      <c r="E1104" s="27" t="str">
        <f>IF('Paste SD Data'!E1101="","",UPPER('Paste SD Data'!E1101))</f>
        <v/>
      </c>
      <c r="F1104" s="27" t="str">
        <f>IF('Paste SD Data'!G1101="","",UPPER('Paste SD Data'!G1101))</f>
        <v/>
      </c>
      <c r="G1104" s="27" t="str">
        <f>IF('Paste SD Data'!H1101="","",UPPER('Paste SD Data'!H1101))</f>
        <v/>
      </c>
      <c r="H1104" s="26" t="str">
        <f>IF('Paste SD Data'!I1101="","",IF('Paste SD Data'!I1101="M","BOY","GIRL"))</f>
        <v/>
      </c>
      <c r="I1104" s="28" t="str">
        <f>IF('Paste SD Data'!J1101="","",'Paste SD Data'!J1101)</f>
        <v/>
      </c>
      <c r="J1104" s="34">
        <f t="shared" si="17"/>
        <v>1530</v>
      </c>
      <c r="K1104" s="29" t="str">
        <f>IF('Paste SD Data'!O1101="","",'Paste SD Data'!O1101)</f>
        <v/>
      </c>
    </row>
    <row r="1105" spans="1:11" ht="30" customHeight="1" x14ac:dyDescent="0.25">
      <c r="A1105" s="25" t="str">
        <f>IF(Table1[[#This Row],[Name of Student]]="","",ROWS($A$1:A1101))</f>
        <v/>
      </c>
      <c r="B1105" s="26" t="str">
        <f>IF('Paste SD Data'!A1102="","",'Paste SD Data'!A1102)</f>
        <v/>
      </c>
      <c r="C1105" s="26" t="str">
        <f>IF('Paste SD Data'!B1102="","",'Paste SD Data'!B1102)</f>
        <v/>
      </c>
      <c r="D1105" s="26" t="str">
        <f>IF('Paste SD Data'!C1102="","",'Paste SD Data'!C1102)</f>
        <v/>
      </c>
      <c r="E1105" s="27" t="str">
        <f>IF('Paste SD Data'!E1102="","",UPPER('Paste SD Data'!E1102))</f>
        <v/>
      </c>
      <c r="F1105" s="27" t="str">
        <f>IF('Paste SD Data'!G1102="","",UPPER('Paste SD Data'!G1102))</f>
        <v/>
      </c>
      <c r="G1105" s="27" t="str">
        <f>IF('Paste SD Data'!H1102="","",UPPER('Paste SD Data'!H1102))</f>
        <v/>
      </c>
      <c r="H1105" s="26" t="str">
        <f>IF('Paste SD Data'!I1102="","",IF('Paste SD Data'!I1102="M","BOY","GIRL"))</f>
        <v/>
      </c>
      <c r="I1105" s="28" t="str">
        <f>IF('Paste SD Data'!J1102="","",'Paste SD Data'!J1102)</f>
        <v/>
      </c>
      <c r="J1105" s="34">
        <f t="shared" si="17"/>
        <v>1531</v>
      </c>
      <c r="K1105" s="29" t="str">
        <f>IF('Paste SD Data'!O1102="","",'Paste SD Data'!O1102)</f>
        <v/>
      </c>
    </row>
    <row r="1106" spans="1:11" ht="30" customHeight="1" x14ac:dyDescent="0.25">
      <c r="A1106" s="25" t="str">
        <f>IF(Table1[[#This Row],[Name of Student]]="","",ROWS($A$1:A1102))</f>
        <v/>
      </c>
      <c r="B1106" s="26" t="str">
        <f>IF('Paste SD Data'!A1103="","",'Paste SD Data'!A1103)</f>
        <v/>
      </c>
      <c r="C1106" s="26" t="str">
        <f>IF('Paste SD Data'!B1103="","",'Paste SD Data'!B1103)</f>
        <v/>
      </c>
      <c r="D1106" s="26" t="str">
        <f>IF('Paste SD Data'!C1103="","",'Paste SD Data'!C1103)</f>
        <v/>
      </c>
      <c r="E1106" s="27" t="str">
        <f>IF('Paste SD Data'!E1103="","",UPPER('Paste SD Data'!E1103))</f>
        <v/>
      </c>
      <c r="F1106" s="27" t="str">
        <f>IF('Paste SD Data'!G1103="","",UPPER('Paste SD Data'!G1103))</f>
        <v/>
      </c>
      <c r="G1106" s="27" t="str">
        <f>IF('Paste SD Data'!H1103="","",UPPER('Paste SD Data'!H1103))</f>
        <v/>
      </c>
      <c r="H1106" s="26" t="str">
        <f>IF('Paste SD Data'!I1103="","",IF('Paste SD Data'!I1103="M","BOY","GIRL"))</f>
        <v/>
      </c>
      <c r="I1106" s="28" t="str">
        <f>IF('Paste SD Data'!J1103="","",'Paste SD Data'!J1103)</f>
        <v/>
      </c>
      <c r="J1106" s="34">
        <f t="shared" si="17"/>
        <v>1532</v>
      </c>
      <c r="K1106" s="29" t="str">
        <f>IF('Paste SD Data'!O1103="","",'Paste SD Data'!O1103)</f>
        <v/>
      </c>
    </row>
    <row r="1107" spans="1:11" ht="30" customHeight="1" x14ac:dyDescent="0.25">
      <c r="A1107" s="25" t="str">
        <f>IF(Table1[[#This Row],[Name of Student]]="","",ROWS($A$1:A1103))</f>
        <v/>
      </c>
      <c r="B1107" s="26" t="str">
        <f>IF('Paste SD Data'!A1104="","",'Paste SD Data'!A1104)</f>
        <v/>
      </c>
      <c r="C1107" s="26" t="str">
        <f>IF('Paste SD Data'!B1104="","",'Paste SD Data'!B1104)</f>
        <v/>
      </c>
      <c r="D1107" s="26" t="str">
        <f>IF('Paste SD Data'!C1104="","",'Paste SD Data'!C1104)</f>
        <v/>
      </c>
      <c r="E1107" s="27" t="str">
        <f>IF('Paste SD Data'!E1104="","",UPPER('Paste SD Data'!E1104))</f>
        <v/>
      </c>
      <c r="F1107" s="27" t="str">
        <f>IF('Paste SD Data'!G1104="","",UPPER('Paste SD Data'!G1104))</f>
        <v/>
      </c>
      <c r="G1107" s="27" t="str">
        <f>IF('Paste SD Data'!H1104="","",UPPER('Paste SD Data'!H1104))</f>
        <v/>
      </c>
      <c r="H1107" s="26" t="str">
        <f>IF('Paste SD Data'!I1104="","",IF('Paste SD Data'!I1104="M","BOY","GIRL"))</f>
        <v/>
      </c>
      <c r="I1107" s="28" t="str">
        <f>IF('Paste SD Data'!J1104="","",'Paste SD Data'!J1104)</f>
        <v/>
      </c>
      <c r="J1107" s="34">
        <f t="shared" si="17"/>
        <v>1533</v>
      </c>
      <c r="K1107" s="29" t="str">
        <f>IF('Paste SD Data'!O1104="","",'Paste SD Data'!O1104)</f>
        <v/>
      </c>
    </row>
    <row r="1108" spans="1:11" ht="30" customHeight="1" x14ac:dyDescent="0.25">
      <c r="A1108" s="25" t="str">
        <f>IF(Table1[[#This Row],[Name of Student]]="","",ROWS($A$1:A1104))</f>
        <v/>
      </c>
      <c r="B1108" s="26" t="str">
        <f>IF('Paste SD Data'!A1105="","",'Paste SD Data'!A1105)</f>
        <v/>
      </c>
      <c r="C1108" s="26" t="str">
        <f>IF('Paste SD Data'!B1105="","",'Paste SD Data'!B1105)</f>
        <v/>
      </c>
      <c r="D1108" s="26" t="str">
        <f>IF('Paste SD Data'!C1105="","",'Paste SD Data'!C1105)</f>
        <v/>
      </c>
      <c r="E1108" s="27" t="str">
        <f>IF('Paste SD Data'!E1105="","",UPPER('Paste SD Data'!E1105))</f>
        <v/>
      </c>
      <c r="F1108" s="27" t="str">
        <f>IF('Paste SD Data'!G1105="","",UPPER('Paste SD Data'!G1105))</f>
        <v/>
      </c>
      <c r="G1108" s="27" t="str">
        <f>IF('Paste SD Data'!H1105="","",UPPER('Paste SD Data'!H1105))</f>
        <v/>
      </c>
      <c r="H1108" s="26" t="str">
        <f>IF('Paste SD Data'!I1105="","",IF('Paste SD Data'!I1105="M","BOY","GIRL"))</f>
        <v/>
      </c>
      <c r="I1108" s="28" t="str">
        <f>IF('Paste SD Data'!J1105="","",'Paste SD Data'!J1105)</f>
        <v/>
      </c>
      <c r="J1108" s="34">
        <f t="shared" si="17"/>
        <v>1534</v>
      </c>
      <c r="K1108" s="29" t="str">
        <f>IF('Paste SD Data'!O1105="","",'Paste SD Data'!O1105)</f>
        <v/>
      </c>
    </row>
    <row r="1109" spans="1:11" ht="30" customHeight="1" x14ac:dyDescent="0.25">
      <c r="A1109" s="25" t="str">
        <f>IF(Table1[[#This Row],[Name of Student]]="","",ROWS($A$1:A1105))</f>
        <v/>
      </c>
      <c r="B1109" s="26" t="str">
        <f>IF('Paste SD Data'!A1106="","",'Paste SD Data'!A1106)</f>
        <v/>
      </c>
      <c r="C1109" s="26" t="str">
        <f>IF('Paste SD Data'!B1106="","",'Paste SD Data'!B1106)</f>
        <v/>
      </c>
      <c r="D1109" s="26" t="str">
        <f>IF('Paste SD Data'!C1106="","",'Paste SD Data'!C1106)</f>
        <v/>
      </c>
      <c r="E1109" s="27" t="str">
        <f>IF('Paste SD Data'!E1106="","",UPPER('Paste SD Data'!E1106))</f>
        <v/>
      </c>
      <c r="F1109" s="27" t="str">
        <f>IF('Paste SD Data'!G1106="","",UPPER('Paste SD Data'!G1106))</f>
        <v/>
      </c>
      <c r="G1109" s="27" t="str">
        <f>IF('Paste SD Data'!H1106="","",UPPER('Paste SD Data'!H1106))</f>
        <v/>
      </c>
      <c r="H1109" s="26" t="str">
        <f>IF('Paste SD Data'!I1106="","",IF('Paste SD Data'!I1106="M","BOY","GIRL"))</f>
        <v/>
      </c>
      <c r="I1109" s="28" t="str">
        <f>IF('Paste SD Data'!J1106="","",'Paste SD Data'!J1106)</f>
        <v/>
      </c>
      <c r="J1109" s="34">
        <f t="shared" si="17"/>
        <v>1535</v>
      </c>
      <c r="K1109" s="29" t="str">
        <f>IF('Paste SD Data'!O1106="","",'Paste SD Data'!O1106)</f>
        <v/>
      </c>
    </row>
    <row r="1110" spans="1:11" ht="30" customHeight="1" x14ac:dyDescent="0.25">
      <c r="A1110" s="25" t="str">
        <f>IF(Table1[[#This Row],[Name of Student]]="","",ROWS($A$1:A1106))</f>
        <v/>
      </c>
      <c r="B1110" s="26" t="str">
        <f>IF('Paste SD Data'!A1107="","",'Paste SD Data'!A1107)</f>
        <v/>
      </c>
      <c r="C1110" s="26" t="str">
        <f>IF('Paste SD Data'!B1107="","",'Paste SD Data'!B1107)</f>
        <v/>
      </c>
      <c r="D1110" s="26" t="str">
        <f>IF('Paste SD Data'!C1107="","",'Paste SD Data'!C1107)</f>
        <v/>
      </c>
      <c r="E1110" s="27" t="str">
        <f>IF('Paste SD Data'!E1107="","",UPPER('Paste SD Data'!E1107))</f>
        <v/>
      </c>
      <c r="F1110" s="27" t="str">
        <f>IF('Paste SD Data'!G1107="","",UPPER('Paste SD Data'!G1107))</f>
        <v/>
      </c>
      <c r="G1110" s="27" t="str">
        <f>IF('Paste SD Data'!H1107="","",UPPER('Paste SD Data'!H1107))</f>
        <v/>
      </c>
      <c r="H1110" s="26" t="str">
        <f>IF('Paste SD Data'!I1107="","",IF('Paste SD Data'!I1107="M","BOY","GIRL"))</f>
        <v/>
      </c>
      <c r="I1110" s="28" t="str">
        <f>IF('Paste SD Data'!J1107="","",'Paste SD Data'!J1107)</f>
        <v/>
      </c>
      <c r="J1110" s="34">
        <f t="shared" si="17"/>
        <v>1536</v>
      </c>
      <c r="K1110" s="29" t="str">
        <f>IF('Paste SD Data'!O1107="","",'Paste SD Data'!O1107)</f>
        <v/>
      </c>
    </row>
    <row r="1111" spans="1:11" ht="30" customHeight="1" x14ac:dyDescent="0.25">
      <c r="A1111" s="25" t="str">
        <f>IF(Table1[[#This Row],[Name of Student]]="","",ROWS($A$1:A1107))</f>
        <v/>
      </c>
      <c r="B1111" s="26" t="str">
        <f>IF('Paste SD Data'!A1108="","",'Paste SD Data'!A1108)</f>
        <v/>
      </c>
      <c r="C1111" s="26" t="str">
        <f>IF('Paste SD Data'!B1108="","",'Paste SD Data'!B1108)</f>
        <v/>
      </c>
      <c r="D1111" s="26" t="str">
        <f>IF('Paste SD Data'!C1108="","",'Paste SD Data'!C1108)</f>
        <v/>
      </c>
      <c r="E1111" s="27" t="str">
        <f>IF('Paste SD Data'!E1108="","",UPPER('Paste SD Data'!E1108))</f>
        <v/>
      </c>
      <c r="F1111" s="27" t="str">
        <f>IF('Paste SD Data'!G1108="","",UPPER('Paste SD Data'!G1108))</f>
        <v/>
      </c>
      <c r="G1111" s="27" t="str">
        <f>IF('Paste SD Data'!H1108="","",UPPER('Paste SD Data'!H1108))</f>
        <v/>
      </c>
      <c r="H1111" s="26" t="str">
        <f>IF('Paste SD Data'!I1108="","",IF('Paste SD Data'!I1108="M","BOY","GIRL"))</f>
        <v/>
      </c>
      <c r="I1111" s="28" t="str">
        <f>IF('Paste SD Data'!J1108="","",'Paste SD Data'!J1108)</f>
        <v/>
      </c>
      <c r="J1111" s="34">
        <f t="shared" si="17"/>
        <v>1537</v>
      </c>
      <c r="K1111" s="29" t="str">
        <f>IF('Paste SD Data'!O1108="","",'Paste SD Data'!O1108)</f>
        <v/>
      </c>
    </row>
    <row r="1112" spans="1:11" ht="30" customHeight="1" x14ac:dyDescent="0.25">
      <c r="A1112" s="25" t="str">
        <f>IF(Table1[[#This Row],[Name of Student]]="","",ROWS($A$1:A1108))</f>
        <v/>
      </c>
      <c r="B1112" s="26" t="str">
        <f>IF('Paste SD Data'!A1109="","",'Paste SD Data'!A1109)</f>
        <v/>
      </c>
      <c r="C1112" s="26" t="str">
        <f>IF('Paste SD Data'!B1109="","",'Paste SD Data'!B1109)</f>
        <v/>
      </c>
      <c r="D1112" s="26" t="str">
        <f>IF('Paste SD Data'!C1109="","",'Paste SD Data'!C1109)</f>
        <v/>
      </c>
      <c r="E1112" s="27" t="str">
        <f>IF('Paste SD Data'!E1109="","",UPPER('Paste SD Data'!E1109))</f>
        <v/>
      </c>
      <c r="F1112" s="27" t="str">
        <f>IF('Paste SD Data'!G1109="","",UPPER('Paste SD Data'!G1109))</f>
        <v/>
      </c>
      <c r="G1112" s="27" t="str">
        <f>IF('Paste SD Data'!H1109="","",UPPER('Paste SD Data'!H1109))</f>
        <v/>
      </c>
      <c r="H1112" s="26" t="str">
        <f>IF('Paste SD Data'!I1109="","",IF('Paste SD Data'!I1109="M","BOY","GIRL"))</f>
        <v/>
      </c>
      <c r="I1112" s="28" t="str">
        <f>IF('Paste SD Data'!J1109="","",'Paste SD Data'!J1109)</f>
        <v/>
      </c>
      <c r="J1112" s="34">
        <f t="shared" si="17"/>
        <v>1538</v>
      </c>
      <c r="K1112" s="29" t="str">
        <f>IF('Paste SD Data'!O1109="","",'Paste SD Data'!O1109)</f>
        <v/>
      </c>
    </row>
    <row r="1113" spans="1:11" ht="30" customHeight="1" x14ac:dyDescent="0.25">
      <c r="A1113" s="25" t="str">
        <f>IF(Table1[[#This Row],[Name of Student]]="","",ROWS($A$1:A1109))</f>
        <v/>
      </c>
      <c r="B1113" s="26" t="str">
        <f>IF('Paste SD Data'!A1110="","",'Paste SD Data'!A1110)</f>
        <v/>
      </c>
      <c r="C1113" s="26" t="str">
        <f>IF('Paste SD Data'!B1110="","",'Paste SD Data'!B1110)</f>
        <v/>
      </c>
      <c r="D1113" s="26" t="str">
        <f>IF('Paste SD Data'!C1110="","",'Paste SD Data'!C1110)</f>
        <v/>
      </c>
      <c r="E1113" s="27" t="str">
        <f>IF('Paste SD Data'!E1110="","",UPPER('Paste SD Data'!E1110))</f>
        <v/>
      </c>
      <c r="F1113" s="27" t="str">
        <f>IF('Paste SD Data'!G1110="","",UPPER('Paste SD Data'!G1110))</f>
        <v/>
      </c>
      <c r="G1113" s="27" t="str">
        <f>IF('Paste SD Data'!H1110="","",UPPER('Paste SD Data'!H1110))</f>
        <v/>
      </c>
      <c r="H1113" s="26" t="str">
        <f>IF('Paste SD Data'!I1110="","",IF('Paste SD Data'!I1110="M","BOY","GIRL"))</f>
        <v/>
      </c>
      <c r="I1113" s="28" t="str">
        <f>IF('Paste SD Data'!J1110="","",'Paste SD Data'!J1110)</f>
        <v/>
      </c>
      <c r="J1113" s="34">
        <f t="shared" si="17"/>
        <v>1539</v>
      </c>
      <c r="K1113" s="29" t="str">
        <f>IF('Paste SD Data'!O1110="","",'Paste SD Data'!O1110)</f>
        <v/>
      </c>
    </row>
    <row r="1114" spans="1:11" ht="30" customHeight="1" x14ac:dyDescent="0.25">
      <c r="A1114" s="25" t="str">
        <f>IF(Table1[[#This Row],[Name of Student]]="","",ROWS($A$1:A1110))</f>
        <v/>
      </c>
      <c r="B1114" s="26" t="str">
        <f>IF('Paste SD Data'!A1111="","",'Paste SD Data'!A1111)</f>
        <v/>
      </c>
      <c r="C1114" s="26" t="str">
        <f>IF('Paste SD Data'!B1111="","",'Paste SD Data'!B1111)</f>
        <v/>
      </c>
      <c r="D1114" s="26" t="str">
        <f>IF('Paste SD Data'!C1111="","",'Paste SD Data'!C1111)</f>
        <v/>
      </c>
      <c r="E1114" s="27" t="str">
        <f>IF('Paste SD Data'!E1111="","",UPPER('Paste SD Data'!E1111))</f>
        <v/>
      </c>
      <c r="F1114" s="27" t="str">
        <f>IF('Paste SD Data'!G1111="","",UPPER('Paste SD Data'!G1111))</f>
        <v/>
      </c>
      <c r="G1114" s="27" t="str">
        <f>IF('Paste SD Data'!H1111="","",UPPER('Paste SD Data'!H1111))</f>
        <v/>
      </c>
      <c r="H1114" s="26" t="str">
        <f>IF('Paste SD Data'!I1111="","",IF('Paste SD Data'!I1111="M","BOY","GIRL"))</f>
        <v/>
      </c>
      <c r="I1114" s="28" t="str">
        <f>IF('Paste SD Data'!J1111="","",'Paste SD Data'!J1111)</f>
        <v/>
      </c>
      <c r="J1114" s="34">
        <f t="shared" si="17"/>
        <v>1540</v>
      </c>
      <c r="K1114" s="29" t="str">
        <f>IF('Paste SD Data'!O1111="","",'Paste SD Data'!O1111)</f>
        <v/>
      </c>
    </row>
    <row r="1115" spans="1:11" ht="30" customHeight="1" x14ac:dyDescent="0.25">
      <c r="A1115" s="25" t="str">
        <f>IF(Table1[[#This Row],[Name of Student]]="","",ROWS($A$1:A1111))</f>
        <v/>
      </c>
      <c r="B1115" s="26" t="str">
        <f>IF('Paste SD Data'!A1112="","",'Paste SD Data'!A1112)</f>
        <v/>
      </c>
      <c r="C1115" s="26" t="str">
        <f>IF('Paste SD Data'!B1112="","",'Paste SD Data'!B1112)</f>
        <v/>
      </c>
      <c r="D1115" s="26" t="str">
        <f>IF('Paste SD Data'!C1112="","",'Paste SD Data'!C1112)</f>
        <v/>
      </c>
      <c r="E1115" s="27" t="str">
        <f>IF('Paste SD Data'!E1112="","",UPPER('Paste SD Data'!E1112))</f>
        <v/>
      </c>
      <c r="F1115" s="27" t="str">
        <f>IF('Paste SD Data'!G1112="","",UPPER('Paste SD Data'!G1112))</f>
        <v/>
      </c>
      <c r="G1115" s="27" t="str">
        <f>IF('Paste SD Data'!H1112="","",UPPER('Paste SD Data'!H1112))</f>
        <v/>
      </c>
      <c r="H1115" s="26" t="str">
        <f>IF('Paste SD Data'!I1112="","",IF('Paste SD Data'!I1112="M","BOY","GIRL"))</f>
        <v/>
      </c>
      <c r="I1115" s="28" t="str">
        <f>IF('Paste SD Data'!J1112="","",'Paste SD Data'!J1112)</f>
        <v/>
      </c>
      <c r="J1115" s="34">
        <f t="shared" si="17"/>
        <v>1541</v>
      </c>
      <c r="K1115" s="29" t="str">
        <f>IF('Paste SD Data'!O1112="","",'Paste SD Data'!O1112)</f>
        <v/>
      </c>
    </row>
    <row r="1116" spans="1:11" ht="30" customHeight="1" x14ac:dyDescent="0.25">
      <c r="A1116" s="25" t="str">
        <f>IF(Table1[[#This Row],[Name of Student]]="","",ROWS($A$1:A1112))</f>
        <v/>
      </c>
      <c r="B1116" s="26" t="str">
        <f>IF('Paste SD Data'!A1113="","",'Paste SD Data'!A1113)</f>
        <v/>
      </c>
      <c r="C1116" s="26" t="str">
        <f>IF('Paste SD Data'!B1113="","",'Paste SD Data'!B1113)</f>
        <v/>
      </c>
      <c r="D1116" s="26" t="str">
        <f>IF('Paste SD Data'!C1113="","",'Paste SD Data'!C1113)</f>
        <v/>
      </c>
      <c r="E1116" s="27" t="str">
        <f>IF('Paste SD Data'!E1113="","",UPPER('Paste SD Data'!E1113))</f>
        <v/>
      </c>
      <c r="F1116" s="27" t="str">
        <f>IF('Paste SD Data'!G1113="","",UPPER('Paste SD Data'!G1113))</f>
        <v/>
      </c>
      <c r="G1116" s="27" t="str">
        <f>IF('Paste SD Data'!H1113="","",UPPER('Paste SD Data'!H1113))</f>
        <v/>
      </c>
      <c r="H1116" s="26" t="str">
        <f>IF('Paste SD Data'!I1113="","",IF('Paste SD Data'!I1113="M","BOY","GIRL"))</f>
        <v/>
      </c>
      <c r="I1116" s="28" t="str">
        <f>IF('Paste SD Data'!J1113="","",'Paste SD Data'!J1113)</f>
        <v/>
      </c>
      <c r="J1116" s="34">
        <f t="shared" si="17"/>
        <v>1542</v>
      </c>
      <c r="K1116" s="29" t="str">
        <f>IF('Paste SD Data'!O1113="","",'Paste SD Data'!O1113)</f>
        <v/>
      </c>
    </row>
    <row r="1117" spans="1:11" ht="30" customHeight="1" x14ac:dyDescent="0.25">
      <c r="A1117" s="25" t="str">
        <f>IF(Table1[[#This Row],[Name of Student]]="","",ROWS($A$1:A1113))</f>
        <v/>
      </c>
      <c r="B1117" s="26" t="str">
        <f>IF('Paste SD Data'!A1114="","",'Paste SD Data'!A1114)</f>
        <v/>
      </c>
      <c r="C1117" s="26" t="str">
        <f>IF('Paste SD Data'!B1114="","",'Paste SD Data'!B1114)</f>
        <v/>
      </c>
      <c r="D1117" s="26" t="str">
        <f>IF('Paste SD Data'!C1114="","",'Paste SD Data'!C1114)</f>
        <v/>
      </c>
      <c r="E1117" s="27" t="str">
        <f>IF('Paste SD Data'!E1114="","",UPPER('Paste SD Data'!E1114))</f>
        <v/>
      </c>
      <c r="F1117" s="27" t="str">
        <f>IF('Paste SD Data'!G1114="","",UPPER('Paste SD Data'!G1114))</f>
        <v/>
      </c>
      <c r="G1117" s="27" t="str">
        <f>IF('Paste SD Data'!H1114="","",UPPER('Paste SD Data'!H1114))</f>
        <v/>
      </c>
      <c r="H1117" s="26" t="str">
        <f>IF('Paste SD Data'!I1114="","",IF('Paste SD Data'!I1114="M","BOY","GIRL"))</f>
        <v/>
      </c>
      <c r="I1117" s="28" t="str">
        <f>IF('Paste SD Data'!J1114="","",'Paste SD Data'!J1114)</f>
        <v/>
      </c>
      <c r="J1117" s="34">
        <f t="shared" si="17"/>
        <v>1543</v>
      </c>
      <c r="K1117" s="29" t="str">
        <f>IF('Paste SD Data'!O1114="","",'Paste SD Data'!O1114)</f>
        <v/>
      </c>
    </row>
    <row r="1118" spans="1:11" ht="30" customHeight="1" x14ac:dyDescent="0.25">
      <c r="A1118" s="25" t="str">
        <f>IF(Table1[[#This Row],[Name of Student]]="","",ROWS($A$1:A1114))</f>
        <v/>
      </c>
      <c r="B1118" s="26" t="str">
        <f>IF('Paste SD Data'!A1115="","",'Paste SD Data'!A1115)</f>
        <v/>
      </c>
      <c r="C1118" s="26" t="str">
        <f>IF('Paste SD Data'!B1115="","",'Paste SD Data'!B1115)</f>
        <v/>
      </c>
      <c r="D1118" s="26" t="str">
        <f>IF('Paste SD Data'!C1115="","",'Paste SD Data'!C1115)</f>
        <v/>
      </c>
      <c r="E1118" s="27" t="str">
        <f>IF('Paste SD Data'!E1115="","",UPPER('Paste SD Data'!E1115))</f>
        <v/>
      </c>
      <c r="F1118" s="27" t="str">
        <f>IF('Paste SD Data'!G1115="","",UPPER('Paste SD Data'!G1115))</f>
        <v/>
      </c>
      <c r="G1118" s="27" t="str">
        <f>IF('Paste SD Data'!H1115="","",UPPER('Paste SD Data'!H1115))</f>
        <v/>
      </c>
      <c r="H1118" s="26" t="str">
        <f>IF('Paste SD Data'!I1115="","",IF('Paste SD Data'!I1115="M","BOY","GIRL"))</f>
        <v/>
      </c>
      <c r="I1118" s="28" t="str">
        <f>IF('Paste SD Data'!J1115="","",'Paste SD Data'!J1115)</f>
        <v/>
      </c>
      <c r="J1118" s="34">
        <f t="shared" si="17"/>
        <v>1544</v>
      </c>
      <c r="K1118" s="29" t="str">
        <f>IF('Paste SD Data'!O1115="","",'Paste SD Data'!O1115)</f>
        <v/>
      </c>
    </row>
    <row r="1119" spans="1:11" ht="30" customHeight="1" x14ac:dyDescent="0.25">
      <c r="A1119" s="25" t="str">
        <f>IF(Table1[[#This Row],[Name of Student]]="","",ROWS($A$1:A1115))</f>
        <v/>
      </c>
      <c r="B1119" s="26" t="str">
        <f>IF('Paste SD Data'!A1116="","",'Paste SD Data'!A1116)</f>
        <v/>
      </c>
      <c r="C1119" s="26" t="str">
        <f>IF('Paste SD Data'!B1116="","",'Paste SD Data'!B1116)</f>
        <v/>
      </c>
      <c r="D1119" s="26" t="str">
        <f>IF('Paste SD Data'!C1116="","",'Paste SD Data'!C1116)</f>
        <v/>
      </c>
      <c r="E1119" s="27" t="str">
        <f>IF('Paste SD Data'!E1116="","",UPPER('Paste SD Data'!E1116))</f>
        <v/>
      </c>
      <c r="F1119" s="27" t="str">
        <f>IF('Paste SD Data'!G1116="","",UPPER('Paste SD Data'!G1116))</f>
        <v/>
      </c>
      <c r="G1119" s="27" t="str">
        <f>IF('Paste SD Data'!H1116="","",UPPER('Paste SD Data'!H1116))</f>
        <v/>
      </c>
      <c r="H1119" s="26" t="str">
        <f>IF('Paste SD Data'!I1116="","",IF('Paste SD Data'!I1116="M","BOY","GIRL"))</f>
        <v/>
      </c>
      <c r="I1119" s="28" t="str">
        <f>IF('Paste SD Data'!J1116="","",'Paste SD Data'!J1116)</f>
        <v/>
      </c>
      <c r="J1119" s="34">
        <f t="shared" si="17"/>
        <v>1545</v>
      </c>
      <c r="K1119" s="29" t="str">
        <f>IF('Paste SD Data'!O1116="","",'Paste SD Data'!O1116)</f>
        <v/>
      </c>
    </row>
    <row r="1120" spans="1:11" ht="30" customHeight="1" x14ac:dyDescent="0.25">
      <c r="A1120" s="25" t="str">
        <f>IF(Table1[[#This Row],[Name of Student]]="","",ROWS($A$1:A1116))</f>
        <v/>
      </c>
      <c r="B1120" s="26" t="str">
        <f>IF('Paste SD Data'!A1117="","",'Paste SD Data'!A1117)</f>
        <v/>
      </c>
      <c r="C1120" s="26" t="str">
        <f>IF('Paste SD Data'!B1117="","",'Paste SD Data'!B1117)</f>
        <v/>
      </c>
      <c r="D1120" s="26" t="str">
        <f>IF('Paste SD Data'!C1117="","",'Paste SD Data'!C1117)</f>
        <v/>
      </c>
      <c r="E1120" s="27" t="str">
        <f>IF('Paste SD Data'!E1117="","",UPPER('Paste SD Data'!E1117))</f>
        <v/>
      </c>
      <c r="F1120" s="27" t="str">
        <f>IF('Paste SD Data'!G1117="","",UPPER('Paste SD Data'!G1117))</f>
        <v/>
      </c>
      <c r="G1120" s="27" t="str">
        <f>IF('Paste SD Data'!H1117="","",UPPER('Paste SD Data'!H1117))</f>
        <v/>
      </c>
      <c r="H1120" s="26" t="str">
        <f>IF('Paste SD Data'!I1117="","",IF('Paste SD Data'!I1117="M","BOY","GIRL"))</f>
        <v/>
      </c>
      <c r="I1120" s="28" t="str">
        <f>IF('Paste SD Data'!J1117="","",'Paste SD Data'!J1117)</f>
        <v/>
      </c>
      <c r="J1120" s="34">
        <f t="shared" si="17"/>
        <v>1546</v>
      </c>
      <c r="K1120" s="29" t="str">
        <f>IF('Paste SD Data'!O1117="","",'Paste SD Data'!O1117)</f>
        <v/>
      </c>
    </row>
    <row r="1121" spans="1:11" ht="30" customHeight="1" x14ac:dyDescent="0.25">
      <c r="A1121" s="25" t="str">
        <f>IF(Table1[[#This Row],[Name of Student]]="","",ROWS($A$1:A1117))</f>
        <v/>
      </c>
      <c r="B1121" s="26" t="str">
        <f>IF('Paste SD Data'!A1118="","",'Paste SD Data'!A1118)</f>
        <v/>
      </c>
      <c r="C1121" s="26" t="str">
        <f>IF('Paste SD Data'!B1118="","",'Paste SD Data'!B1118)</f>
        <v/>
      </c>
      <c r="D1121" s="26" t="str">
        <f>IF('Paste SD Data'!C1118="","",'Paste SD Data'!C1118)</f>
        <v/>
      </c>
      <c r="E1121" s="27" t="str">
        <f>IF('Paste SD Data'!E1118="","",UPPER('Paste SD Data'!E1118))</f>
        <v/>
      </c>
      <c r="F1121" s="27" t="str">
        <f>IF('Paste SD Data'!G1118="","",UPPER('Paste SD Data'!G1118))</f>
        <v/>
      </c>
      <c r="G1121" s="27" t="str">
        <f>IF('Paste SD Data'!H1118="","",UPPER('Paste SD Data'!H1118))</f>
        <v/>
      </c>
      <c r="H1121" s="26" t="str">
        <f>IF('Paste SD Data'!I1118="","",IF('Paste SD Data'!I1118="M","BOY","GIRL"))</f>
        <v/>
      </c>
      <c r="I1121" s="28" t="str">
        <f>IF('Paste SD Data'!J1118="","",'Paste SD Data'!J1118)</f>
        <v/>
      </c>
      <c r="J1121" s="34">
        <f t="shared" si="17"/>
        <v>1547</v>
      </c>
      <c r="K1121" s="29" t="str">
        <f>IF('Paste SD Data'!O1118="","",'Paste SD Data'!O1118)</f>
        <v/>
      </c>
    </row>
    <row r="1122" spans="1:11" ht="30" customHeight="1" x14ac:dyDescent="0.25">
      <c r="A1122" s="25" t="str">
        <f>IF(Table1[[#This Row],[Name of Student]]="","",ROWS($A$1:A1118))</f>
        <v/>
      </c>
      <c r="B1122" s="26" t="str">
        <f>IF('Paste SD Data'!A1119="","",'Paste SD Data'!A1119)</f>
        <v/>
      </c>
      <c r="C1122" s="26" t="str">
        <f>IF('Paste SD Data'!B1119="","",'Paste SD Data'!B1119)</f>
        <v/>
      </c>
      <c r="D1122" s="26" t="str">
        <f>IF('Paste SD Data'!C1119="","",'Paste SD Data'!C1119)</f>
        <v/>
      </c>
      <c r="E1122" s="27" t="str">
        <f>IF('Paste SD Data'!E1119="","",UPPER('Paste SD Data'!E1119))</f>
        <v/>
      </c>
      <c r="F1122" s="27" t="str">
        <f>IF('Paste SD Data'!G1119="","",UPPER('Paste SD Data'!G1119))</f>
        <v/>
      </c>
      <c r="G1122" s="27" t="str">
        <f>IF('Paste SD Data'!H1119="","",UPPER('Paste SD Data'!H1119))</f>
        <v/>
      </c>
      <c r="H1122" s="26" t="str">
        <f>IF('Paste SD Data'!I1119="","",IF('Paste SD Data'!I1119="M","BOY","GIRL"))</f>
        <v/>
      </c>
      <c r="I1122" s="28" t="str">
        <f>IF('Paste SD Data'!J1119="","",'Paste SD Data'!J1119)</f>
        <v/>
      </c>
      <c r="J1122" s="34">
        <f t="shared" si="17"/>
        <v>1548</v>
      </c>
      <c r="K1122" s="29" t="str">
        <f>IF('Paste SD Data'!O1119="","",'Paste SD Data'!O1119)</f>
        <v/>
      </c>
    </row>
    <row r="1123" spans="1:11" ht="30" customHeight="1" x14ac:dyDescent="0.25">
      <c r="A1123" s="25" t="str">
        <f>IF(Table1[[#This Row],[Name of Student]]="","",ROWS($A$1:A1119))</f>
        <v/>
      </c>
      <c r="B1123" s="26" t="str">
        <f>IF('Paste SD Data'!A1120="","",'Paste SD Data'!A1120)</f>
        <v/>
      </c>
      <c r="C1123" s="26" t="str">
        <f>IF('Paste SD Data'!B1120="","",'Paste SD Data'!B1120)</f>
        <v/>
      </c>
      <c r="D1123" s="26" t="str">
        <f>IF('Paste SD Data'!C1120="","",'Paste SD Data'!C1120)</f>
        <v/>
      </c>
      <c r="E1123" s="27" t="str">
        <f>IF('Paste SD Data'!E1120="","",UPPER('Paste SD Data'!E1120))</f>
        <v/>
      </c>
      <c r="F1123" s="27" t="str">
        <f>IF('Paste SD Data'!G1120="","",UPPER('Paste SD Data'!G1120))</f>
        <v/>
      </c>
      <c r="G1123" s="27" t="str">
        <f>IF('Paste SD Data'!H1120="","",UPPER('Paste SD Data'!H1120))</f>
        <v/>
      </c>
      <c r="H1123" s="26" t="str">
        <f>IF('Paste SD Data'!I1120="","",IF('Paste SD Data'!I1120="M","BOY","GIRL"))</f>
        <v/>
      </c>
      <c r="I1123" s="28" t="str">
        <f>IF('Paste SD Data'!J1120="","",'Paste SD Data'!J1120)</f>
        <v/>
      </c>
      <c r="J1123" s="34">
        <f t="shared" si="17"/>
        <v>1549</v>
      </c>
      <c r="K1123" s="29" t="str">
        <f>IF('Paste SD Data'!O1120="","",'Paste SD Data'!O1120)</f>
        <v/>
      </c>
    </row>
    <row r="1124" spans="1:11" ht="30" customHeight="1" x14ac:dyDescent="0.25">
      <c r="A1124" s="25" t="str">
        <f>IF(Table1[[#This Row],[Name of Student]]="","",ROWS($A$1:A1120))</f>
        <v/>
      </c>
      <c r="B1124" s="26" t="str">
        <f>IF('Paste SD Data'!A1121="","",'Paste SD Data'!A1121)</f>
        <v/>
      </c>
      <c r="C1124" s="26" t="str">
        <f>IF('Paste SD Data'!B1121="","",'Paste SD Data'!B1121)</f>
        <v/>
      </c>
      <c r="D1124" s="26" t="str">
        <f>IF('Paste SD Data'!C1121="","",'Paste SD Data'!C1121)</f>
        <v/>
      </c>
      <c r="E1124" s="27" t="str">
        <f>IF('Paste SD Data'!E1121="","",UPPER('Paste SD Data'!E1121))</f>
        <v/>
      </c>
      <c r="F1124" s="27" t="str">
        <f>IF('Paste SD Data'!G1121="","",UPPER('Paste SD Data'!G1121))</f>
        <v/>
      </c>
      <c r="G1124" s="27" t="str">
        <f>IF('Paste SD Data'!H1121="","",UPPER('Paste SD Data'!H1121))</f>
        <v/>
      </c>
      <c r="H1124" s="26" t="str">
        <f>IF('Paste SD Data'!I1121="","",IF('Paste SD Data'!I1121="M","BOY","GIRL"))</f>
        <v/>
      </c>
      <c r="I1124" s="28" t="str">
        <f>IF('Paste SD Data'!J1121="","",'Paste SD Data'!J1121)</f>
        <v/>
      </c>
      <c r="J1124" s="34">
        <f t="shared" si="17"/>
        <v>1550</v>
      </c>
      <c r="K1124" s="29" t="str">
        <f>IF('Paste SD Data'!O1121="","",'Paste SD Data'!O1121)</f>
        <v/>
      </c>
    </row>
    <row r="1125" spans="1:11" ht="30" customHeight="1" x14ac:dyDescent="0.25">
      <c r="A1125" s="25" t="str">
        <f>IF(Table1[[#This Row],[Name of Student]]="","",ROWS($A$1:A1121))</f>
        <v/>
      </c>
      <c r="B1125" s="26" t="str">
        <f>IF('Paste SD Data'!A1122="","",'Paste SD Data'!A1122)</f>
        <v/>
      </c>
      <c r="C1125" s="26" t="str">
        <f>IF('Paste SD Data'!B1122="","",'Paste SD Data'!B1122)</f>
        <v/>
      </c>
      <c r="D1125" s="26" t="str">
        <f>IF('Paste SD Data'!C1122="","",'Paste SD Data'!C1122)</f>
        <v/>
      </c>
      <c r="E1125" s="27" t="str">
        <f>IF('Paste SD Data'!E1122="","",UPPER('Paste SD Data'!E1122))</f>
        <v/>
      </c>
      <c r="F1125" s="27" t="str">
        <f>IF('Paste SD Data'!G1122="","",UPPER('Paste SD Data'!G1122))</f>
        <v/>
      </c>
      <c r="G1125" s="27" t="str">
        <f>IF('Paste SD Data'!H1122="","",UPPER('Paste SD Data'!H1122))</f>
        <v/>
      </c>
      <c r="H1125" s="26" t="str">
        <f>IF('Paste SD Data'!I1122="","",IF('Paste SD Data'!I1122="M","BOY","GIRL"))</f>
        <v/>
      </c>
      <c r="I1125" s="28" t="str">
        <f>IF('Paste SD Data'!J1122="","",'Paste SD Data'!J1122)</f>
        <v/>
      </c>
      <c r="J1125" s="34">
        <f t="shared" si="17"/>
        <v>1551</v>
      </c>
      <c r="K1125" s="29" t="str">
        <f>IF('Paste SD Data'!O1122="","",'Paste SD Data'!O1122)</f>
        <v/>
      </c>
    </row>
    <row r="1126" spans="1:11" ht="30" customHeight="1" x14ac:dyDescent="0.25">
      <c r="A1126" s="25" t="str">
        <f>IF(Table1[[#This Row],[Name of Student]]="","",ROWS($A$1:A1122))</f>
        <v/>
      </c>
      <c r="B1126" s="26" t="str">
        <f>IF('Paste SD Data'!A1123="","",'Paste SD Data'!A1123)</f>
        <v/>
      </c>
      <c r="C1126" s="26" t="str">
        <f>IF('Paste SD Data'!B1123="","",'Paste SD Data'!B1123)</f>
        <v/>
      </c>
      <c r="D1126" s="26" t="str">
        <f>IF('Paste SD Data'!C1123="","",'Paste SD Data'!C1123)</f>
        <v/>
      </c>
      <c r="E1126" s="27" t="str">
        <f>IF('Paste SD Data'!E1123="","",UPPER('Paste SD Data'!E1123))</f>
        <v/>
      </c>
      <c r="F1126" s="27" t="str">
        <f>IF('Paste SD Data'!G1123="","",UPPER('Paste SD Data'!G1123))</f>
        <v/>
      </c>
      <c r="G1126" s="27" t="str">
        <f>IF('Paste SD Data'!H1123="","",UPPER('Paste SD Data'!H1123))</f>
        <v/>
      </c>
      <c r="H1126" s="26" t="str">
        <f>IF('Paste SD Data'!I1123="","",IF('Paste SD Data'!I1123="M","BOY","GIRL"))</f>
        <v/>
      </c>
      <c r="I1126" s="28" t="str">
        <f>IF('Paste SD Data'!J1123="","",'Paste SD Data'!J1123)</f>
        <v/>
      </c>
      <c r="J1126" s="34">
        <f t="shared" si="17"/>
        <v>1552</v>
      </c>
      <c r="K1126" s="29" t="str">
        <f>IF('Paste SD Data'!O1123="","",'Paste SD Data'!O1123)</f>
        <v/>
      </c>
    </row>
    <row r="1127" spans="1:11" ht="30" customHeight="1" x14ac:dyDescent="0.25">
      <c r="A1127" s="25" t="str">
        <f>IF(Table1[[#This Row],[Name of Student]]="","",ROWS($A$1:A1123))</f>
        <v/>
      </c>
      <c r="B1127" s="26" t="str">
        <f>IF('Paste SD Data'!A1124="","",'Paste SD Data'!A1124)</f>
        <v/>
      </c>
      <c r="C1127" s="26" t="str">
        <f>IF('Paste SD Data'!B1124="","",'Paste SD Data'!B1124)</f>
        <v/>
      </c>
      <c r="D1127" s="26" t="str">
        <f>IF('Paste SD Data'!C1124="","",'Paste SD Data'!C1124)</f>
        <v/>
      </c>
      <c r="E1127" s="27" t="str">
        <f>IF('Paste SD Data'!E1124="","",UPPER('Paste SD Data'!E1124))</f>
        <v/>
      </c>
      <c r="F1127" s="27" t="str">
        <f>IF('Paste SD Data'!G1124="","",UPPER('Paste SD Data'!G1124))</f>
        <v/>
      </c>
      <c r="G1127" s="27" t="str">
        <f>IF('Paste SD Data'!H1124="","",UPPER('Paste SD Data'!H1124))</f>
        <v/>
      </c>
      <c r="H1127" s="26" t="str">
        <f>IF('Paste SD Data'!I1124="","",IF('Paste SD Data'!I1124="M","BOY","GIRL"))</f>
        <v/>
      </c>
      <c r="I1127" s="28" t="str">
        <f>IF('Paste SD Data'!J1124="","",'Paste SD Data'!J1124)</f>
        <v/>
      </c>
      <c r="J1127" s="34">
        <f t="shared" si="17"/>
        <v>1553</v>
      </c>
      <c r="K1127" s="29" t="str">
        <f>IF('Paste SD Data'!O1124="","",'Paste SD Data'!O1124)</f>
        <v/>
      </c>
    </row>
    <row r="1128" spans="1:11" ht="30" customHeight="1" x14ac:dyDescent="0.25">
      <c r="A1128" s="25" t="str">
        <f>IF(Table1[[#This Row],[Name of Student]]="","",ROWS($A$1:A1124))</f>
        <v/>
      </c>
      <c r="B1128" s="26" t="str">
        <f>IF('Paste SD Data'!A1125="","",'Paste SD Data'!A1125)</f>
        <v/>
      </c>
      <c r="C1128" s="26" t="str">
        <f>IF('Paste SD Data'!B1125="","",'Paste SD Data'!B1125)</f>
        <v/>
      </c>
      <c r="D1128" s="26" t="str">
        <f>IF('Paste SD Data'!C1125="","",'Paste SD Data'!C1125)</f>
        <v/>
      </c>
      <c r="E1128" s="27" t="str">
        <f>IF('Paste SD Data'!E1125="","",UPPER('Paste SD Data'!E1125))</f>
        <v/>
      </c>
      <c r="F1128" s="27" t="str">
        <f>IF('Paste SD Data'!G1125="","",UPPER('Paste SD Data'!G1125))</f>
        <v/>
      </c>
      <c r="G1128" s="27" t="str">
        <f>IF('Paste SD Data'!H1125="","",UPPER('Paste SD Data'!H1125))</f>
        <v/>
      </c>
      <c r="H1128" s="26" t="str">
        <f>IF('Paste SD Data'!I1125="","",IF('Paste SD Data'!I1125="M","BOY","GIRL"))</f>
        <v/>
      </c>
      <c r="I1128" s="28" t="str">
        <f>IF('Paste SD Data'!J1125="","",'Paste SD Data'!J1125)</f>
        <v/>
      </c>
      <c r="J1128" s="34">
        <f t="shared" si="17"/>
        <v>1554</v>
      </c>
      <c r="K1128" s="29" t="str">
        <f>IF('Paste SD Data'!O1125="","",'Paste SD Data'!O1125)</f>
        <v/>
      </c>
    </row>
    <row r="1129" spans="1:11" ht="30" customHeight="1" x14ac:dyDescent="0.25">
      <c r="A1129" s="25" t="str">
        <f>IF(Table1[[#This Row],[Name of Student]]="","",ROWS($A$1:A1125))</f>
        <v/>
      </c>
      <c r="B1129" s="26" t="str">
        <f>IF('Paste SD Data'!A1126="","",'Paste SD Data'!A1126)</f>
        <v/>
      </c>
      <c r="C1129" s="26" t="str">
        <f>IF('Paste SD Data'!B1126="","",'Paste SD Data'!B1126)</f>
        <v/>
      </c>
      <c r="D1129" s="26" t="str">
        <f>IF('Paste SD Data'!C1126="","",'Paste SD Data'!C1126)</f>
        <v/>
      </c>
      <c r="E1129" s="27" t="str">
        <f>IF('Paste SD Data'!E1126="","",UPPER('Paste SD Data'!E1126))</f>
        <v/>
      </c>
      <c r="F1129" s="27" t="str">
        <f>IF('Paste SD Data'!G1126="","",UPPER('Paste SD Data'!G1126))</f>
        <v/>
      </c>
      <c r="G1129" s="27" t="str">
        <f>IF('Paste SD Data'!H1126="","",UPPER('Paste SD Data'!H1126))</f>
        <v/>
      </c>
      <c r="H1129" s="26" t="str">
        <f>IF('Paste SD Data'!I1126="","",IF('Paste SD Data'!I1126="M","BOY","GIRL"))</f>
        <v/>
      </c>
      <c r="I1129" s="28" t="str">
        <f>IF('Paste SD Data'!J1126="","",'Paste SD Data'!J1126)</f>
        <v/>
      </c>
      <c r="J1129" s="34">
        <f t="shared" si="17"/>
        <v>1555</v>
      </c>
      <c r="K1129" s="29" t="str">
        <f>IF('Paste SD Data'!O1126="","",'Paste SD Data'!O1126)</f>
        <v/>
      </c>
    </row>
    <row r="1130" spans="1:11" ht="30" customHeight="1" x14ac:dyDescent="0.25">
      <c r="A1130" s="25" t="str">
        <f>IF(Table1[[#This Row],[Name of Student]]="","",ROWS($A$1:A1126))</f>
        <v/>
      </c>
      <c r="B1130" s="26" t="str">
        <f>IF('Paste SD Data'!A1127="","",'Paste SD Data'!A1127)</f>
        <v/>
      </c>
      <c r="C1130" s="26" t="str">
        <f>IF('Paste SD Data'!B1127="","",'Paste SD Data'!B1127)</f>
        <v/>
      </c>
      <c r="D1130" s="26" t="str">
        <f>IF('Paste SD Data'!C1127="","",'Paste SD Data'!C1127)</f>
        <v/>
      </c>
      <c r="E1130" s="27" t="str">
        <f>IF('Paste SD Data'!E1127="","",UPPER('Paste SD Data'!E1127))</f>
        <v/>
      </c>
      <c r="F1130" s="27" t="str">
        <f>IF('Paste SD Data'!G1127="","",UPPER('Paste SD Data'!G1127))</f>
        <v/>
      </c>
      <c r="G1130" s="27" t="str">
        <f>IF('Paste SD Data'!H1127="","",UPPER('Paste SD Data'!H1127))</f>
        <v/>
      </c>
      <c r="H1130" s="26" t="str">
        <f>IF('Paste SD Data'!I1127="","",IF('Paste SD Data'!I1127="M","BOY","GIRL"))</f>
        <v/>
      </c>
      <c r="I1130" s="28" t="str">
        <f>IF('Paste SD Data'!J1127="","",'Paste SD Data'!J1127)</f>
        <v/>
      </c>
      <c r="J1130" s="34">
        <f t="shared" si="17"/>
        <v>1556</v>
      </c>
      <c r="K1130" s="29" t="str">
        <f>IF('Paste SD Data'!O1127="","",'Paste SD Data'!O1127)</f>
        <v/>
      </c>
    </row>
    <row r="1131" spans="1:11" ht="30" customHeight="1" x14ac:dyDescent="0.25">
      <c r="A1131" s="25" t="str">
        <f>IF(Table1[[#This Row],[Name of Student]]="","",ROWS($A$1:A1127))</f>
        <v/>
      </c>
      <c r="B1131" s="26" t="str">
        <f>IF('Paste SD Data'!A1128="","",'Paste SD Data'!A1128)</f>
        <v/>
      </c>
      <c r="C1131" s="26" t="str">
        <f>IF('Paste SD Data'!B1128="","",'Paste SD Data'!B1128)</f>
        <v/>
      </c>
      <c r="D1131" s="26" t="str">
        <f>IF('Paste SD Data'!C1128="","",'Paste SD Data'!C1128)</f>
        <v/>
      </c>
      <c r="E1131" s="27" t="str">
        <f>IF('Paste SD Data'!E1128="","",UPPER('Paste SD Data'!E1128))</f>
        <v/>
      </c>
      <c r="F1131" s="27" t="str">
        <f>IF('Paste SD Data'!G1128="","",UPPER('Paste SD Data'!G1128))</f>
        <v/>
      </c>
      <c r="G1131" s="27" t="str">
        <f>IF('Paste SD Data'!H1128="","",UPPER('Paste SD Data'!H1128))</f>
        <v/>
      </c>
      <c r="H1131" s="26" t="str">
        <f>IF('Paste SD Data'!I1128="","",IF('Paste SD Data'!I1128="M","BOY","GIRL"))</f>
        <v/>
      </c>
      <c r="I1131" s="28" t="str">
        <f>IF('Paste SD Data'!J1128="","",'Paste SD Data'!J1128)</f>
        <v/>
      </c>
      <c r="J1131" s="34">
        <f t="shared" si="17"/>
        <v>1557</v>
      </c>
      <c r="K1131" s="29" t="str">
        <f>IF('Paste SD Data'!O1128="","",'Paste SD Data'!O1128)</f>
        <v/>
      </c>
    </row>
    <row r="1132" spans="1:11" ht="30" customHeight="1" x14ac:dyDescent="0.25">
      <c r="A1132" s="25" t="str">
        <f>IF(Table1[[#This Row],[Name of Student]]="","",ROWS($A$1:A1128))</f>
        <v/>
      </c>
      <c r="B1132" s="26" t="str">
        <f>IF('Paste SD Data'!A1129="","",'Paste SD Data'!A1129)</f>
        <v/>
      </c>
      <c r="C1132" s="26" t="str">
        <f>IF('Paste SD Data'!B1129="","",'Paste SD Data'!B1129)</f>
        <v/>
      </c>
      <c r="D1132" s="26" t="str">
        <f>IF('Paste SD Data'!C1129="","",'Paste SD Data'!C1129)</f>
        <v/>
      </c>
      <c r="E1132" s="27" t="str">
        <f>IF('Paste SD Data'!E1129="","",UPPER('Paste SD Data'!E1129))</f>
        <v/>
      </c>
      <c r="F1132" s="27" t="str">
        <f>IF('Paste SD Data'!G1129="","",UPPER('Paste SD Data'!G1129))</f>
        <v/>
      </c>
      <c r="G1132" s="27" t="str">
        <f>IF('Paste SD Data'!H1129="","",UPPER('Paste SD Data'!H1129))</f>
        <v/>
      </c>
      <c r="H1132" s="26" t="str">
        <f>IF('Paste SD Data'!I1129="","",IF('Paste SD Data'!I1129="M","BOY","GIRL"))</f>
        <v/>
      </c>
      <c r="I1132" s="28" t="str">
        <f>IF('Paste SD Data'!J1129="","",'Paste SD Data'!J1129)</f>
        <v/>
      </c>
      <c r="J1132" s="34">
        <f t="shared" si="17"/>
        <v>1558</v>
      </c>
      <c r="K1132" s="29" t="str">
        <f>IF('Paste SD Data'!O1129="","",'Paste SD Data'!O1129)</f>
        <v/>
      </c>
    </row>
    <row r="1133" spans="1:11" ht="30" customHeight="1" x14ac:dyDescent="0.25">
      <c r="A1133" s="25" t="str">
        <f>IF(Table1[[#This Row],[Name of Student]]="","",ROWS($A$1:A1129))</f>
        <v/>
      </c>
      <c r="B1133" s="26" t="str">
        <f>IF('Paste SD Data'!A1130="","",'Paste SD Data'!A1130)</f>
        <v/>
      </c>
      <c r="C1133" s="26" t="str">
        <f>IF('Paste SD Data'!B1130="","",'Paste SD Data'!B1130)</f>
        <v/>
      </c>
      <c r="D1133" s="26" t="str">
        <f>IF('Paste SD Data'!C1130="","",'Paste SD Data'!C1130)</f>
        <v/>
      </c>
      <c r="E1133" s="27" t="str">
        <f>IF('Paste SD Data'!E1130="","",UPPER('Paste SD Data'!E1130))</f>
        <v/>
      </c>
      <c r="F1133" s="27" t="str">
        <f>IF('Paste SD Data'!G1130="","",UPPER('Paste SD Data'!G1130))</f>
        <v/>
      </c>
      <c r="G1133" s="27" t="str">
        <f>IF('Paste SD Data'!H1130="","",UPPER('Paste SD Data'!H1130))</f>
        <v/>
      </c>
      <c r="H1133" s="26" t="str">
        <f>IF('Paste SD Data'!I1130="","",IF('Paste SD Data'!I1130="M","BOY","GIRL"))</f>
        <v/>
      </c>
      <c r="I1133" s="28" t="str">
        <f>IF('Paste SD Data'!J1130="","",'Paste SD Data'!J1130)</f>
        <v/>
      </c>
      <c r="J1133" s="34">
        <f t="shared" si="17"/>
        <v>1559</v>
      </c>
      <c r="K1133" s="29" t="str">
        <f>IF('Paste SD Data'!O1130="","",'Paste SD Data'!O1130)</f>
        <v/>
      </c>
    </row>
    <row r="1134" spans="1:11" ht="30" customHeight="1" x14ac:dyDescent="0.25">
      <c r="A1134" s="25" t="str">
        <f>IF(Table1[[#This Row],[Name of Student]]="","",ROWS($A$1:A1130))</f>
        <v/>
      </c>
      <c r="B1134" s="26" t="str">
        <f>IF('Paste SD Data'!A1131="","",'Paste SD Data'!A1131)</f>
        <v/>
      </c>
      <c r="C1134" s="26" t="str">
        <f>IF('Paste SD Data'!B1131="","",'Paste SD Data'!B1131)</f>
        <v/>
      </c>
      <c r="D1134" s="26" t="str">
        <f>IF('Paste SD Data'!C1131="","",'Paste SD Data'!C1131)</f>
        <v/>
      </c>
      <c r="E1134" s="27" t="str">
        <f>IF('Paste SD Data'!E1131="","",UPPER('Paste SD Data'!E1131))</f>
        <v/>
      </c>
      <c r="F1134" s="27" t="str">
        <f>IF('Paste SD Data'!G1131="","",UPPER('Paste SD Data'!G1131))</f>
        <v/>
      </c>
      <c r="G1134" s="27" t="str">
        <f>IF('Paste SD Data'!H1131="","",UPPER('Paste SD Data'!H1131))</f>
        <v/>
      </c>
      <c r="H1134" s="26" t="str">
        <f>IF('Paste SD Data'!I1131="","",IF('Paste SD Data'!I1131="M","BOY","GIRL"))</f>
        <v/>
      </c>
      <c r="I1134" s="28" t="str">
        <f>IF('Paste SD Data'!J1131="","",'Paste SD Data'!J1131)</f>
        <v/>
      </c>
      <c r="J1134" s="34">
        <f t="shared" si="17"/>
        <v>1560</v>
      </c>
      <c r="K1134" s="29" t="str">
        <f>IF('Paste SD Data'!O1131="","",'Paste SD Data'!O1131)</f>
        <v/>
      </c>
    </row>
    <row r="1135" spans="1:11" ht="30" customHeight="1" x14ac:dyDescent="0.25">
      <c r="A1135" s="25" t="str">
        <f>IF(Table1[[#This Row],[Name of Student]]="","",ROWS($A$1:A1131))</f>
        <v/>
      </c>
      <c r="B1135" s="26" t="str">
        <f>IF('Paste SD Data'!A1132="","",'Paste SD Data'!A1132)</f>
        <v/>
      </c>
      <c r="C1135" s="26" t="str">
        <f>IF('Paste SD Data'!B1132="","",'Paste SD Data'!B1132)</f>
        <v/>
      </c>
      <c r="D1135" s="26" t="str">
        <f>IF('Paste SD Data'!C1132="","",'Paste SD Data'!C1132)</f>
        <v/>
      </c>
      <c r="E1135" s="27" t="str">
        <f>IF('Paste SD Data'!E1132="","",UPPER('Paste SD Data'!E1132))</f>
        <v/>
      </c>
      <c r="F1135" s="27" t="str">
        <f>IF('Paste SD Data'!G1132="","",UPPER('Paste SD Data'!G1132))</f>
        <v/>
      </c>
      <c r="G1135" s="27" t="str">
        <f>IF('Paste SD Data'!H1132="","",UPPER('Paste SD Data'!H1132))</f>
        <v/>
      </c>
      <c r="H1135" s="26" t="str">
        <f>IF('Paste SD Data'!I1132="","",IF('Paste SD Data'!I1132="M","BOY","GIRL"))</f>
        <v/>
      </c>
      <c r="I1135" s="28" t="str">
        <f>IF('Paste SD Data'!J1132="","",'Paste SD Data'!J1132)</f>
        <v/>
      </c>
      <c r="J1135" s="34">
        <f t="shared" si="17"/>
        <v>1561</v>
      </c>
      <c r="K1135" s="29" t="str">
        <f>IF('Paste SD Data'!O1132="","",'Paste SD Data'!O1132)</f>
        <v/>
      </c>
    </row>
    <row r="1136" spans="1:11" ht="30" customHeight="1" x14ac:dyDescent="0.25">
      <c r="A1136" s="25" t="str">
        <f>IF(Table1[[#This Row],[Name of Student]]="","",ROWS($A$1:A1132))</f>
        <v/>
      </c>
      <c r="B1136" s="26" t="str">
        <f>IF('Paste SD Data'!A1133="","",'Paste SD Data'!A1133)</f>
        <v/>
      </c>
      <c r="C1136" s="26" t="str">
        <f>IF('Paste SD Data'!B1133="","",'Paste SD Data'!B1133)</f>
        <v/>
      </c>
      <c r="D1136" s="26" t="str">
        <f>IF('Paste SD Data'!C1133="","",'Paste SD Data'!C1133)</f>
        <v/>
      </c>
      <c r="E1136" s="27" t="str">
        <f>IF('Paste SD Data'!E1133="","",UPPER('Paste SD Data'!E1133))</f>
        <v/>
      </c>
      <c r="F1136" s="27" t="str">
        <f>IF('Paste SD Data'!G1133="","",UPPER('Paste SD Data'!G1133))</f>
        <v/>
      </c>
      <c r="G1136" s="27" t="str">
        <f>IF('Paste SD Data'!H1133="","",UPPER('Paste SD Data'!H1133))</f>
        <v/>
      </c>
      <c r="H1136" s="26" t="str">
        <f>IF('Paste SD Data'!I1133="","",IF('Paste SD Data'!I1133="M","BOY","GIRL"))</f>
        <v/>
      </c>
      <c r="I1136" s="28" t="str">
        <f>IF('Paste SD Data'!J1133="","",'Paste SD Data'!J1133)</f>
        <v/>
      </c>
      <c r="J1136" s="34">
        <f t="shared" si="17"/>
        <v>1562</v>
      </c>
      <c r="K1136" s="29" t="str">
        <f>IF('Paste SD Data'!O1133="","",'Paste SD Data'!O1133)</f>
        <v/>
      </c>
    </row>
    <row r="1137" spans="1:11" ht="30" customHeight="1" x14ac:dyDescent="0.25">
      <c r="A1137" s="25" t="str">
        <f>IF(Table1[[#This Row],[Name of Student]]="","",ROWS($A$1:A1133))</f>
        <v/>
      </c>
      <c r="B1137" s="26" t="str">
        <f>IF('Paste SD Data'!A1134="","",'Paste SD Data'!A1134)</f>
        <v/>
      </c>
      <c r="C1137" s="26" t="str">
        <f>IF('Paste SD Data'!B1134="","",'Paste SD Data'!B1134)</f>
        <v/>
      </c>
      <c r="D1137" s="26" t="str">
        <f>IF('Paste SD Data'!C1134="","",'Paste SD Data'!C1134)</f>
        <v/>
      </c>
      <c r="E1137" s="27" t="str">
        <f>IF('Paste SD Data'!E1134="","",UPPER('Paste SD Data'!E1134))</f>
        <v/>
      </c>
      <c r="F1137" s="27" t="str">
        <f>IF('Paste SD Data'!G1134="","",UPPER('Paste SD Data'!G1134))</f>
        <v/>
      </c>
      <c r="G1137" s="27" t="str">
        <f>IF('Paste SD Data'!H1134="","",UPPER('Paste SD Data'!H1134))</f>
        <v/>
      </c>
      <c r="H1137" s="26" t="str">
        <f>IF('Paste SD Data'!I1134="","",IF('Paste SD Data'!I1134="M","BOY","GIRL"))</f>
        <v/>
      </c>
      <c r="I1137" s="28" t="str">
        <f>IF('Paste SD Data'!J1134="","",'Paste SD Data'!J1134)</f>
        <v/>
      </c>
      <c r="J1137" s="34">
        <f t="shared" si="17"/>
        <v>1563</v>
      </c>
      <c r="K1137" s="29" t="str">
        <f>IF('Paste SD Data'!O1134="","",'Paste SD Data'!O1134)</f>
        <v/>
      </c>
    </row>
    <row r="1138" spans="1:11" ht="30" customHeight="1" x14ac:dyDescent="0.25">
      <c r="A1138" s="25" t="str">
        <f>IF(Table1[[#This Row],[Name of Student]]="","",ROWS($A$1:A1134))</f>
        <v/>
      </c>
      <c r="B1138" s="26" t="str">
        <f>IF('Paste SD Data'!A1135="","",'Paste SD Data'!A1135)</f>
        <v/>
      </c>
      <c r="C1138" s="26" t="str">
        <f>IF('Paste SD Data'!B1135="","",'Paste SD Data'!B1135)</f>
        <v/>
      </c>
      <c r="D1138" s="26" t="str">
        <f>IF('Paste SD Data'!C1135="","",'Paste SD Data'!C1135)</f>
        <v/>
      </c>
      <c r="E1138" s="27" t="str">
        <f>IF('Paste SD Data'!E1135="","",UPPER('Paste SD Data'!E1135))</f>
        <v/>
      </c>
      <c r="F1138" s="27" t="str">
        <f>IF('Paste SD Data'!G1135="","",UPPER('Paste SD Data'!G1135))</f>
        <v/>
      </c>
      <c r="G1138" s="27" t="str">
        <f>IF('Paste SD Data'!H1135="","",UPPER('Paste SD Data'!H1135))</f>
        <v/>
      </c>
      <c r="H1138" s="26" t="str">
        <f>IF('Paste SD Data'!I1135="","",IF('Paste SD Data'!I1135="M","BOY","GIRL"))</f>
        <v/>
      </c>
      <c r="I1138" s="28" t="str">
        <f>IF('Paste SD Data'!J1135="","",'Paste SD Data'!J1135)</f>
        <v/>
      </c>
      <c r="J1138" s="34">
        <f t="shared" si="17"/>
        <v>1564</v>
      </c>
      <c r="K1138" s="29" t="str">
        <f>IF('Paste SD Data'!O1135="","",'Paste SD Data'!O1135)</f>
        <v/>
      </c>
    </row>
    <row r="1139" spans="1:11" ht="30" customHeight="1" x14ac:dyDescent="0.25">
      <c r="A1139" s="25" t="str">
        <f>IF(Table1[[#This Row],[Name of Student]]="","",ROWS($A$1:A1135))</f>
        <v/>
      </c>
      <c r="B1139" s="26" t="str">
        <f>IF('Paste SD Data'!A1136="","",'Paste SD Data'!A1136)</f>
        <v/>
      </c>
      <c r="C1139" s="26" t="str">
        <f>IF('Paste SD Data'!B1136="","",'Paste SD Data'!B1136)</f>
        <v/>
      </c>
      <c r="D1139" s="26" t="str">
        <f>IF('Paste SD Data'!C1136="","",'Paste SD Data'!C1136)</f>
        <v/>
      </c>
      <c r="E1139" s="27" t="str">
        <f>IF('Paste SD Data'!E1136="","",UPPER('Paste SD Data'!E1136))</f>
        <v/>
      </c>
      <c r="F1139" s="27" t="str">
        <f>IF('Paste SD Data'!G1136="","",UPPER('Paste SD Data'!G1136))</f>
        <v/>
      </c>
      <c r="G1139" s="27" t="str">
        <f>IF('Paste SD Data'!H1136="","",UPPER('Paste SD Data'!H1136))</f>
        <v/>
      </c>
      <c r="H1139" s="26" t="str">
        <f>IF('Paste SD Data'!I1136="","",IF('Paste SD Data'!I1136="M","BOY","GIRL"))</f>
        <v/>
      </c>
      <c r="I1139" s="28" t="str">
        <f>IF('Paste SD Data'!J1136="","",'Paste SD Data'!J1136)</f>
        <v/>
      </c>
      <c r="J1139" s="34">
        <f t="shared" si="17"/>
        <v>1565</v>
      </c>
      <c r="K1139" s="29" t="str">
        <f>IF('Paste SD Data'!O1136="","",'Paste SD Data'!O1136)</f>
        <v/>
      </c>
    </row>
    <row r="1140" spans="1:11" ht="30" customHeight="1" x14ac:dyDescent="0.25">
      <c r="A1140" s="25" t="str">
        <f>IF(Table1[[#This Row],[Name of Student]]="","",ROWS($A$1:A1136))</f>
        <v/>
      </c>
      <c r="B1140" s="26" t="str">
        <f>IF('Paste SD Data'!A1137="","",'Paste SD Data'!A1137)</f>
        <v/>
      </c>
      <c r="C1140" s="26" t="str">
        <f>IF('Paste SD Data'!B1137="","",'Paste SD Data'!B1137)</f>
        <v/>
      </c>
      <c r="D1140" s="26" t="str">
        <f>IF('Paste SD Data'!C1137="","",'Paste SD Data'!C1137)</f>
        <v/>
      </c>
      <c r="E1140" s="27" t="str">
        <f>IF('Paste SD Data'!E1137="","",UPPER('Paste SD Data'!E1137))</f>
        <v/>
      </c>
      <c r="F1140" s="27" t="str">
        <f>IF('Paste SD Data'!G1137="","",UPPER('Paste SD Data'!G1137))</f>
        <v/>
      </c>
      <c r="G1140" s="27" t="str">
        <f>IF('Paste SD Data'!H1137="","",UPPER('Paste SD Data'!H1137))</f>
        <v/>
      </c>
      <c r="H1140" s="26" t="str">
        <f>IF('Paste SD Data'!I1137="","",IF('Paste SD Data'!I1137="M","BOY","GIRL"))</f>
        <v/>
      </c>
      <c r="I1140" s="28" t="str">
        <f>IF('Paste SD Data'!J1137="","",'Paste SD Data'!J1137)</f>
        <v/>
      </c>
      <c r="J1140" s="34">
        <f t="shared" si="17"/>
        <v>1566</v>
      </c>
      <c r="K1140" s="29" t="str">
        <f>IF('Paste SD Data'!O1137="","",'Paste SD Data'!O1137)</f>
        <v/>
      </c>
    </row>
    <row r="1141" spans="1:11" ht="30" customHeight="1" x14ac:dyDescent="0.25">
      <c r="A1141" s="25" t="str">
        <f>IF(Table1[[#This Row],[Name of Student]]="","",ROWS($A$1:A1137))</f>
        <v/>
      </c>
      <c r="B1141" s="26" t="str">
        <f>IF('Paste SD Data'!A1138="","",'Paste SD Data'!A1138)</f>
        <v/>
      </c>
      <c r="C1141" s="26" t="str">
        <f>IF('Paste SD Data'!B1138="","",'Paste SD Data'!B1138)</f>
        <v/>
      </c>
      <c r="D1141" s="26" t="str">
        <f>IF('Paste SD Data'!C1138="","",'Paste SD Data'!C1138)</f>
        <v/>
      </c>
      <c r="E1141" s="27" t="str">
        <f>IF('Paste SD Data'!E1138="","",UPPER('Paste SD Data'!E1138))</f>
        <v/>
      </c>
      <c r="F1141" s="27" t="str">
        <f>IF('Paste SD Data'!G1138="","",UPPER('Paste SD Data'!G1138))</f>
        <v/>
      </c>
      <c r="G1141" s="27" t="str">
        <f>IF('Paste SD Data'!H1138="","",UPPER('Paste SD Data'!H1138))</f>
        <v/>
      </c>
      <c r="H1141" s="26" t="str">
        <f>IF('Paste SD Data'!I1138="","",IF('Paste SD Data'!I1138="M","BOY","GIRL"))</f>
        <v/>
      </c>
      <c r="I1141" s="28" t="str">
        <f>IF('Paste SD Data'!J1138="","",'Paste SD Data'!J1138)</f>
        <v/>
      </c>
      <c r="J1141" s="34">
        <f t="shared" si="17"/>
        <v>1567</v>
      </c>
      <c r="K1141" s="29" t="str">
        <f>IF('Paste SD Data'!O1138="","",'Paste SD Data'!O1138)</f>
        <v/>
      </c>
    </row>
    <row r="1142" spans="1:11" ht="30" customHeight="1" x14ac:dyDescent="0.25">
      <c r="A1142" s="25" t="str">
        <f>IF(Table1[[#This Row],[Name of Student]]="","",ROWS($A$1:A1138))</f>
        <v/>
      </c>
      <c r="B1142" s="26" t="str">
        <f>IF('Paste SD Data'!A1139="","",'Paste SD Data'!A1139)</f>
        <v/>
      </c>
      <c r="C1142" s="26" t="str">
        <f>IF('Paste SD Data'!B1139="","",'Paste SD Data'!B1139)</f>
        <v/>
      </c>
      <c r="D1142" s="26" t="str">
        <f>IF('Paste SD Data'!C1139="","",'Paste SD Data'!C1139)</f>
        <v/>
      </c>
      <c r="E1142" s="27" t="str">
        <f>IF('Paste SD Data'!E1139="","",UPPER('Paste SD Data'!E1139))</f>
        <v/>
      </c>
      <c r="F1142" s="27" t="str">
        <f>IF('Paste SD Data'!G1139="","",UPPER('Paste SD Data'!G1139))</f>
        <v/>
      </c>
      <c r="G1142" s="27" t="str">
        <f>IF('Paste SD Data'!H1139="","",UPPER('Paste SD Data'!H1139))</f>
        <v/>
      </c>
      <c r="H1142" s="26" t="str">
        <f>IF('Paste SD Data'!I1139="","",IF('Paste SD Data'!I1139="M","BOY","GIRL"))</f>
        <v/>
      </c>
      <c r="I1142" s="28" t="str">
        <f>IF('Paste SD Data'!J1139="","",'Paste SD Data'!J1139)</f>
        <v/>
      </c>
      <c r="J1142" s="34">
        <f t="shared" si="17"/>
        <v>1568</v>
      </c>
      <c r="K1142" s="29" t="str">
        <f>IF('Paste SD Data'!O1139="","",'Paste SD Data'!O1139)</f>
        <v/>
      </c>
    </row>
    <row r="1143" spans="1:11" ht="30" customHeight="1" x14ac:dyDescent="0.25">
      <c r="A1143" s="25" t="str">
        <f>IF(Table1[[#This Row],[Name of Student]]="","",ROWS($A$1:A1139))</f>
        <v/>
      </c>
      <c r="B1143" s="26" t="str">
        <f>IF('Paste SD Data'!A1140="","",'Paste SD Data'!A1140)</f>
        <v/>
      </c>
      <c r="C1143" s="26" t="str">
        <f>IF('Paste SD Data'!B1140="","",'Paste SD Data'!B1140)</f>
        <v/>
      </c>
      <c r="D1143" s="26" t="str">
        <f>IF('Paste SD Data'!C1140="","",'Paste SD Data'!C1140)</f>
        <v/>
      </c>
      <c r="E1143" s="27" t="str">
        <f>IF('Paste SD Data'!E1140="","",UPPER('Paste SD Data'!E1140))</f>
        <v/>
      </c>
      <c r="F1143" s="27" t="str">
        <f>IF('Paste SD Data'!G1140="","",UPPER('Paste SD Data'!G1140))</f>
        <v/>
      </c>
      <c r="G1143" s="27" t="str">
        <f>IF('Paste SD Data'!H1140="","",UPPER('Paste SD Data'!H1140))</f>
        <v/>
      </c>
      <c r="H1143" s="26" t="str">
        <f>IF('Paste SD Data'!I1140="","",IF('Paste SD Data'!I1140="M","BOY","GIRL"))</f>
        <v/>
      </c>
      <c r="I1143" s="28" t="str">
        <f>IF('Paste SD Data'!J1140="","",'Paste SD Data'!J1140)</f>
        <v/>
      </c>
      <c r="J1143" s="34">
        <f t="shared" si="17"/>
        <v>1569</v>
      </c>
      <c r="K1143" s="29" t="str">
        <f>IF('Paste SD Data'!O1140="","",'Paste SD Data'!O1140)</f>
        <v/>
      </c>
    </row>
    <row r="1144" spans="1:11" ht="30" customHeight="1" x14ac:dyDescent="0.25">
      <c r="A1144" s="25" t="str">
        <f>IF(Table1[[#This Row],[Name of Student]]="","",ROWS($A$1:A1140))</f>
        <v/>
      </c>
      <c r="B1144" s="26" t="str">
        <f>IF('Paste SD Data'!A1141="","",'Paste SD Data'!A1141)</f>
        <v/>
      </c>
      <c r="C1144" s="26" t="str">
        <f>IF('Paste SD Data'!B1141="","",'Paste SD Data'!B1141)</f>
        <v/>
      </c>
      <c r="D1144" s="26" t="str">
        <f>IF('Paste SD Data'!C1141="","",'Paste SD Data'!C1141)</f>
        <v/>
      </c>
      <c r="E1144" s="27" t="str">
        <f>IF('Paste SD Data'!E1141="","",UPPER('Paste SD Data'!E1141))</f>
        <v/>
      </c>
      <c r="F1144" s="27" t="str">
        <f>IF('Paste SD Data'!G1141="","",UPPER('Paste SD Data'!G1141))</f>
        <v/>
      </c>
      <c r="G1144" s="27" t="str">
        <f>IF('Paste SD Data'!H1141="","",UPPER('Paste SD Data'!H1141))</f>
        <v/>
      </c>
      <c r="H1144" s="26" t="str">
        <f>IF('Paste SD Data'!I1141="","",IF('Paste SD Data'!I1141="M","BOY","GIRL"))</f>
        <v/>
      </c>
      <c r="I1144" s="28" t="str">
        <f>IF('Paste SD Data'!J1141="","",'Paste SD Data'!J1141)</f>
        <v/>
      </c>
      <c r="J1144" s="34">
        <f t="shared" si="17"/>
        <v>1570</v>
      </c>
      <c r="K1144" s="29" t="str">
        <f>IF('Paste SD Data'!O1141="","",'Paste SD Data'!O1141)</f>
        <v/>
      </c>
    </row>
    <row r="1145" spans="1:11" ht="30" customHeight="1" x14ac:dyDescent="0.25">
      <c r="A1145" s="25" t="str">
        <f>IF(Table1[[#This Row],[Name of Student]]="","",ROWS($A$1:A1141))</f>
        <v/>
      </c>
      <c r="B1145" s="26" t="str">
        <f>IF('Paste SD Data'!A1142="","",'Paste SD Data'!A1142)</f>
        <v/>
      </c>
      <c r="C1145" s="26" t="str">
        <f>IF('Paste SD Data'!B1142="","",'Paste SD Data'!B1142)</f>
        <v/>
      </c>
      <c r="D1145" s="26" t="str">
        <f>IF('Paste SD Data'!C1142="","",'Paste SD Data'!C1142)</f>
        <v/>
      </c>
      <c r="E1145" s="27" t="str">
        <f>IF('Paste SD Data'!E1142="","",UPPER('Paste SD Data'!E1142))</f>
        <v/>
      </c>
      <c r="F1145" s="27" t="str">
        <f>IF('Paste SD Data'!G1142="","",UPPER('Paste SD Data'!G1142))</f>
        <v/>
      </c>
      <c r="G1145" s="27" t="str">
        <f>IF('Paste SD Data'!H1142="","",UPPER('Paste SD Data'!H1142))</f>
        <v/>
      </c>
      <c r="H1145" s="26" t="str">
        <f>IF('Paste SD Data'!I1142="","",IF('Paste SD Data'!I1142="M","BOY","GIRL"))</f>
        <v/>
      </c>
      <c r="I1145" s="28" t="str">
        <f>IF('Paste SD Data'!J1142="","",'Paste SD Data'!J1142)</f>
        <v/>
      </c>
      <c r="J1145" s="34">
        <f t="shared" si="17"/>
        <v>1571</v>
      </c>
      <c r="K1145" s="29" t="str">
        <f>IF('Paste SD Data'!O1142="","",'Paste SD Data'!O1142)</f>
        <v/>
      </c>
    </row>
    <row r="1146" spans="1:11" ht="30" customHeight="1" x14ac:dyDescent="0.25">
      <c r="A1146" s="25" t="str">
        <f>IF(Table1[[#This Row],[Name of Student]]="","",ROWS($A$1:A1142))</f>
        <v/>
      </c>
      <c r="B1146" s="26" t="str">
        <f>IF('Paste SD Data'!A1143="","",'Paste SD Data'!A1143)</f>
        <v/>
      </c>
      <c r="C1146" s="26" t="str">
        <f>IF('Paste SD Data'!B1143="","",'Paste SD Data'!B1143)</f>
        <v/>
      </c>
      <c r="D1146" s="26" t="str">
        <f>IF('Paste SD Data'!C1143="","",'Paste SD Data'!C1143)</f>
        <v/>
      </c>
      <c r="E1146" s="27" t="str">
        <f>IF('Paste SD Data'!E1143="","",UPPER('Paste SD Data'!E1143))</f>
        <v/>
      </c>
      <c r="F1146" s="27" t="str">
        <f>IF('Paste SD Data'!G1143="","",UPPER('Paste SD Data'!G1143))</f>
        <v/>
      </c>
      <c r="G1146" s="27" t="str">
        <f>IF('Paste SD Data'!H1143="","",UPPER('Paste SD Data'!H1143))</f>
        <v/>
      </c>
      <c r="H1146" s="26" t="str">
        <f>IF('Paste SD Data'!I1143="","",IF('Paste SD Data'!I1143="M","BOY","GIRL"))</f>
        <v/>
      </c>
      <c r="I1146" s="28" t="str">
        <f>IF('Paste SD Data'!J1143="","",'Paste SD Data'!J1143)</f>
        <v/>
      </c>
      <c r="J1146" s="34">
        <f t="shared" si="17"/>
        <v>1572</v>
      </c>
      <c r="K1146" s="29" t="str">
        <f>IF('Paste SD Data'!O1143="","",'Paste SD Data'!O1143)</f>
        <v/>
      </c>
    </row>
    <row r="1147" spans="1:11" ht="30" customHeight="1" x14ac:dyDescent="0.25">
      <c r="A1147" s="25" t="str">
        <f>IF(Table1[[#This Row],[Name of Student]]="","",ROWS($A$1:A1143))</f>
        <v/>
      </c>
      <c r="B1147" s="26" t="str">
        <f>IF('Paste SD Data'!A1144="","",'Paste SD Data'!A1144)</f>
        <v/>
      </c>
      <c r="C1147" s="26" t="str">
        <f>IF('Paste SD Data'!B1144="","",'Paste SD Data'!B1144)</f>
        <v/>
      </c>
      <c r="D1147" s="26" t="str">
        <f>IF('Paste SD Data'!C1144="","",'Paste SD Data'!C1144)</f>
        <v/>
      </c>
      <c r="E1147" s="27" t="str">
        <f>IF('Paste SD Data'!E1144="","",UPPER('Paste SD Data'!E1144))</f>
        <v/>
      </c>
      <c r="F1147" s="27" t="str">
        <f>IF('Paste SD Data'!G1144="","",UPPER('Paste SD Data'!G1144))</f>
        <v/>
      </c>
      <c r="G1147" s="27" t="str">
        <f>IF('Paste SD Data'!H1144="","",UPPER('Paste SD Data'!H1144))</f>
        <v/>
      </c>
      <c r="H1147" s="26" t="str">
        <f>IF('Paste SD Data'!I1144="","",IF('Paste SD Data'!I1144="M","BOY","GIRL"))</f>
        <v/>
      </c>
      <c r="I1147" s="28" t="str">
        <f>IF('Paste SD Data'!J1144="","",'Paste SD Data'!J1144)</f>
        <v/>
      </c>
      <c r="J1147" s="34">
        <f t="shared" si="17"/>
        <v>1573</v>
      </c>
      <c r="K1147" s="29" t="str">
        <f>IF('Paste SD Data'!O1144="","",'Paste SD Data'!O1144)</f>
        <v/>
      </c>
    </row>
    <row r="1148" spans="1:11" ht="30" customHeight="1" x14ac:dyDescent="0.25">
      <c r="A1148" s="25" t="str">
        <f>IF(Table1[[#This Row],[Name of Student]]="","",ROWS($A$1:A1144))</f>
        <v/>
      </c>
      <c r="B1148" s="26" t="str">
        <f>IF('Paste SD Data'!A1145="","",'Paste SD Data'!A1145)</f>
        <v/>
      </c>
      <c r="C1148" s="26" t="str">
        <f>IF('Paste SD Data'!B1145="","",'Paste SD Data'!B1145)</f>
        <v/>
      </c>
      <c r="D1148" s="26" t="str">
        <f>IF('Paste SD Data'!C1145="","",'Paste SD Data'!C1145)</f>
        <v/>
      </c>
      <c r="E1148" s="27" t="str">
        <f>IF('Paste SD Data'!E1145="","",UPPER('Paste SD Data'!E1145))</f>
        <v/>
      </c>
      <c r="F1148" s="27" t="str">
        <f>IF('Paste SD Data'!G1145="","",UPPER('Paste SD Data'!G1145))</f>
        <v/>
      </c>
      <c r="G1148" s="27" t="str">
        <f>IF('Paste SD Data'!H1145="","",UPPER('Paste SD Data'!H1145))</f>
        <v/>
      </c>
      <c r="H1148" s="26" t="str">
        <f>IF('Paste SD Data'!I1145="","",IF('Paste SD Data'!I1145="M","BOY","GIRL"))</f>
        <v/>
      </c>
      <c r="I1148" s="28" t="str">
        <f>IF('Paste SD Data'!J1145="","",'Paste SD Data'!J1145)</f>
        <v/>
      </c>
      <c r="J1148" s="34">
        <f t="shared" si="17"/>
        <v>1574</v>
      </c>
      <c r="K1148" s="29" t="str">
        <f>IF('Paste SD Data'!O1145="","",'Paste SD Data'!O1145)</f>
        <v/>
      </c>
    </row>
    <row r="1149" spans="1:11" ht="30" customHeight="1" x14ac:dyDescent="0.25">
      <c r="A1149" s="25" t="str">
        <f>IF(Table1[[#This Row],[Name of Student]]="","",ROWS($A$1:A1145))</f>
        <v/>
      </c>
      <c r="B1149" s="26" t="str">
        <f>IF('Paste SD Data'!A1146="","",'Paste SD Data'!A1146)</f>
        <v/>
      </c>
      <c r="C1149" s="26" t="str">
        <f>IF('Paste SD Data'!B1146="","",'Paste SD Data'!B1146)</f>
        <v/>
      </c>
      <c r="D1149" s="26" t="str">
        <f>IF('Paste SD Data'!C1146="","",'Paste SD Data'!C1146)</f>
        <v/>
      </c>
      <c r="E1149" s="27" t="str">
        <f>IF('Paste SD Data'!E1146="","",UPPER('Paste SD Data'!E1146))</f>
        <v/>
      </c>
      <c r="F1149" s="27" t="str">
        <f>IF('Paste SD Data'!G1146="","",UPPER('Paste SD Data'!G1146))</f>
        <v/>
      </c>
      <c r="G1149" s="27" t="str">
        <f>IF('Paste SD Data'!H1146="","",UPPER('Paste SD Data'!H1146))</f>
        <v/>
      </c>
      <c r="H1149" s="26" t="str">
        <f>IF('Paste SD Data'!I1146="","",IF('Paste SD Data'!I1146="M","BOY","GIRL"))</f>
        <v/>
      </c>
      <c r="I1149" s="28" t="str">
        <f>IF('Paste SD Data'!J1146="","",'Paste SD Data'!J1146)</f>
        <v/>
      </c>
      <c r="J1149" s="34">
        <f t="shared" si="17"/>
        <v>1575</v>
      </c>
      <c r="K1149" s="29" t="str">
        <f>IF('Paste SD Data'!O1146="","",'Paste SD Data'!O1146)</f>
        <v/>
      </c>
    </row>
    <row r="1150" spans="1:11" ht="30" customHeight="1" x14ac:dyDescent="0.25">
      <c r="A1150" s="25" t="str">
        <f>IF(Table1[[#This Row],[Name of Student]]="","",ROWS($A$1:A1146))</f>
        <v/>
      </c>
      <c r="B1150" s="26" t="str">
        <f>IF('Paste SD Data'!A1147="","",'Paste SD Data'!A1147)</f>
        <v/>
      </c>
      <c r="C1150" s="26" t="str">
        <f>IF('Paste SD Data'!B1147="","",'Paste SD Data'!B1147)</f>
        <v/>
      </c>
      <c r="D1150" s="26" t="str">
        <f>IF('Paste SD Data'!C1147="","",'Paste SD Data'!C1147)</f>
        <v/>
      </c>
      <c r="E1150" s="27" t="str">
        <f>IF('Paste SD Data'!E1147="","",UPPER('Paste SD Data'!E1147))</f>
        <v/>
      </c>
      <c r="F1150" s="27" t="str">
        <f>IF('Paste SD Data'!G1147="","",UPPER('Paste SD Data'!G1147))</f>
        <v/>
      </c>
      <c r="G1150" s="27" t="str">
        <f>IF('Paste SD Data'!H1147="","",UPPER('Paste SD Data'!H1147))</f>
        <v/>
      </c>
      <c r="H1150" s="26" t="str">
        <f>IF('Paste SD Data'!I1147="","",IF('Paste SD Data'!I1147="M","BOY","GIRL"))</f>
        <v/>
      </c>
      <c r="I1150" s="28" t="str">
        <f>IF('Paste SD Data'!J1147="","",'Paste SD Data'!J1147)</f>
        <v/>
      </c>
      <c r="J1150" s="34">
        <f t="shared" si="17"/>
        <v>1576</v>
      </c>
      <c r="K1150" s="29" t="str">
        <f>IF('Paste SD Data'!O1147="","",'Paste SD Data'!O1147)</f>
        <v/>
      </c>
    </row>
    <row r="1151" spans="1:11" ht="30" customHeight="1" x14ac:dyDescent="0.25">
      <c r="A1151" s="25" t="str">
        <f>IF(Table1[[#This Row],[Name of Student]]="","",ROWS($A$1:A1147))</f>
        <v/>
      </c>
      <c r="B1151" s="26" t="str">
        <f>IF('Paste SD Data'!A1148="","",'Paste SD Data'!A1148)</f>
        <v/>
      </c>
      <c r="C1151" s="26" t="str">
        <f>IF('Paste SD Data'!B1148="","",'Paste SD Data'!B1148)</f>
        <v/>
      </c>
      <c r="D1151" s="26" t="str">
        <f>IF('Paste SD Data'!C1148="","",'Paste SD Data'!C1148)</f>
        <v/>
      </c>
      <c r="E1151" s="27" t="str">
        <f>IF('Paste SD Data'!E1148="","",UPPER('Paste SD Data'!E1148))</f>
        <v/>
      </c>
      <c r="F1151" s="27" t="str">
        <f>IF('Paste SD Data'!G1148="","",UPPER('Paste SD Data'!G1148))</f>
        <v/>
      </c>
      <c r="G1151" s="27" t="str">
        <f>IF('Paste SD Data'!H1148="","",UPPER('Paste SD Data'!H1148))</f>
        <v/>
      </c>
      <c r="H1151" s="26" t="str">
        <f>IF('Paste SD Data'!I1148="","",IF('Paste SD Data'!I1148="M","BOY","GIRL"))</f>
        <v/>
      </c>
      <c r="I1151" s="28" t="str">
        <f>IF('Paste SD Data'!J1148="","",'Paste SD Data'!J1148)</f>
        <v/>
      </c>
      <c r="J1151" s="34">
        <f t="shared" si="17"/>
        <v>1577</v>
      </c>
      <c r="K1151" s="29" t="str">
        <f>IF('Paste SD Data'!O1148="","",'Paste SD Data'!O1148)</f>
        <v/>
      </c>
    </row>
    <row r="1152" spans="1:11" ht="30" customHeight="1" x14ac:dyDescent="0.25">
      <c r="A1152" s="25" t="str">
        <f>IF(Table1[[#This Row],[Name of Student]]="","",ROWS($A$1:A1148))</f>
        <v/>
      </c>
      <c r="B1152" s="26" t="str">
        <f>IF('Paste SD Data'!A1149="","",'Paste SD Data'!A1149)</f>
        <v/>
      </c>
      <c r="C1152" s="26" t="str">
        <f>IF('Paste SD Data'!B1149="","",'Paste SD Data'!B1149)</f>
        <v/>
      </c>
      <c r="D1152" s="26" t="str">
        <f>IF('Paste SD Data'!C1149="","",'Paste SD Data'!C1149)</f>
        <v/>
      </c>
      <c r="E1152" s="27" t="str">
        <f>IF('Paste SD Data'!E1149="","",UPPER('Paste SD Data'!E1149))</f>
        <v/>
      </c>
      <c r="F1152" s="27" t="str">
        <f>IF('Paste SD Data'!G1149="","",UPPER('Paste SD Data'!G1149))</f>
        <v/>
      </c>
      <c r="G1152" s="27" t="str">
        <f>IF('Paste SD Data'!H1149="","",UPPER('Paste SD Data'!H1149))</f>
        <v/>
      </c>
      <c r="H1152" s="26" t="str">
        <f>IF('Paste SD Data'!I1149="","",IF('Paste SD Data'!I1149="M","BOY","GIRL"))</f>
        <v/>
      </c>
      <c r="I1152" s="28" t="str">
        <f>IF('Paste SD Data'!J1149="","",'Paste SD Data'!J1149)</f>
        <v/>
      </c>
      <c r="J1152" s="34">
        <f t="shared" si="17"/>
        <v>1578</v>
      </c>
      <c r="K1152" s="29" t="str">
        <f>IF('Paste SD Data'!O1149="","",'Paste SD Data'!O1149)</f>
        <v/>
      </c>
    </row>
    <row r="1153" spans="1:11" ht="30" customHeight="1" x14ac:dyDescent="0.25">
      <c r="A1153" s="25" t="str">
        <f>IF(Table1[[#This Row],[Name of Student]]="","",ROWS($A$1:A1149))</f>
        <v/>
      </c>
      <c r="B1153" s="26" t="str">
        <f>IF('Paste SD Data'!A1150="","",'Paste SD Data'!A1150)</f>
        <v/>
      </c>
      <c r="C1153" s="26" t="str">
        <f>IF('Paste SD Data'!B1150="","",'Paste SD Data'!B1150)</f>
        <v/>
      </c>
      <c r="D1153" s="26" t="str">
        <f>IF('Paste SD Data'!C1150="","",'Paste SD Data'!C1150)</f>
        <v/>
      </c>
      <c r="E1153" s="27" t="str">
        <f>IF('Paste SD Data'!E1150="","",UPPER('Paste SD Data'!E1150))</f>
        <v/>
      </c>
      <c r="F1153" s="27" t="str">
        <f>IF('Paste SD Data'!G1150="","",UPPER('Paste SD Data'!G1150))</f>
        <v/>
      </c>
      <c r="G1153" s="27" t="str">
        <f>IF('Paste SD Data'!H1150="","",UPPER('Paste SD Data'!H1150))</f>
        <v/>
      </c>
      <c r="H1153" s="26" t="str">
        <f>IF('Paste SD Data'!I1150="","",IF('Paste SD Data'!I1150="M","BOY","GIRL"))</f>
        <v/>
      </c>
      <c r="I1153" s="28" t="str">
        <f>IF('Paste SD Data'!J1150="","",'Paste SD Data'!J1150)</f>
        <v/>
      </c>
      <c r="J1153" s="34">
        <f t="shared" si="17"/>
        <v>1579</v>
      </c>
      <c r="K1153" s="29" t="str">
        <f>IF('Paste SD Data'!O1150="","",'Paste SD Data'!O1150)</f>
        <v/>
      </c>
    </row>
    <row r="1154" spans="1:11" ht="30" customHeight="1" x14ac:dyDescent="0.25">
      <c r="A1154" s="25" t="str">
        <f>IF(Table1[[#This Row],[Name of Student]]="","",ROWS($A$1:A1150))</f>
        <v/>
      </c>
      <c r="B1154" s="26" t="str">
        <f>IF('Paste SD Data'!A1151="","",'Paste SD Data'!A1151)</f>
        <v/>
      </c>
      <c r="C1154" s="26" t="str">
        <f>IF('Paste SD Data'!B1151="","",'Paste SD Data'!B1151)</f>
        <v/>
      </c>
      <c r="D1154" s="26" t="str">
        <f>IF('Paste SD Data'!C1151="","",'Paste SD Data'!C1151)</f>
        <v/>
      </c>
      <c r="E1154" s="27" t="str">
        <f>IF('Paste SD Data'!E1151="","",UPPER('Paste SD Data'!E1151))</f>
        <v/>
      </c>
      <c r="F1154" s="27" t="str">
        <f>IF('Paste SD Data'!G1151="","",UPPER('Paste SD Data'!G1151))</f>
        <v/>
      </c>
      <c r="G1154" s="27" t="str">
        <f>IF('Paste SD Data'!H1151="","",UPPER('Paste SD Data'!H1151))</f>
        <v/>
      </c>
      <c r="H1154" s="26" t="str">
        <f>IF('Paste SD Data'!I1151="","",IF('Paste SD Data'!I1151="M","BOY","GIRL"))</f>
        <v/>
      </c>
      <c r="I1154" s="28" t="str">
        <f>IF('Paste SD Data'!J1151="","",'Paste SD Data'!J1151)</f>
        <v/>
      </c>
      <c r="J1154" s="34">
        <f t="shared" si="17"/>
        <v>1580</v>
      </c>
      <c r="K1154" s="29" t="str">
        <f>IF('Paste SD Data'!O1151="","",'Paste SD Data'!O1151)</f>
        <v/>
      </c>
    </row>
    <row r="1155" spans="1:11" ht="30" customHeight="1" x14ac:dyDescent="0.25">
      <c r="A1155" s="25" t="str">
        <f>IF(Table1[[#This Row],[Name of Student]]="","",ROWS($A$1:A1151))</f>
        <v/>
      </c>
      <c r="B1155" s="26" t="str">
        <f>IF('Paste SD Data'!A1152="","",'Paste SD Data'!A1152)</f>
        <v/>
      </c>
      <c r="C1155" s="26" t="str">
        <f>IF('Paste SD Data'!B1152="","",'Paste SD Data'!B1152)</f>
        <v/>
      </c>
      <c r="D1155" s="26" t="str">
        <f>IF('Paste SD Data'!C1152="","",'Paste SD Data'!C1152)</f>
        <v/>
      </c>
      <c r="E1155" s="27" t="str">
        <f>IF('Paste SD Data'!E1152="","",UPPER('Paste SD Data'!E1152))</f>
        <v/>
      </c>
      <c r="F1155" s="27" t="str">
        <f>IF('Paste SD Data'!G1152="","",UPPER('Paste SD Data'!G1152))</f>
        <v/>
      </c>
      <c r="G1155" s="27" t="str">
        <f>IF('Paste SD Data'!H1152="","",UPPER('Paste SD Data'!H1152))</f>
        <v/>
      </c>
      <c r="H1155" s="26" t="str">
        <f>IF('Paste SD Data'!I1152="","",IF('Paste SD Data'!I1152="M","BOY","GIRL"))</f>
        <v/>
      </c>
      <c r="I1155" s="28" t="str">
        <f>IF('Paste SD Data'!J1152="","",'Paste SD Data'!J1152)</f>
        <v/>
      </c>
      <c r="J1155" s="34">
        <f t="shared" si="17"/>
        <v>1581</v>
      </c>
      <c r="K1155" s="29" t="str">
        <f>IF('Paste SD Data'!O1152="","",'Paste SD Data'!O1152)</f>
        <v/>
      </c>
    </row>
    <row r="1156" spans="1:11" ht="30" customHeight="1" x14ac:dyDescent="0.25">
      <c r="A1156" s="25" t="str">
        <f>IF(Table1[[#This Row],[Name of Student]]="","",ROWS($A$1:A1152))</f>
        <v/>
      </c>
      <c r="B1156" s="26" t="str">
        <f>IF('Paste SD Data'!A1153="","",'Paste SD Data'!A1153)</f>
        <v/>
      </c>
      <c r="C1156" s="26" t="str">
        <f>IF('Paste SD Data'!B1153="","",'Paste SD Data'!B1153)</f>
        <v/>
      </c>
      <c r="D1156" s="26" t="str">
        <f>IF('Paste SD Data'!C1153="","",'Paste SD Data'!C1153)</f>
        <v/>
      </c>
      <c r="E1156" s="27" t="str">
        <f>IF('Paste SD Data'!E1153="","",UPPER('Paste SD Data'!E1153))</f>
        <v/>
      </c>
      <c r="F1156" s="27" t="str">
        <f>IF('Paste SD Data'!G1153="","",UPPER('Paste SD Data'!G1153))</f>
        <v/>
      </c>
      <c r="G1156" s="27" t="str">
        <f>IF('Paste SD Data'!H1153="","",UPPER('Paste SD Data'!H1153))</f>
        <v/>
      </c>
      <c r="H1156" s="26" t="str">
        <f>IF('Paste SD Data'!I1153="","",IF('Paste SD Data'!I1153="M","BOY","GIRL"))</f>
        <v/>
      </c>
      <c r="I1156" s="28" t="str">
        <f>IF('Paste SD Data'!J1153="","",'Paste SD Data'!J1153)</f>
        <v/>
      </c>
      <c r="J1156" s="34">
        <f t="shared" si="17"/>
        <v>1582</v>
      </c>
      <c r="K1156" s="29" t="str">
        <f>IF('Paste SD Data'!O1153="","",'Paste SD Data'!O1153)</f>
        <v/>
      </c>
    </row>
    <row r="1157" spans="1:11" ht="30" customHeight="1" x14ac:dyDescent="0.25">
      <c r="A1157" s="25" t="str">
        <f>IF(Table1[[#This Row],[Name of Student]]="","",ROWS($A$1:A1153))</f>
        <v/>
      </c>
      <c r="B1157" s="26" t="str">
        <f>IF('Paste SD Data'!A1154="","",'Paste SD Data'!A1154)</f>
        <v/>
      </c>
      <c r="C1157" s="26" t="str">
        <f>IF('Paste SD Data'!B1154="","",'Paste SD Data'!B1154)</f>
        <v/>
      </c>
      <c r="D1157" s="26" t="str">
        <f>IF('Paste SD Data'!C1154="","",'Paste SD Data'!C1154)</f>
        <v/>
      </c>
      <c r="E1157" s="27" t="str">
        <f>IF('Paste SD Data'!E1154="","",UPPER('Paste SD Data'!E1154))</f>
        <v/>
      </c>
      <c r="F1157" s="27" t="str">
        <f>IF('Paste SD Data'!G1154="","",UPPER('Paste SD Data'!G1154))</f>
        <v/>
      </c>
      <c r="G1157" s="27" t="str">
        <f>IF('Paste SD Data'!H1154="","",UPPER('Paste SD Data'!H1154))</f>
        <v/>
      </c>
      <c r="H1157" s="26" t="str">
        <f>IF('Paste SD Data'!I1154="","",IF('Paste SD Data'!I1154="M","BOY","GIRL"))</f>
        <v/>
      </c>
      <c r="I1157" s="28" t="str">
        <f>IF('Paste SD Data'!J1154="","",'Paste SD Data'!J1154)</f>
        <v/>
      </c>
      <c r="J1157" s="34">
        <f t="shared" si="17"/>
        <v>1583</v>
      </c>
      <c r="K1157" s="29" t="str">
        <f>IF('Paste SD Data'!O1154="","",'Paste SD Data'!O1154)</f>
        <v/>
      </c>
    </row>
    <row r="1158" spans="1:11" ht="30" customHeight="1" x14ac:dyDescent="0.25">
      <c r="A1158" s="25" t="str">
        <f>IF(Table1[[#This Row],[Name of Student]]="","",ROWS($A$1:A1154))</f>
        <v/>
      </c>
      <c r="B1158" s="26" t="str">
        <f>IF('Paste SD Data'!A1155="","",'Paste SD Data'!A1155)</f>
        <v/>
      </c>
      <c r="C1158" s="26" t="str">
        <f>IF('Paste SD Data'!B1155="","",'Paste SD Data'!B1155)</f>
        <v/>
      </c>
      <c r="D1158" s="26" t="str">
        <f>IF('Paste SD Data'!C1155="","",'Paste SD Data'!C1155)</f>
        <v/>
      </c>
      <c r="E1158" s="27" t="str">
        <f>IF('Paste SD Data'!E1155="","",UPPER('Paste SD Data'!E1155))</f>
        <v/>
      </c>
      <c r="F1158" s="27" t="str">
        <f>IF('Paste SD Data'!G1155="","",UPPER('Paste SD Data'!G1155))</f>
        <v/>
      </c>
      <c r="G1158" s="27" t="str">
        <f>IF('Paste SD Data'!H1155="","",UPPER('Paste SD Data'!H1155))</f>
        <v/>
      </c>
      <c r="H1158" s="26" t="str">
        <f>IF('Paste SD Data'!I1155="","",IF('Paste SD Data'!I1155="M","BOY","GIRL"))</f>
        <v/>
      </c>
      <c r="I1158" s="28" t="str">
        <f>IF('Paste SD Data'!J1155="","",'Paste SD Data'!J1155)</f>
        <v/>
      </c>
      <c r="J1158" s="34">
        <f t="shared" si="17"/>
        <v>1584</v>
      </c>
      <c r="K1158" s="29" t="str">
        <f>IF('Paste SD Data'!O1155="","",'Paste SD Data'!O1155)</f>
        <v/>
      </c>
    </row>
    <row r="1159" spans="1:11" ht="30" customHeight="1" x14ac:dyDescent="0.25">
      <c r="A1159" s="25" t="str">
        <f>IF(Table1[[#This Row],[Name of Student]]="","",ROWS($A$1:A1155))</f>
        <v/>
      </c>
      <c r="B1159" s="26" t="str">
        <f>IF('Paste SD Data'!A1156="","",'Paste SD Data'!A1156)</f>
        <v/>
      </c>
      <c r="C1159" s="26" t="str">
        <f>IF('Paste SD Data'!B1156="","",'Paste SD Data'!B1156)</f>
        <v/>
      </c>
      <c r="D1159" s="26" t="str">
        <f>IF('Paste SD Data'!C1156="","",'Paste SD Data'!C1156)</f>
        <v/>
      </c>
      <c r="E1159" s="27" t="str">
        <f>IF('Paste SD Data'!E1156="","",UPPER('Paste SD Data'!E1156))</f>
        <v/>
      </c>
      <c r="F1159" s="27" t="str">
        <f>IF('Paste SD Data'!G1156="","",UPPER('Paste SD Data'!G1156))</f>
        <v/>
      </c>
      <c r="G1159" s="27" t="str">
        <f>IF('Paste SD Data'!H1156="","",UPPER('Paste SD Data'!H1156))</f>
        <v/>
      </c>
      <c r="H1159" s="26" t="str">
        <f>IF('Paste SD Data'!I1156="","",IF('Paste SD Data'!I1156="M","BOY","GIRL"))</f>
        <v/>
      </c>
      <c r="I1159" s="28" t="str">
        <f>IF('Paste SD Data'!J1156="","",'Paste SD Data'!J1156)</f>
        <v/>
      </c>
      <c r="J1159" s="34">
        <f t="shared" ref="J1159:J1222" si="18">J1158+1</f>
        <v>1585</v>
      </c>
      <c r="K1159" s="29" t="str">
        <f>IF('Paste SD Data'!O1156="","",'Paste SD Data'!O1156)</f>
        <v/>
      </c>
    </row>
    <row r="1160" spans="1:11" ht="30" customHeight="1" x14ac:dyDescent="0.25">
      <c r="A1160" s="25" t="str">
        <f>IF(Table1[[#This Row],[Name of Student]]="","",ROWS($A$1:A1156))</f>
        <v/>
      </c>
      <c r="B1160" s="26" t="str">
        <f>IF('Paste SD Data'!A1157="","",'Paste SD Data'!A1157)</f>
        <v/>
      </c>
      <c r="C1160" s="26" t="str">
        <f>IF('Paste SD Data'!B1157="","",'Paste SD Data'!B1157)</f>
        <v/>
      </c>
      <c r="D1160" s="26" t="str">
        <f>IF('Paste SD Data'!C1157="","",'Paste SD Data'!C1157)</f>
        <v/>
      </c>
      <c r="E1160" s="27" t="str">
        <f>IF('Paste SD Data'!E1157="","",UPPER('Paste SD Data'!E1157))</f>
        <v/>
      </c>
      <c r="F1160" s="27" t="str">
        <f>IF('Paste SD Data'!G1157="","",UPPER('Paste SD Data'!G1157))</f>
        <v/>
      </c>
      <c r="G1160" s="27" t="str">
        <f>IF('Paste SD Data'!H1157="","",UPPER('Paste SD Data'!H1157))</f>
        <v/>
      </c>
      <c r="H1160" s="26" t="str">
        <f>IF('Paste SD Data'!I1157="","",IF('Paste SD Data'!I1157="M","BOY","GIRL"))</f>
        <v/>
      </c>
      <c r="I1160" s="28" t="str">
        <f>IF('Paste SD Data'!J1157="","",'Paste SD Data'!J1157)</f>
        <v/>
      </c>
      <c r="J1160" s="34">
        <f t="shared" si="18"/>
        <v>1586</v>
      </c>
      <c r="K1160" s="29" t="str">
        <f>IF('Paste SD Data'!O1157="","",'Paste SD Data'!O1157)</f>
        <v/>
      </c>
    </row>
    <row r="1161" spans="1:11" ht="30" customHeight="1" x14ac:dyDescent="0.25">
      <c r="A1161" s="25" t="str">
        <f>IF(Table1[[#This Row],[Name of Student]]="","",ROWS($A$1:A1157))</f>
        <v/>
      </c>
      <c r="B1161" s="26" t="str">
        <f>IF('Paste SD Data'!A1158="","",'Paste SD Data'!A1158)</f>
        <v/>
      </c>
      <c r="C1161" s="26" t="str">
        <f>IF('Paste SD Data'!B1158="","",'Paste SD Data'!B1158)</f>
        <v/>
      </c>
      <c r="D1161" s="26" t="str">
        <f>IF('Paste SD Data'!C1158="","",'Paste SD Data'!C1158)</f>
        <v/>
      </c>
      <c r="E1161" s="27" t="str">
        <f>IF('Paste SD Data'!E1158="","",UPPER('Paste SD Data'!E1158))</f>
        <v/>
      </c>
      <c r="F1161" s="27" t="str">
        <f>IF('Paste SD Data'!G1158="","",UPPER('Paste SD Data'!G1158))</f>
        <v/>
      </c>
      <c r="G1161" s="27" t="str">
        <f>IF('Paste SD Data'!H1158="","",UPPER('Paste SD Data'!H1158))</f>
        <v/>
      </c>
      <c r="H1161" s="26" t="str">
        <f>IF('Paste SD Data'!I1158="","",IF('Paste SD Data'!I1158="M","BOY","GIRL"))</f>
        <v/>
      </c>
      <c r="I1161" s="28" t="str">
        <f>IF('Paste SD Data'!J1158="","",'Paste SD Data'!J1158)</f>
        <v/>
      </c>
      <c r="J1161" s="34">
        <f t="shared" si="18"/>
        <v>1587</v>
      </c>
      <c r="K1161" s="29" t="str">
        <f>IF('Paste SD Data'!O1158="","",'Paste SD Data'!O1158)</f>
        <v/>
      </c>
    </row>
    <row r="1162" spans="1:11" ht="30" customHeight="1" x14ac:dyDescent="0.25">
      <c r="A1162" s="25" t="str">
        <f>IF(Table1[[#This Row],[Name of Student]]="","",ROWS($A$1:A1158))</f>
        <v/>
      </c>
      <c r="B1162" s="26" t="str">
        <f>IF('Paste SD Data'!A1159="","",'Paste SD Data'!A1159)</f>
        <v/>
      </c>
      <c r="C1162" s="26" t="str">
        <f>IF('Paste SD Data'!B1159="","",'Paste SD Data'!B1159)</f>
        <v/>
      </c>
      <c r="D1162" s="26" t="str">
        <f>IF('Paste SD Data'!C1159="","",'Paste SD Data'!C1159)</f>
        <v/>
      </c>
      <c r="E1162" s="27" t="str">
        <f>IF('Paste SD Data'!E1159="","",UPPER('Paste SD Data'!E1159))</f>
        <v/>
      </c>
      <c r="F1162" s="27" t="str">
        <f>IF('Paste SD Data'!G1159="","",UPPER('Paste SD Data'!G1159))</f>
        <v/>
      </c>
      <c r="G1162" s="27" t="str">
        <f>IF('Paste SD Data'!H1159="","",UPPER('Paste SD Data'!H1159))</f>
        <v/>
      </c>
      <c r="H1162" s="26" t="str">
        <f>IF('Paste SD Data'!I1159="","",IF('Paste SD Data'!I1159="M","BOY","GIRL"))</f>
        <v/>
      </c>
      <c r="I1162" s="28" t="str">
        <f>IF('Paste SD Data'!J1159="","",'Paste SD Data'!J1159)</f>
        <v/>
      </c>
      <c r="J1162" s="34">
        <f t="shared" si="18"/>
        <v>1588</v>
      </c>
      <c r="K1162" s="29" t="str">
        <f>IF('Paste SD Data'!O1159="","",'Paste SD Data'!O1159)</f>
        <v/>
      </c>
    </row>
    <row r="1163" spans="1:11" ht="30" customHeight="1" x14ac:dyDescent="0.25">
      <c r="A1163" s="25" t="str">
        <f>IF(Table1[[#This Row],[Name of Student]]="","",ROWS($A$1:A1159))</f>
        <v/>
      </c>
      <c r="B1163" s="26" t="str">
        <f>IF('Paste SD Data'!A1160="","",'Paste SD Data'!A1160)</f>
        <v/>
      </c>
      <c r="C1163" s="26" t="str">
        <f>IF('Paste SD Data'!B1160="","",'Paste SD Data'!B1160)</f>
        <v/>
      </c>
      <c r="D1163" s="26" t="str">
        <f>IF('Paste SD Data'!C1160="","",'Paste SD Data'!C1160)</f>
        <v/>
      </c>
      <c r="E1163" s="27" t="str">
        <f>IF('Paste SD Data'!E1160="","",UPPER('Paste SD Data'!E1160))</f>
        <v/>
      </c>
      <c r="F1163" s="27" t="str">
        <f>IF('Paste SD Data'!G1160="","",UPPER('Paste SD Data'!G1160))</f>
        <v/>
      </c>
      <c r="G1163" s="27" t="str">
        <f>IF('Paste SD Data'!H1160="","",UPPER('Paste SD Data'!H1160))</f>
        <v/>
      </c>
      <c r="H1163" s="26" t="str">
        <f>IF('Paste SD Data'!I1160="","",IF('Paste SD Data'!I1160="M","BOY","GIRL"))</f>
        <v/>
      </c>
      <c r="I1163" s="28" t="str">
        <f>IF('Paste SD Data'!J1160="","",'Paste SD Data'!J1160)</f>
        <v/>
      </c>
      <c r="J1163" s="34">
        <f t="shared" si="18"/>
        <v>1589</v>
      </c>
      <c r="K1163" s="29" t="str">
        <f>IF('Paste SD Data'!O1160="","",'Paste SD Data'!O1160)</f>
        <v/>
      </c>
    </row>
    <row r="1164" spans="1:11" ht="30" customHeight="1" x14ac:dyDescent="0.25">
      <c r="A1164" s="25" t="str">
        <f>IF(Table1[[#This Row],[Name of Student]]="","",ROWS($A$1:A1160))</f>
        <v/>
      </c>
      <c r="B1164" s="26" t="str">
        <f>IF('Paste SD Data'!A1161="","",'Paste SD Data'!A1161)</f>
        <v/>
      </c>
      <c r="C1164" s="26" t="str">
        <f>IF('Paste SD Data'!B1161="","",'Paste SD Data'!B1161)</f>
        <v/>
      </c>
      <c r="D1164" s="26" t="str">
        <f>IF('Paste SD Data'!C1161="","",'Paste SD Data'!C1161)</f>
        <v/>
      </c>
      <c r="E1164" s="27" t="str">
        <f>IF('Paste SD Data'!E1161="","",UPPER('Paste SD Data'!E1161))</f>
        <v/>
      </c>
      <c r="F1164" s="27" t="str">
        <f>IF('Paste SD Data'!G1161="","",UPPER('Paste SD Data'!G1161))</f>
        <v/>
      </c>
      <c r="G1164" s="27" t="str">
        <f>IF('Paste SD Data'!H1161="","",UPPER('Paste SD Data'!H1161))</f>
        <v/>
      </c>
      <c r="H1164" s="26" t="str">
        <f>IF('Paste SD Data'!I1161="","",IF('Paste SD Data'!I1161="M","BOY","GIRL"))</f>
        <v/>
      </c>
      <c r="I1164" s="28" t="str">
        <f>IF('Paste SD Data'!J1161="","",'Paste SD Data'!J1161)</f>
        <v/>
      </c>
      <c r="J1164" s="34">
        <f t="shared" si="18"/>
        <v>1590</v>
      </c>
      <c r="K1164" s="29" t="str">
        <f>IF('Paste SD Data'!O1161="","",'Paste SD Data'!O1161)</f>
        <v/>
      </c>
    </row>
    <row r="1165" spans="1:11" ht="30" customHeight="1" x14ac:dyDescent="0.25">
      <c r="A1165" s="25" t="str">
        <f>IF(Table1[[#This Row],[Name of Student]]="","",ROWS($A$1:A1161))</f>
        <v/>
      </c>
      <c r="B1165" s="26" t="str">
        <f>IF('Paste SD Data'!A1162="","",'Paste SD Data'!A1162)</f>
        <v/>
      </c>
      <c r="C1165" s="26" t="str">
        <f>IF('Paste SD Data'!B1162="","",'Paste SD Data'!B1162)</f>
        <v/>
      </c>
      <c r="D1165" s="26" t="str">
        <f>IF('Paste SD Data'!C1162="","",'Paste SD Data'!C1162)</f>
        <v/>
      </c>
      <c r="E1165" s="27" t="str">
        <f>IF('Paste SD Data'!E1162="","",UPPER('Paste SD Data'!E1162))</f>
        <v/>
      </c>
      <c r="F1165" s="27" t="str">
        <f>IF('Paste SD Data'!G1162="","",UPPER('Paste SD Data'!G1162))</f>
        <v/>
      </c>
      <c r="G1165" s="27" t="str">
        <f>IF('Paste SD Data'!H1162="","",UPPER('Paste SD Data'!H1162))</f>
        <v/>
      </c>
      <c r="H1165" s="26" t="str">
        <f>IF('Paste SD Data'!I1162="","",IF('Paste SD Data'!I1162="M","BOY","GIRL"))</f>
        <v/>
      </c>
      <c r="I1165" s="28" t="str">
        <f>IF('Paste SD Data'!J1162="","",'Paste SD Data'!J1162)</f>
        <v/>
      </c>
      <c r="J1165" s="34">
        <f t="shared" si="18"/>
        <v>1591</v>
      </c>
      <c r="K1165" s="29" t="str">
        <f>IF('Paste SD Data'!O1162="","",'Paste SD Data'!O1162)</f>
        <v/>
      </c>
    </row>
    <row r="1166" spans="1:11" ht="30" customHeight="1" x14ac:dyDescent="0.25">
      <c r="A1166" s="25" t="str">
        <f>IF(Table1[[#This Row],[Name of Student]]="","",ROWS($A$1:A1162))</f>
        <v/>
      </c>
      <c r="B1166" s="26" t="str">
        <f>IF('Paste SD Data'!A1163="","",'Paste SD Data'!A1163)</f>
        <v/>
      </c>
      <c r="C1166" s="26" t="str">
        <f>IF('Paste SD Data'!B1163="","",'Paste SD Data'!B1163)</f>
        <v/>
      </c>
      <c r="D1166" s="26" t="str">
        <f>IF('Paste SD Data'!C1163="","",'Paste SD Data'!C1163)</f>
        <v/>
      </c>
      <c r="E1166" s="27" t="str">
        <f>IF('Paste SD Data'!E1163="","",UPPER('Paste SD Data'!E1163))</f>
        <v/>
      </c>
      <c r="F1166" s="27" t="str">
        <f>IF('Paste SD Data'!G1163="","",UPPER('Paste SD Data'!G1163))</f>
        <v/>
      </c>
      <c r="G1166" s="27" t="str">
        <f>IF('Paste SD Data'!H1163="","",UPPER('Paste SD Data'!H1163))</f>
        <v/>
      </c>
      <c r="H1166" s="26" t="str">
        <f>IF('Paste SD Data'!I1163="","",IF('Paste SD Data'!I1163="M","BOY","GIRL"))</f>
        <v/>
      </c>
      <c r="I1166" s="28" t="str">
        <f>IF('Paste SD Data'!J1163="","",'Paste SD Data'!J1163)</f>
        <v/>
      </c>
      <c r="J1166" s="34">
        <f t="shared" si="18"/>
        <v>1592</v>
      </c>
      <c r="K1166" s="29" t="str">
        <f>IF('Paste SD Data'!O1163="","",'Paste SD Data'!O1163)</f>
        <v/>
      </c>
    </row>
    <row r="1167" spans="1:11" ht="30" customHeight="1" x14ac:dyDescent="0.25">
      <c r="A1167" s="25" t="str">
        <f>IF(Table1[[#This Row],[Name of Student]]="","",ROWS($A$1:A1163))</f>
        <v/>
      </c>
      <c r="B1167" s="26" t="str">
        <f>IF('Paste SD Data'!A1164="","",'Paste SD Data'!A1164)</f>
        <v/>
      </c>
      <c r="C1167" s="26" t="str">
        <f>IF('Paste SD Data'!B1164="","",'Paste SD Data'!B1164)</f>
        <v/>
      </c>
      <c r="D1167" s="26" t="str">
        <f>IF('Paste SD Data'!C1164="","",'Paste SD Data'!C1164)</f>
        <v/>
      </c>
      <c r="E1167" s="27" t="str">
        <f>IF('Paste SD Data'!E1164="","",UPPER('Paste SD Data'!E1164))</f>
        <v/>
      </c>
      <c r="F1167" s="27" t="str">
        <f>IF('Paste SD Data'!G1164="","",UPPER('Paste SD Data'!G1164))</f>
        <v/>
      </c>
      <c r="G1167" s="27" t="str">
        <f>IF('Paste SD Data'!H1164="","",UPPER('Paste SD Data'!H1164))</f>
        <v/>
      </c>
      <c r="H1167" s="26" t="str">
        <f>IF('Paste SD Data'!I1164="","",IF('Paste SD Data'!I1164="M","BOY","GIRL"))</f>
        <v/>
      </c>
      <c r="I1167" s="28" t="str">
        <f>IF('Paste SD Data'!J1164="","",'Paste SD Data'!J1164)</f>
        <v/>
      </c>
      <c r="J1167" s="34">
        <f t="shared" si="18"/>
        <v>1593</v>
      </c>
      <c r="K1167" s="29" t="str">
        <f>IF('Paste SD Data'!O1164="","",'Paste SD Data'!O1164)</f>
        <v/>
      </c>
    </row>
    <row r="1168" spans="1:11" ht="30" customHeight="1" x14ac:dyDescent="0.25">
      <c r="A1168" s="25" t="str">
        <f>IF(Table1[[#This Row],[Name of Student]]="","",ROWS($A$1:A1164))</f>
        <v/>
      </c>
      <c r="B1168" s="26" t="str">
        <f>IF('Paste SD Data'!A1165="","",'Paste SD Data'!A1165)</f>
        <v/>
      </c>
      <c r="C1168" s="26" t="str">
        <f>IF('Paste SD Data'!B1165="","",'Paste SD Data'!B1165)</f>
        <v/>
      </c>
      <c r="D1168" s="26" t="str">
        <f>IF('Paste SD Data'!C1165="","",'Paste SD Data'!C1165)</f>
        <v/>
      </c>
      <c r="E1168" s="27" t="str">
        <f>IF('Paste SD Data'!E1165="","",UPPER('Paste SD Data'!E1165))</f>
        <v/>
      </c>
      <c r="F1168" s="27" t="str">
        <f>IF('Paste SD Data'!G1165="","",UPPER('Paste SD Data'!G1165))</f>
        <v/>
      </c>
      <c r="G1168" s="27" t="str">
        <f>IF('Paste SD Data'!H1165="","",UPPER('Paste SD Data'!H1165))</f>
        <v/>
      </c>
      <c r="H1168" s="26" t="str">
        <f>IF('Paste SD Data'!I1165="","",IF('Paste SD Data'!I1165="M","BOY","GIRL"))</f>
        <v/>
      </c>
      <c r="I1168" s="28" t="str">
        <f>IF('Paste SD Data'!J1165="","",'Paste SD Data'!J1165)</f>
        <v/>
      </c>
      <c r="J1168" s="34">
        <f t="shared" si="18"/>
        <v>1594</v>
      </c>
      <c r="K1168" s="29" t="str">
        <f>IF('Paste SD Data'!O1165="","",'Paste SD Data'!O1165)</f>
        <v/>
      </c>
    </row>
    <row r="1169" spans="1:11" ht="30" customHeight="1" x14ac:dyDescent="0.25">
      <c r="A1169" s="25" t="str">
        <f>IF(Table1[[#This Row],[Name of Student]]="","",ROWS($A$1:A1165))</f>
        <v/>
      </c>
      <c r="B1169" s="26" t="str">
        <f>IF('Paste SD Data'!A1166="","",'Paste SD Data'!A1166)</f>
        <v/>
      </c>
      <c r="C1169" s="26" t="str">
        <f>IF('Paste SD Data'!B1166="","",'Paste SD Data'!B1166)</f>
        <v/>
      </c>
      <c r="D1169" s="26" t="str">
        <f>IF('Paste SD Data'!C1166="","",'Paste SD Data'!C1166)</f>
        <v/>
      </c>
      <c r="E1169" s="27" t="str">
        <f>IF('Paste SD Data'!E1166="","",UPPER('Paste SD Data'!E1166))</f>
        <v/>
      </c>
      <c r="F1169" s="27" t="str">
        <f>IF('Paste SD Data'!G1166="","",UPPER('Paste SD Data'!G1166))</f>
        <v/>
      </c>
      <c r="G1169" s="27" t="str">
        <f>IF('Paste SD Data'!H1166="","",UPPER('Paste SD Data'!H1166))</f>
        <v/>
      </c>
      <c r="H1169" s="26" t="str">
        <f>IF('Paste SD Data'!I1166="","",IF('Paste SD Data'!I1166="M","BOY","GIRL"))</f>
        <v/>
      </c>
      <c r="I1169" s="28" t="str">
        <f>IF('Paste SD Data'!J1166="","",'Paste SD Data'!J1166)</f>
        <v/>
      </c>
      <c r="J1169" s="34">
        <f t="shared" si="18"/>
        <v>1595</v>
      </c>
      <c r="K1169" s="29" t="str">
        <f>IF('Paste SD Data'!O1166="","",'Paste SD Data'!O1166)</f>
        <v/>
      </c>
    </row>
    <row r="1170" spans="1:11" ht="30" customHeight="1" x14ac:dyDescent="0.25">
      <c r="A1170" s="25" t="str">
        <f>IF(Table1[[#This Row],[Name of Student]]="","",ROWS($A$1:A1166))</f>
        <v/>
      </c>
      <c r="B1170" s="26" t="str">
        <f>IF('Paste SD Data'!A1167="","",'Paste SD Data'!A1167)</f>
        <v/>
      </c>
      <c r="C1170" s="26" t="str">
        <f>IF('Paste SD Data'!B1167="","",'Paste SD Data'!B1167)</f>
        <v/>
      </c>
      <c r="D1170" s="26" t="str">
        <f>IF('Paste SD Data'!C1167="","",'Paste SD Data'!C1167)</f>
        <v/>
      </c>
      <c r="E1170" s="27" t="str">
        <f>IF('Paste SD Data'!E1167="","",UPPER('Paste SD Data'!E1167))</f>
        <v/>
      </c>
      <c r="F1170" s="27" t="str">
        <f>IF('Paste SD Data'!G1167="","",UPPER('Paste SD Data'!G1167))</f>
        <v/>
      </c>
      <c r="G1170" s="27" t="str">
        <f>IF('Paste SD Data'!H1167="","",UPPER('Paste SD Data'!H1167))</f>
        <v/>
      </c>
      <c r="H1170" s="26" t="str">
        <f>IF('Paste SD Data'!I1167="","",IF('Paste SD Data'!I1167="M","BOY","GIRL"))</f>
        <v/>
      </c>
      <c r="I1170" s="28" t="str">
        <f>IF('Paste SD Data'!J1167="","",'Paste SD Data'!J1167)</f>
        <v/>
      </c>
      <c r="J1170" s="34">
        <f t="shared" si="18"/>
        <v>1596</v>
      </c>
      <c r="K1170" s="29" t="str">
        <f>IF('Paste SD Data'!O1167="","",'Paste SD Data'!O1167)</f>
        <v/>
      </c>
    </row>
    <row r="1171" spans="1:11" ht="30" customHeight="1" x14ac:dyDescent="0.25">
      <c r="A1171" s="25" t="str">
        <f>IF(Table1[[#This Row],[Name of Student]]="","",ROWS($A$1:A1167))</f>
        <v/>
      </c>
      <c r="B1171" s="26" t="str">
        <f>IF('Paste SD Data'!A1168="","",'Paste SD Data'!A1168)</f>
        <v/>
      </c>
      <c r="C1171" s="26" t="str">
        <f>IF('Paste SD Data'!B1168="","",'Paste SD Data'!B1168)</f>
        <v/>
      </c>
      <c r="D1171" s="26" t="str">
        <f>IF('Paste SD Data'!C1168="","",'Paste SD Data'!C1168)</f>
        <v/>
      </c>
      <c r="E1171" s="27" t="str">
        <f>IF('Paste SD Data'!E1168="","",UPPER('Paste SD Data'!E1168))</f>
        <v/>
      </c>
      <c r="F1171" s="27" t="str">
        <f>IF('Paste SD Data'!G1168="","",UPPER('Paste SD Data'!G1168))</f>
        <v/>
      </c>
      <c r="G1171" s="27" t="str">
        <f>IF('Paste SD Data'!H1168="","",UPPER('Paste SD Data'!H1168))</f>
        <v/>
      </c>
      <c r="H1171" s="26" t="str">
        <f>IF('Paste SD Data'!I1168="","",IF('Paste SD Data'!I1168="M","BOY","GIRL"))</f>
        <v/>
      </c>
      <c r="I1171" s="28" t="str">
        <f>IF('Paste SD Data'!J1168="","",'Paste SD Data'!J1168)</f>
        <v/>
      </c>
      <c r="J1171" s="34">
        <f t="shared" si="18"/>
        <v>1597</v>
      </c>
      <c r="K1171" s="29" t="str">
        <f>IF('Paste SD Data'!O1168="","",'Paste SD Data'!O1168)</f>
        <v/>
      </c>
    </row>
    <row r="1172" spans="1:11" ht="30" customHeight="1" x14ac:dyDescent="0.25">
      <c r="A1172" s="25" t="str">
        <f>IF(Table1[[#This Row],[Name of Student]]="","",ROWS($A$1:A1168))</f>
        <v/>
      </c>
      <c r="B1172" s="26" t="str">
        <f>IF('Paste SD Data'!A1169="","",'Paste SD Data'!A1169)</f>
        <v/>
      </c>
      <c r="C1172" s="26" t="str">
        <f>IF('Paste SD Data'!B1169="","",'Paste SD Data'!B1169)</f>
        <v/>
      </c>
      <c r="D1172" s="26" t="str">
        <f>IF('Paste SD Data'!C1169="","",'Paste SD Data'!C1169)</f>
        <v/>
      </c>
      <c r="E1172" s="27" t="str">
        <f>IF('Paste SD Data'!E1169="","",UPPER('Paste SD Data'!E1169))</f>
        <v/>
      </c>
      <c r="F1172" s="27" t="str">
        <f>IF('Paste SD Data'!G1169="","",UPPER('Paste SD Data'!G1169))</f>
        <v/>
      </c>
      <c r="G1172" s="27" t="str">
        <f>IF('Paste SD Data'!H1169="","",UPPER('Paste SD Data'!H1169))</f>
        <v/>
      </c>
      <c r="H1172" s="26" t="str">
        <f>IF('Paste SD Data'!I1169="","",IF('Paste SD Data'!I1169="M","BOY","GIRL"))</f>
        <v/>
      </c>
      <c r="I1172" s="28" t="str">
        <f>IF('Paste SD Data'!J1169="","",'Paste SD Data'!J1169)</f>
        <v/>
      </c>
      <c r="J1172" s="34">
        <f t="shared" si="18"/>
        <v>1598</v>
      </c>
      <c r="K1172" s="29" t="str">
        <f>IF('Paste SD Data'!O1169="","",'Paste SD Data'!O1169)</f>
        <v/>
      </c>
    </row>
    <row r="1173" spans="1:11" ht="30" customHeight="1" x14ac:dyDescent="0.25">
      <c r="A1173" s="25" t="str">
        <f>IF(Table1[[#This Row],[Name of Student]]="","",ROWS($A$1:A1169))</f>
        <v/>
      </c>
      <c r="B1173" s="26" t="str">
        <f>IF('Paste SD Data'!A1170="","",'Paste SD Data'!A1170)</f>
        <v/>
      </c>
      <c r="C1173" s="26" t="str">
        <f>IF('Paste SD Data'!B1170="","",'Paste SD Data'!B1170)</f>
        <v/>
      </c>
      <c r="D1173" s="26" t="str">
        <f>IF('Paste SD Data'!C1170="","",'Paste SD Data'!C1170)</f>
        <v/>
      </c>
      <c r="E1173" s="27" t="str">
        <f>IF('Paste SD Data'!E1170="","",UPPER('Paste SD Data'!E1170))</f>
        <v/>
      </c>
      <c r="F1173" s="27" t="str">
        <f>IF('Paste SD Data'!G1170="","",UPPER('Paste SD Data'!G1170))</f>
        <v/>
      </c>
      <c r="G1173" s="27" t="str">
        <f>IF('Paste SD Data'!H1170="","",UPPER('Paste SD Data'!H1170))</f>
        <v/>
      </c>
      <c r="H1173" s="26" t="str">
        <f>IF('Paste SD Data'!I1170="","",IF('Paste SD Data'!I1170="M","BOY","GIRL"))</f>
        <v/>
      </c>
      <c r="I1173" s="28" t="str">
        <f>IF('Paste SD Data'!J1170="","",'Paste SD Data'!J1170)</f>
        <v/>
      </c>
      <c r="J1173" s="34">
        <f t="shared" si="18"/>
        <v>1599</v>
      </c>
      <c r="K1173" s="29" t="str">
        <f>IF('Paste SD Data'!O1170="","",'Paste SD Data'!O1170)</f>
        <v/>
      </c>
    </row>
    <row r="1174" spans="1:11" ht="30" customHeight="1" x14ac:dyDescent="0.25">
      <c r="A1174" s="25" t="str">
        <f>IF(Table1[[#This Row],[Name of Student]]="","",ROWS($A$1:A1170))</f>
        <v/>
      </c>
      <c r="B1174" s="26" t="str">
        <f>IF('Paste SD Data'!A1171="","",'Paste SD Data'!A1171)</f>
        <v/>
      </c>
      <c r="C1174" s="26" t="str">
        <f>IF('Paste SD Data'!B1171="","",'Paste SD Data'!B1171)</f>
        <v/>
      </c>
      <c r="D1174" s="26" t="str">
        <f>IF('Paste SD Data'!C1171="","",'Paste SD Data'!C1171)</f>
        <v/>
      </c>
      <c r="E1174" s="27" t="str">
        <f>IF('Paste SD Data'!E1171="","",UPPER('Paste SD Data'!E1171))</f>
        <v/>
      </c>
      <c r="F1174" s="27" t="str">
        <f>IF('Paste SD Data'!G1171="","",UPPER('Paste SD Data'!G1171))</f>
        <v/>
      </c>
      <c r="G1174" s="27" t="str">
        <f>IF('Paste SD Data'!H1171="","",UPPER('Paste SD Data'!H1171))</f>
        <v/>
      </c>
      <c r="H1174" s="26" t="str">
        <f>IF('Paste SD Data'!I1171="","",IF('Paste SD Data'!I1171="M","BOY","GIRL"))</f>
        <v/>
      </c>
      <c r="I1174" s="28" t="str">
        <f>IF('Paste SD Data'!J1171="","",'Paste SD Data'!J1171)</f>
        <v/>
      </c>
      <c r="J1174" s="34">
        <f t="shared" si="18"/>
        <v>1600</v>
      </c>
      <c r="K1174" s="29" t="str">
        <f>IF('Paste SD Data'!O1171="","",'Paste SD Data'!O1171)</f>
        <v/>
      </c>
    </row>
    <row r="1175" spans="1:11" ht="30" customHeight="1" x14ac:dyDescent="0.25">
      <c r="A1175" s="25" t="str">
        <f>IF(Table1[[#This Row],[Name of Student]]="","",ROWS($A$1:A1171))</f>
        <v/>
      </c>
      <c r="B1175" s="26" t="str">
        <f>IF('Paste SD Data'!A1172="","",'Paste SD Data'!A1172)</f>
        <v/>
      </c>
      <c r="C1175" s="26" t="str">
        <f>IF('Paste SD Data'!B1172="","",'Paste SD Data'!B1172)</f>
        <v/>
      </c>
      <c r="D1175" s="26" t="str">
        <f>IF('Paste SD Data'!C1172="","",'Paste SD Data'!C1172)</f>
        <v/>
      </c>
      <c r="E1175" s="27" t="str">
        <f>IF('Paste SD Data'!E1172="","",UPPER('Paste SD Data'!E1172))</f>
        <v/>
      </c>
      <c r="F1175" s="27" t="str">
        <f>IF('Paste SD Data'!G1172="","",UPPER('Paste SD Data'!G1172))</f>
        <v/>
      </c>
      <c r="G1175" s="27" t="str">
        <f>IF('Paste SD Data'!H1172="","",UPPER('Paste SD Data'!H1172))</f>
        <v/>
      </c>
      <c r="H1175" s="26" t="str">
        <f>IF('Paste SD Data'!I1172="","",IF('Paste SD Data'!I1172="M","BOY","GIRL"))</f>
        <v/>
      </c>
      <c r="I1175" s="28" t="str">
        <f>IF('Paste SD Data'!J1172="","",'Paste SD Data'!J1172)</f>
        <v/>
      </c>
      <c r="J1175" s="34">
        <f t="shared" si="18"/>
        <v>1601</v>
      </c>
      <c r="K1175" s="29" t="str">
        <f>IF('Paste SD Data'!O1172="","",'Paste SD Data'!O1172)</f>
        <v/>
      </c>
    </row>
    <row r="1176" spans="1:11" ht="30" customHeight="1" x14ac:dyDescent="0.25">
      <c r="A1176" s="25" t="str">
        <f>IF(Table1[[#This Row],[Name of Student]]="","",ROWS($A$1:A1172))</f>
        <v/>
      </c>
      <c r="B1176" s="26" t="str">
        <f>IF('Paste SD Data'!A1173="","",'Paste SD Data'!A1173)</f>
        <v/>
      </c>
      <c r="C1176" s="26" t="str">
        <f>IF('Paste SD Data'!B1173="","",'Paste SD Data'!B1173)</f>
        <v/>
      </c>
      <c r="D1176" s="26" t="str">
        <f>IF('Paste SD Data'!C1173="","",'Paste SD Data'!C1173)</f>
        <v/>
      </c>
      <c r="E1176" s="27" t="str">
        <f>IF('Paste SD Data'!E1173="","",UPPER('Paste SD Data'!E1173))</f>
        <v/>
      </c>
      <c r="F1176" s="27" t="str">
        <f>IF('Paste SD Data'!G1173="","",UPPER('Paste SD Data'!G1173))</f>
        <v/>
      </c>
      <c r="G1176" s="27" t="str">
        <f>IF('Paste SD Data'!H1173="","",UPPER('Paste SD Data'!H1173))</f>
        <v/>
      </c>
      <c r="H1176" s="26" t="str">
        <f>IF('Paste SD Data'!I1173="","",IF('Paste SD Data'!I1173="M","BOY","GIRL"))</f>
        <v/>
      </c>
      <c r="I1176" s="28" t="str">
        <f>IF('Paste SD Data'!J1173="","",'Paste SD Data'!J1173)</f>
        <v/>
      </c>
      <c r="J1176" s="34">
        <f t="shared" si="18"/>
        <v>1602</v>
      </c>
      <c r="K1176" s="29" t="str">
        <f>IF('Paste SD Data'!O1173="","",'Paste SD Data'!O1173)</f>
        <v/>
      </c>
    </row>
    <row r="1177" spans="1:11" ht="30" customHeight="1" x14ac:dyDescent="0.25">
      <c r="A1177" s="25" t="str">
        <f>IF(Table1[[#This Row],[Name of Student]]="","",ROWS($A$1:A1173))</f>
        <v/>
      </c>
      <c r="B1177" s="26" t="str">
        <f>IF('Paste SD Data'!A1174="","",'Paste SD Data'!A1174)</f>
        <v/>
      </c>
      <c r="C1177" s="26" t="str">
        <f>IF('Paste SD Data'!B1174="","",'Paste SD Data'!B1174)</f>
        <v/>
      </c>
      <c r="D1177" s="26" t="str">
        <f>IF('Paste SD Data'!C1174="","",'Paste SD Data'!C1174)</f>
        <v/>
      </c>
      <c r="E1177" s="27" t="str">
        <f>IF('Paste SD Data'!E1174="","",UPPER('Paste SD Data'!E1174))</f>
        <v/>
      </c>
      <c r="F1177" s="27" t="str">
        <f>IF('Paste SD Data'!G1174="","",UPPER('Paste SD Data'!G1174))</f>
        <v/>
      </c>
      <c r="G1177" s="27" t="str">
        <f>IF('Paste SD Data'!H1174="","",UPPER('Paste SD Data'!H1174))</f>
        <v/>
      </c>
      <c r="H1177" s="26" t="str">
        <f>IF('Paste SD Data'!I1174="","",IF('Paste SD Data'!I1174="M","BOY","GIRL"))</f>
        <v/>
      </c>
      <c r="I1177" s="28" t="str">
        <f>IF('Paste SD Data'!J1174="","",'Paste SD Data'!J1174)</f>
        <v/>
      </c>
      <c r="J1177" s="34">
        <f t="shared" si="18"/>
        <v>1603</v>
      </c>
      <c r="K1177" s="29" t="str">
        <f>IF('Paste SD Data'!O1174="","",'Paste SD Data'!O1174)</f>
        <v/>
      </c>
    </row>
    <row r="1178" spans="1:11" ht="30" customHeight="1" x14ac:dyDescent="0.25">
      <c r="A1178" s="25" t="str">
        <f>IF(Table1[[#This Row],[Name of Student]]="","",ROWS($A$1:A1174))</f>
        <v/>
      </c>
      <c r="B1178" s="26" t="str">
        <f>IF('Paste SD Data'!A1175="","",'Paste SD Data'!A1175)</f>
        <v/>
      </c>
      <c r="C1178" s="26" t="str">
        <f>IF('Paste SD Data'!B1175="","",'Paste SD Data'!B1175)</f>
        <v/>
      </c>
      <c r="D1178" s="26" t="str">
        <f>IF('Paste SD Data'!C1175="","",'Paste SD Data'!C1175)</f>
        <v/>
      </c>
      <c r="E1178" s="27" t="str">
        <f>IF('Paste SD Data'!E1175="","",UPPER('Paste SD Data'!E1175))</f>
        <v/>
      </c>
      <c r="F1178" s="27" t="str">
        <f>IF('Paste SD Data'!G1175="","",UPPER('Paste SD Data'!G1175))</f>
        <v/>
      </c>
      <c r="G1178" s="27" t="str">
        <f>IF('Paste SD Data'!H1175="","",UPPER('Paste SD Data'!H1175))</f>
        <v/>
      </c>
      <c r="H1178" s="26" t="str">
        <f>IF('Paste SD Data'!I1175="","",IF('Paste SD Data'!I1175="M","BOY","GIRL"))</f>
        <v/>
      </c>
      <c r="I1178" s="28" t="str">
        <f>IF('Paste SD Data'!J1175="","",'Paste SD Data'!J1175)</f>
        <v/>
      </c>
      <c r="J1178" s="34">
        <f t="shared" si="18"/>
        <v>1604</v>
      </c>
      <c r="K1178" s="29" t="str">
        <f>IF('Paste SD Data'!O1175="","",'Paste SD Data'!O1175)</f>
        <v/>
      </c>
    </row>
    <row r="1179" spans="1:11" ht="30" customHeight="1" x14ac:dyDescent="0.25">
      <c r="A1179" s="25" t="str">
        <f>IF(Table1[[#This Row],[Name of Student]]="","",ROWS($A$1:A1175))</f>
        <v/>
      </c>
      <c r="B1179" s="26" t="str">
        <f>IF('Paste SD Data'!A1176="","",'Paste SD Data'!A1176)</f>
        <v/>
      </c>
      <c r="C1179" s="26" t="str">
        <f>IF('Paste SD Data'!B1176="","",'Paste SD Data'!B1176)</f>
        <v/>
      </c>
      <c r="D1179" s="26" t="str">
        <f>IF('Paste SD Data'!C1176="","",'Paste SD Data'!C1176)</f>
        <v/>
      </c>
      <c r="E1179" s="27" t="str">
        <f>IF('Paste SD Data'!E1176="","",UPPER('Paste SD Data'!E1176))</f>
        <v/>
      </c>
      <c r="F1179" s="27" t="str">
        <f>IF('Paste SD Data'!G1176="","",UPPER('Paste SD Data'!G1176))</f>
        <v/>
      </c>
      <c r="G1179" s="27" t="str">
        <f>IF('Paste SD Data'!H1176="","",UPPER('Paste SD Data'!H1176))</f>
        <v/>
      </c>
      <c r="H1179" s="26" t="str">
        <f>IF('Paste SD Data'!I1176="","",IF('Paste SD Data'!I1176="M","BOY","GIRL"))</f>
        <v/>
      </c>
      <c r="I1179" s="28" t="str">
        <f>IF('Paste SD Data'!J1176="","",'Paste SD Data'!J1176)</f>
        <v/>
      </c>
      <c r="J1179" s="34">
        <f t="shared" si="18"/>
        <v>1605</v>
      </c>
      <c r="K1179" s="29" t="str">
        <f>IF('Paste SD Data'!O1176="","",'Paste SD Data'!O1176)</f>
        <v/>
      </c>
    </row>
    <row r="1180" spans="1:11" ht="30" customHeight="1" x14ac:dyDescent="0.25">
      <c r="A1180" s="25" t="str">
        <f>IF(Table1[[#This Row],[Name of Student]]="","",ROWS($A$1:A1176))</f>
        <v/>
      </c>
      <c r="B1180" s="26" t="str">
        <f>IF('Paste SD Data'!A1177="","",'Paste SD Data'!A1177)</f>
        <v/>
      </c>
      <c r="C1180" s="26" t="str">
        <f>IF('Paste SD Data'!B1177="","",'Paste SD Data'!B1177)</f>
        <v/>
      </c>
      <c r="D1180" s="26" t="str">
        <f>IF('Paste SD Data'!C1177="","",'Paste SD Data'!C1177)</f>
        <v/>
      </c>
      <c r="E1180" s="27" t="str">
        <f>IF('Paste SD Data'!E1177="","",UPPER('Paste SD Data'!E1177))</f>
        <v/>
      </c>
      <c r="F1180" s="27" t="str">
        <f>IF('Paste SD Data'!G1177="","",UPPER('Paste SD Data'!G1177))</f>
        <v/>
      </c>
      <c r="G1180" s="27" t="str">
        <f>IF('Paste SD Data'!H1177="","",UPPER('Paste SD Data'!H1177))</f>
        <v/>
      </c>
      <c r="H1180" s="26" t="str">
        <f>IF('Paste SD Data'!I1177="","",IF('Paste SD Data'!I1177="M","BOY","GIRL"))</f>
        <v/>
      </c>
      <c r="I1180" s="28" t="str">
        <f>IF('Paste SD Data'!J1177="","",'Paste SD Data'!J1177)</f>
        <v/>
      </c>
      <c r="J1180" s="34">
        <f t="shared" si="18"/>
        <v>1606</v>
      </c>
      <c r="K1180" s="29" t="str">
        <f>IF('Paste SD Data'!O1177="","",'Paste SD Data'!O1177)</f>
        <v/>
      </c>
    </row>
    <row r="1181" spans="1:11" ht="30" customHeight="1" x14ac:dyDescent="0.25">
      <c r="A1181" s="25" t="str">
        <f>IF(Table1[[#This Row],[Name of Student]]="","",ROWS($A$1:A1177))</f>
        <v/>
      </c>
      <c r="B1181" s="26" t="str">
        <f>IF('Paste SD Data'!A1178="","",'Paste SD Data'!A1178)</f>
        <v/>
      </c>
      <c r="C1181" s="26" t="str">
        <f>IF('Paste SD Data'!B1178="","",'Paste SD Data'!B1178)</f>
        <v/>
      </c>
      <c r="D1181" s="26" t="str">
        <f>IF('Paste SD Data'!C1178="","",'Paste SD Data'!C1178)</f>
        <v/>
      </c>
      <c r="E1181" s="27" t="str">
        <f>IF('Paste SD Data'!E1178="","",UPPER('Paste SD Data'!E1178))</f>
        <v/>
      </c>
      <c r="F1181" s="27" t="str">
        <f>IF('Paste SD Data'!G1178="","",UPPER('Paste SD Data'!G1178))</f>
        <v/>
      </c>
      <c r="G1181" s="27" t="str">
        <f>IF('Paste SD Data'!H1178="","",UPPER('Paste SD Data'!H1178))</f>
        <v/>
      </c>
      <c r="H1181" s="26" t="str">
        <f>IF('Paste SD Data'!I1178="","",IF('Paste SD Data'!I1178="M","BOY","GIRL"))</f>
        <v/>
      </c>
      <c r="I1181" s="28" t="str">
        <f>IF('Paste SD Data'!J1178="","",'Paste SD Data'!J1178)</f>
        <v/>
      </c>
      <c r="J1181" s="34">
        <f t="shared" si="18"/>
        <v>1607</v>
      </c>
      <c r="K1181" s="29" t="str">
        <f>IF('Paste SD Data'!O1178="","",'Paste SD Data'!O1178)</f>
        <v/>
      </c>
    </row>
    <row r="1182" spans="1:11" ht="30" customHeight="1" x14ac:dyDescent="0.25">
      <c r="A1182" s="25" t="str">
        <f>IF(Table1[[#This Row],[Name of Student]]="","",ROWS($A$1:A1178))</f>
        <v/>
      </c>
      <c r="B1182" s="26" t="str">
        <f>IF('Paste SD Data'!A1179="","",'Paste SD Data'!A1179)</f>
        <v/>
      </c>
      <c r="C1182" s="26" t="str">
        <f>IF('Paste SD Data'!B1179="","",'Paste SD Data'!B1179)</f>
        <v/>
      </c>
      <c r="D1182" s="26" t="str">
        <f>IF('Paste SD Data'!C1179="","",'Paste SD Data'!C1179)</f>
        <v/>
      </c>
      <c r="E1182" s="27" t="str">
        <f>IF('Paste SD Data'!E1179="","",UPPER('Paste SD Data'!E1179))</f>
        <v/>
      </c>
      <c r="F1182" s="27" t="str">
        <f>IF('Paste SD Data'!G1179="","",UPPER('Paste SD Data'!G1179))</f>
        <v/>
      </c>
      <c r="G1182" s="27" t="str">
        <f>IF('Paste SD Data'!H1179="","",UPPER('Paste SD Data'!H1179))</f>
        <v/>
      </c>
      <c r="H1182" s="26" t="str">
        <f>IF('Paste SD Data'!I1179="","",IF('Paste SD Data'!I1179="M","BOY","GIRL"))</f>
        <v/>
      </c>
      <c r="I1182" s="28" t="str">
        <f>IF('Paste SD Data'!J1179="","",'Paste SD Data'!J1179)</f>
        <v/>
      </c>
      <c r="J1182" s="34">
        <f t="shared" si="18"/>
        <v>1608</v>
      </c>
      <c r="K1182" s="29" t="str">
        <f>IF('Paste SD Data'!O1179="","",'Paste SD Data'!O1179)</f>
        <v/>
      </c>
    </row>
    <row r="1183" spans="1:11" ht="30" customHeight="1" x14ac:dyDescent="0.25">
      <c r="A1183" s="25" t="str">
        <f>IF(Table1[[#This Row],[Name of Student]]="","",ROWS($A$1:A1179))</f>
        <v/>
      </c>
      <c r="B1183" s="26" t="str">
        <f>IF('Paste SD Data'!A1180="","",'Paste SD Data'!A1180)</f>
        <v/>
      </c>
      <c r="C1183" s="26" t="str">
        <f>IF('Paste SD Data'!B1180="","",'Paste SD Data'!B1180)</f>
        <v/>
      </c>
      <c r="D1183" s="26" t="str">
        <f>IF('Paste SD Data'!C1180="","",'Paste SD Data'!C1180)</f>
        <v/>
      </c>
      <c r="E1183" s="27" t="str">
        <f>IF('Paste SD Data'!E1180="","",UPPER('Paste SD Data'!E1180))</f>
        <v/>
      </c>
      <c r="F1183" s="27" t="str">
        <f>IF('Paste SD Data'!G1180="","",UPPER('Paste SD Data'!G1180))</f>
        <v/>
      </c>
      <c r="G1183" s="27" t="str">
        <f>IF('Paste SD Data'!H1180="","",UPPER('Paste SD Data'!H1180))</f>
        <v/>
      </c>
      <c r="H1183" s="26" t="str">
        <f>IF('Paste SD Data'!I1180="","",IF('Paste SD Data'!I1180="M","BOY","GIRL"))</f>
        <v/>
      </c>
      <c r="I1183" s="28" t="str">
        <f>IF('Paste SD Data'!J1180="","",'Paste SD Data'!J1180)</f>
        <v/>
      </c>
      <c r="J1183" s="34">
        <f t="shared" si="18"/>
        <v>1609</v>
      </c>
      <c r="K1183" s="29" t="str">
        <f>IF('Paste SD Data'!O1180="","",'Paste SD Data'!O1180)</f>
        <v/>
      </c>
    </row>
    <row r="1184" spans="1:11" ht="30" customHeight="1" x14ac:dyDescent="0.25">
      <c r="A1184" s="25" t="str">
        <f>IF(Table1[[#This Row],[Name of Student]]="","",ROWS($A$1:A1180))</f>
        <v/>
      </c>
      <c r="B1184" s="26" t="str">
        <f>IF('Paste SD Data'!A1181="","",'Paste SD Data'!A1181)</f>
        <v/>
      </c>
      <c r="C1184" s="26" t="str">
        <f>IF('Paste SD Data'!B1181="","",'Paste SD Data'!B1181)</f>
        <v/>
      </c>
      <c r="D1184" s="26" t="str">
        <f>IF('Paste SD Data'!C1181="","",'Paste SD Data'!C1181)</f>
        <v/>
      </c>
      <c r="E1184" s="27" t="str">
        <f>IF('Paste SD Data'!E1181="","",UPPER('Paste SD Data'!E1181))</f>
        <v/>
      </c>
      <c r="F1184" s="27" t="str">
        <f>IF('Paste SD Data'!G1181="","",UPPER('Paste SD Data'!G1181))</f>
        <v/>
      </c>
      <c r="G1184" s="27" t="str">
        <f>IF('Paste SD Data'!H1181="","",UPPER('Paste SD Data'!H1181))</f>
        <v/>
      </c>
      <c r="H1184" s="26" t="str">
        <f>IF('Paste SD Data'!I1181="","",IF('Paste SD Data'!I1181="M","BOY","GIRL"))</f>
        <v/>
      </c>
      <c r="I1184" s="28" t="str">
        <f>IF('Paste SD Data'!J1181="","",'Paste SD Data'!J1181)</f>
        <v/>
      </c>
      <c r="J1184" s="34">
        <f t="shared" si="18"/>
        <v>1610</v>
      </c>
      <c r="K1184" s="29" t="str">
        <f>IF('Paste SD Data'!O1181="","",'Paste SD Data'!O1181)</f>
        <v/>
      </c>
    </row>
    <row r="1185" spans="1:11" ht="30" customHeight="1" x14ac:dyDescent="0.25">
      <c r="A1185" s="25" t="str">
        <f>IF(Table1[[#This Row],[Name of Student]]="","",ROWS($A$1:A1181))</f>
        <v/>
      </c>
      <c r="B1185" s="26" t="str">
        <f>IF('Paste SD Data'!A1182="","",'Paste SD Data'!A1182)</f>
        <v/>
      </c>
      <c r="C1185" s="26" t="str">
        <f>IF('Paste SD Data'!B1182="","",'Paste SD Data'!B1182)</f>
        <v/>
      </c>
      <c r="D1185" s="26" t="str">
        <f>IF('Paste SD Data'!C1182="","",'Paste SD Data'!C1182)</f>
        <v/>
      </c>
      <c r="E1185" s="27" t="str">
        <f>IF('Paste SD Data'!E1182="","",UPPER('Paste SD Data'!E1182))</f>
        <v/>
      </c>
      <c r="F1185" s="27" t="str">
        <f>IF('Paste SD Data'!G1182="","",UPPER('Paste SD Data'!G1182))</f>
        <v/>
      </c>
      <c r="G1185" s="27" t="str">
        <f>IF('Paste SD Data'!H1182="","",UPPER('Paste SD Data'!H1182))</f>
        <v/>
      </c>
      <c r="H1185" s="26" t="str">
        <f>IF('Paste SD Data'!I1182="","",IF('Paste SD Data'!I1182="M","BOY","GIRL"))</f>
        <v/>
      </c>
      <c r="I1185" s="28" t="str">
        <f>IF('Paste SD Data'!J1182="","",'Paste SD Data'!J1182)</f>
        <v/>
      </c>
      <c r="J1185" s="34">
        <f t="shared" si="18"/>
        <v>1611</v>
      </c>
      <c r="K1185" s="29" t="str">
        <f>IF('Paste SD Data'!O1182="","",'Paste SD Data'!O1182)</f>
        <v/>
      </c>
    </row>
    <row r="1186" spans="1:11" ht="30" customHeight="1" x14ac:dyDescent="0.25">
      <c r="A1186" s="25" t="str">
        <f>IF(Table1[[#This Row],[Name of Student]]="","",ROWS($A$1:A1182))</f>
        <v/>
      </c>
      <c r="B1186" s="26" t="str">
        <f>IF('Paste SD Data'!A1183="","",'Paste SD Data'!A1183)</f>
        <v/>
      </c>
      <c r="C1186" s="26" t="str">
        <f>IF('Paste SD Data'!B1183="","",'Paste SD Data'!B1183)</f>
        <v/>
      </c>
      <c r="D1186" s="26" t="str">
        <f>IF('Paste SD Data'!C1183="","",'Paste SD Data'!C1183)</f>
        <v/>
      </c>
      <c r="E1186" s="27" t="str">
        <f>IF('Paste SD Data'!E1183="","",UPPER('Paste SD Data'!E1183))</f>
        <v/>
      </c>
      <c r="F1186" s="27" t="str">
        <f>IF('Paste SD Data'!G1183="","",UPPER('Paste SD Data'!G1183))</f>
        <v/>
      </c>
      <c r="G1186" s="27" t="str">
        <f>IF('Paste SD Data'!H1183="","",UPPER('Paste SD Data'!H1183))</f>
        <v/>
      </c>
      <c r="H1186" s="26" t="str">
        <f>IF('Paste SD Data'!I1183="","",IF('Paste SD Data'!I1183="M","BOY","GIRL"))</f>
        <v/>
      </c>
      <c r="I1186" s="28" t="str">
        <f>IF('Paste SD Data'!J1183="","",'Paste SD Data'!J1183)</f>
        <v/>
      </c>
      <c r="J1186" s="34">
        <f t="shared" si="18"/>
        <v>1612</v>
      </c>
      <c r="K1186" s="29" t="str">
        <f>IF('Paste SD Data'!O1183="","",'Paste SD Data'!O1183)</f>
        <v/>
      </c>
    </row>
    <row r="1187" spans="1:11" ht="30" customHeight="1" x14ac:dyDescent="0.25">
      <c r="A1187" s="25" t="str">
        <f>IF(Table1[[#This Row],[Name of Student]]="","",ROWS($A$1:A1183))</f>
        <v/>
      </c>
      <c r="B1187" s="26" t="str">
        <f>IF('Paste SD Data'!A1184="","",'Paste SD Data'!A1184)</f>
        <v/>
      </c>
      <c r="C1187" s="26" t="str">
        <f>IF('Paste SD Data'!B1184="","",'Paste SD Data'!B1184)</f>
        <v/>
      </c>
      <c r="D1187" s="26" t="str">
        <f>IF('Paste SD Data'!C1184="","",'Paste SD Data'!C1184)</f>
        <v/>
      </c>
      <c r="E1187" s="27" t="str">
        <f>IF('Paste SD Data'!E1184="","",UPPER('Paste SD Data'!E1184))</f>
        <v/>
      </c>
      <c r="F1187" s="27" t="str">
        <f>IF('Paste SD Data'!G1184="","",UPPER('Paste SD Data'!G1184))</f>
        <v/>
      </c>
      <c r="G1187" s="27" t="str">
        <f>IF('Paste SD Data'!H1184="","",UPPER('Paste SD Data'!H1184))</f>
        <v/>
      </c>
      <c r="H1187" s="26" t="str">
        <f>IF('Paste SD Data'!I1184="","",IF('Paste SD Data'!I1184="M","BOY","GIRL"))</f>
        <v/>
      </c>
      <c r="I1187" s="28" t="str">
        <f>IF('Paste SD Data'!J1184="","",'Paste SD Data'!J1184)</f>
        <v/>
      </c>
      <c r="J1187" s="34">
        <f t="shared" si="18"/>
        <v>1613</v>
      </c>
      <c r="K1187" s="29" t="str">
        <f>IF('Paste SD Data'!O1184="","",'Paste SD Data'!O1184)</f>
        <v/>
      </c>
    </row>
    <row r="1188" spans="1:11" ht="30" customHeight="1" x14ac:dyDescent="0.25">
      <c r="A1188" s="25" t="str">
        <f>IF(Table1[[#This Row],[Name of Student]]="","",ROWS($A$1:A1184))</f>
        <v/>
      </c>
      <c r="B1188" s="26" t="str">
        <f>IF('Paste SD Data'!A1185="","",'Paste SD Data'!A1185)</f>
        <v/>
      </c>
      <c r="C1188" s="26" t="str">
        <f>IF('Paste SD Data'!B1185="","",'Paste SD Data'!B1185)</f>
        <v/>
      </c>
      <c r="D1188" s="26" t="str">
        <f>IF('Paste SD Data'!C1185="","",'Paste SD Data'!C1185)</f>
        <v/>
      </c>
      <c r="E1188" s="27" t="str">
        <f>IF('Paste SD Data'!E1185="","",UPPER('Paste SD Data'!E1185))</f>
        <v/>
      </c>
      <c r="F1188" s="27" t="str">
        <f>IF('Paste SD Data'!G1185="","",UPPER('Paste SD Data'!G1185))</f>
        <v/>
      </c>
      <c r="G1188" s="27" t="str">
        <f>IF('Paste SD Data'!H1185="","",UPPER('Paste SD Data'!H1185))</f>
        <v/>
      </c>
      <c r="H1188" s="26" t="str">
        <f>IF('Paste SD Data'!I1185="","",IF('Paste SD Data'!I1185="M","BOY","GIRL"))</f>
        <v/>
      </c>
      <c r="I1188" s="28" t="str">
        <f>IF('Paste SD Data'!J1185="","",'Paste SD Data'!J1185)</f>
        <v/>
      </c>
      <c r="J1188" s="34">
        <f t="shared" si="18"/>
        <v>1614</v>
      </c>
      <c r="K1188" s="29" t="str">
        <f>IF('Paste SD Data'!O1185="","",'Paste SD Data'!O1185)</f>
        <v/>
      </c>
    </row>
    <row r="1189" spans="1:11" ht="30" customHeight="1" x14ac:dyDescent="0.25">
      <c r="A1189" s="25" t="str">
        <f>IF(Table1[[#This Row],[Name of Student]]="","",ROWS($A$1:A1185))</f>
        <v/>
      </c>
      <c r="B1189" s="26" t="str">
        <f>IF('Paste SD Data'!A1186="","",'Paste SD Data'!A1186)</f>
        <v/>
      </c>
      <c r="C1189" s="26" t="str">
        <f>IF('Paste SD Data'!B1186="","",'Paste SD Data'!B1186)</f>
        <v/>
      </c>
      <c r="D1189" s="26" t="str">
        <f>IF('Paste SD Data'!C1186="","",'Paste SD Data'!C1186)</f>
        <v/>
      </c>
      <c r="E1189" s="27" t="str">
        <f>IF('Paste SD Data'!E1186="","",UPPER('Paste SD Data'!E1186))</f>
        <v/>
      </c>
      <c r="F1189" s="27" t="str">
        <f>IF('Paste SD Data'!G1186="","",UPPER('Paste SD Data'!G1186))</f>
        <v/>
      </c>
      <c r="G1189" s="27" t="str">
        <f>IF('Paste SD Data'!H1186="","",UPPER('Paste SD Data'!H1186))</f>
        <v/>
      </c>
      <c r="H1189" s="26" t="str">
        <f>IF('Paste SD Data'!I1186="","",IF('Paste SD Data'!I1186="M","BOY","GIRL"))</f>
        <v/>
      </c>
      <c r="I1189" s="28" t="str">
        <f>IF('Paste SD Data'!J1186="","",'Paste SD Data'!J1186)</f>
        <v/>
      </c>
      <c r="J1189" s="34">
        <f t="shared" si="18"/>
        <v>1615</v>
      </c>
      <c r="K1189" s="29" t="str">
        <f>IF('Paste SD Data'!O1186="","",'Paste SD Data'!O1186)</f>
        <v/>
      </c>
    </row>
    <row r="1190" spans="1:11" ht="30" customHeight="1" x14ac:dyDescent="0.25">
      <c r="A1190" s="25" t="str">
        <f>IF(Table1[[#This Row],[Name of Student]]="","",ROWS($A$1:A1186))</f>
        <v/>
      </c>
      <c r="B1190" s="26" t="str">
        <f>IF('Paste SD Data'!A1187="","",'Paste SD Data'!A1187)</f>
        <v/>
      </c>
      <c r="C1190" s="26" t="str">
        <f>IF('Paste SD Data'!B1187="","",'Paste SD Data'!B1187)</f>
        <v/>
      </c>
      <c r="D1190" s="26" t="str">
        <f>IF('Paste SD Data'!C1187="","",'Paste SD Data'!C1187)</f>
        <v/>
      </c>
      <c r="E1190" s="27" t="str">
        <f>IF('Paste SD Data'!E1187="","",UPPER('Paste SD Data'!E1187))</f>
        <v/>
      </c>
      <c r="F1190" s="27" t="str">
        <f>IF('Paste SD Data'!G1187="","",UPPER('Paste SD Data'!G1187))</f>
        <v/>
      </c>
      <c r="G1190" s="27" t="str">
        <f>IF('Paste SD Data'!H1187="","",UPPER('Paste SD Data'!H1187))</f>
        <v/>
      </c>
      <c r="H1190" s="26" t="str">
        <f>IF('Paste SD Data'!I1187="","",IF('Paste SD Data'!I1187="M","BOY","GIRL"))</f>
        <v/>
      </c>
      <c r="I1190" s="28" t="str">
        <f>IF('Paste SD Data'!J1187="","",'Paste SD Data'!J1187)</f>
        <v/>
      </c>
      <c r="J1190" s="34">
        <f t="shared" si="18"/>
        <v>1616</v>
      </c>
      <c r="K1190" s="29" t="str">
        <f>IF('Paste SD Data'!O1187="","",'Paste SD Data'!O1187)</f>
        <v/>
      </c>
    </row>
    <row r="1191" spans="1:11" ht="30" customHeight="1" x14ac:dyDescent="0.25">
      <c r="A1191" s="25" t="str">
        <f>IF(Table1[[#This Row],[Name of Student]]="","",ROWS($A$1:A1187))</f>
        <v/>
      </c>
      <c r="B1191" s="26" t="str">
        <f>IF('Paste SD Data'!A1188="","",'Paste SD Data'!A1188)</f>
        <v/>
      </c>
      <c r="C1191" s="26" t="str">
        <f>IF('Paste SD Data'!B1188="","",'Paste SD Data'!B1188)</f>
        <v/>
      </c>
      <c r="D1191" s="26" t="str">
        <f>IF('Paste SD Data'!C1188="","",'Paste SD Data'!C1188)</f>
        <v/>
      </c>
      <c r="E1191" s="27" t="str">
        <f>IF('Paste SD Data'!E1188="","",UPPER('Paste SD Data'!E1188))</f>
        <v/>
      </c>
      <c r="F1191" s="27" t="str">
        <f>IF('Paste SD Data'!G1188="","",UPPER('Paste SD Data'!G1188))</f>
        <v/>
      </c>
      <c r="G1191" s="27" t="str">
        <f>IF('Paste SD Data'!H1188="","",UPPER('Paste SD Data'!H1188))</f>
        <v/>
      </c>
      <c r="H1191" s="26" t="str">
        <f>IF('Paste SD Data'!I1188="","",IF('Paste SD Data'!I1188="M","BOY","GIRL"))</f>
        <v/>
      </c>
      <c r="I1191" s="28" t="str">
        <f>IF('Paste SD Data'!J1188="","",'Paste SD Data'!J1188)</f>
        <v/>
      </c>
      <c r="J1191" s="34">
        <f t="shared" si="18"/>
        <v>1617</v>
      </c>
      <c r="K1191" s="29" t="str">
        <f>IF('Paste SD Data'!O1188="","",'Paste SD Data'!O1188)</f>
        <v/>
      </c>
    </row>
    <row r="1192" spans="1:11" ht="30" customHeight="1" x14ac:dyDescent="0.25">
      <c r="A1192" s="25" t="str">
        <f>IF(Table1[[#This Row],[Name of Student]]="","",ROWS($A$1:A1188))</f>
        <v/>
      </c>
      <c r="B1192" s="26" t="str">
        <f>IF('Paste SD Data'!A1189="","",'Paste SD Data'!A1189)</f>
        <v/>
      </c>
      <c r="C1192" s="26" t="str">
        <f>IF('Paste SD Data'!B1189="","",'Paste SD Data'!B1189)</f>
        <v/>
      </c>
      <c r="D1192" s="26" t="str">
        <f>IF('Paste SD Data'!C1189="","",'Paste SD Data'!C1189)</f>
        <v/>
      </c>
      <c r="E1192" s="27" t="str">
        <f>IF('Paste SD Data'!E1189="","",UPPER('Paste SD Data'!E1189))</f>
        <v/>
      </c>
      <c r="F1192" s="27" t="str">
        <f>IF('Paste SD Data'!G1189="","",UPPER('Paste SD Data'!G1189))</f>
        <v/>
      </c>
      <c r="G1192" s="27" t="str">
        <f>IF('Paste SD Data'!H1189="","",UPPER('Paste SD Data'!H1189))</f>
        <v/>
      </c>
      <c r="H1192" s="26" t="str">
        <f>IF('Paste SD Data'!I1189="","",IF('Paste SD Data'!I1189="M","BOY","GIRL"))</f>
        <v/>
      </c>
      <c r="I1192" s="28" t="str">
        <f>IF('Paste SD Data'!J1189="","",'Paste SD Data'!J1189)</f>
        <v/>
      </c>
      <c r="J1192" s="34">
        <f t="shared" si="18"/>
        <v>1618</v>
      </c>
      <c r="K1192" s="29" t="str">
        <f>IF('Paste SD Data'!O1189="","",'Paste SD Data'!O1189)</f>
        <v/>
      </c>
    </row>
    <row r="1193" spans="1:11" ht="30" customHeight="1" x14ac:dyDescent="0.25">
      <c r="A1193" s="25" t="str">
        <f>IF(Table1[[#This Row],[Name of Student]]="","",ROWS($A$1:A1189))</f>
        <v/>
      </c>
      <c r="B1193" s="26" t="str">
        <f>IF('Paste SD Data'!A1190="","",'Paste SD Data'!A1190)</f>
        <v/>
      </c>
      <c r="C1193" s="26" t="str">
        <f>IF('Paste SD Data'!B1190="","",'Paste SD Data'!B1190)</f>
        <v/>
      </c>
      <c r="D1193" s="26" t="str">
        <f>IF('Paste SD Data'!C1190="","",'Paste SD Data'!C1190)</f>
        <v/>
      </c>
      <c r="E1193" s="27" t="str">
        <f>IF('Paste SD Data'!E1190="","",UPPER('Paste SD Data'!E1190))</f>
        <v/>
      </c>
      <c r="F1193" s="27" t="str">
        <f>IF('Paste SD Data'!G1190="","",UPPER('Paste SD Data'!G1190))</f>
        <v/>
      </c>
      <c r="G1193" s="27" t="str">
        <f>IF('Paste SD Data'!H1190="","",UPPER('Paste SD Data'!H1190))</f>
        <v/>
      </c>
      <c r="H1193" s="26" t="str">
        <f>IF('Paste SD Data'!I1190="","",IF('Paste SD Data'!I1190="M","BOY","GIRL"))</f>
        <v/>
      </c>
      <c r="I1193" s="28" t="str">
        <f>IF('Paste SD Data'!J1190="","",'Paste SD Data'!J1190)</f>
        <v/>
      </c>
      <c r="J1193" s="34">
        <f t="shared" si="18"/>
        <v>1619</v>
      </c>
      <c r="K1193" s="29" t="str">
        <f>IF('Paste SD Data'!O1190="","",'Paste SD Data'!O1190)</f>
        <v/>
      </c>
    </row>
    <row r="1194" spans="1:11" ht="30" customHeight="1" x14ac:dyDescent="0.25">
      <c r="A1194" s="25" t="str">
        <f>IF(Table1[[#This Row],[Name of Student]]="","",ROWS($A$1:A1190))</f>
        <v/>
      </c>
      <c r="B1194" s="26" t="str">
        <f>IF('Paste SD Data'!A1191="","",'Paste SD Data'!A1191)</f>
        <v/>
      </c>
      <c r="C1194" s="26" t="str">
        <f>IF('Paste SD Data'!B1191="","",'Paste SD Data'!B1191)</f>
        <v/>
      </c>
      <c r="D1194" s="26" t="str">
        <f>IF('Paste SD Data'!C1191="","",'Paste SD Data'!C1191)</f>
        <v/>
      </c>
      <c r="E1194" s="27" t="str">
        <f>IF('Paste SD Data'!E1191="","",UPPER('Paste SD Data'!E1191))</f>
        <v/>
      </c>
      <c r="F1194" s="27" t="str">
        <f>IF('Paste SD Data'!G1191="","",UPPER('Paste SD Data'!G1191))</f>
        <v/>
      </c>
      <c r="G1194" s="27" t="str">
        <f>IF('Paste SD Data'!H1191="","",UPPER('Paste SD Data'!H1191))</f>
        <v/>
      </c>
      <c r="H1194" s="26" t="str">
        <f>IF('Paste SD Data'!I1191="","",IF('Paste SD Data'!I1191="M","BOY","GIRL"))</f>
        <v/>
      </c>
      <c r="I1194" s="28" t="str">
        <f>IF('Paste SD Data'!J1191="","",'Paste SD Data'!J1191)</f>
        <v/>
      </c>
      <c r="J1194" s="34">
        <f t="shared" si="18"/>
        <v>1620</v>
      </c>
      <c r="K1194" s="29" t="str">
        <f>IF('Paste SD Data'!O1191="","",'Paste SD Data'!O1191)</f>
        <v/>
      </c>
    </row>
    <row r="1195" spans="1:11" ht="30" customHeight="1" x14ac:dyDescent="0.25">
      <c r="A1195" s="25" t="str">
        <f>IF(Table1[[#This Row],[Name of Student]]="","",ROWS($A$1:A1191))</f>
        <v/>
      </c>
      <c r="B1195" s="26" t="str">
        <f>IF('Paste SD Data'!A1192="","",'Paste SD Data'!A1192)</f>
        <v/>
      </c>
      <c r="C1195" s="26" t="str">
        <f>IF('Paste SD Data'!B1192="","",'Paste SD Data'!B1192)</f>
        <v/>
      </c>
      <c r="D1195" s="26" t="str">
        <f>IF('Paste SD Data'!C1192="","",'Paste SD Data'!C1192)</f>
        <v/>
      </c>
      <c r="E1195" s="27" t="str">
        <f>IF('Paste SD Data'!E1192="","",UPPER('Paste SD Data'!E1192))</f>
        <v/>
      </c>
      <c r="F1195" s="27" t="str">
        <f>IF('Paste SD Data'!G1192="","",UPPER('Paste SD Data'!G1192))</f>
        <v/>
      </c>
      <c r="G1195" s="27" t="str">
        <f>IF('Paste SD Data'!H1192="","",UPPER('Paste SD Data'!H1192))</f>
        <v/>
      </c>
      <c r="H1195" s="26" t="str">
        <f>IF('Paste SD Data'!I1192="","",IF('Paste SD Data'!I1192="M","BOY","GIRL"))</f>
        <v/>
      </c>
      <c r="I1195" s="28" t="str">
        <f>IF('Paste SD Data'!J1192="","",'Paste SD Data'!J1192)</f>
        <v/>
      </c>
      <c r="J1195" s="34">
        <f t="shared" si="18"/>
        <v>1621</v>
      </c>
      <c r="K1195" s="29" t="str">
        <f>IF('Paste SD Data'!O1192="","",'Paste SD Data'!O1192)</f>
        <v/>
      </c>
    </row>
    <row r="1196" spans="1:11" ht="30" customHeight="1" x14ac:dyDescent="0.25">
      <c r="A1196" s="25" t="str">
        <f>IF(Table1[[#This Row],[Name of Student]]="","",ROWS($A$1:A1192))</f>
        <v/>
      </c>
      <c r="B1196" s="26" t="str">
        <f>IF('Paste SD Data'!A1193="","",'Paste SD Data'!A1193)</f>
        <v/>
      </c>
      <c r="C1196" s="26" t="str">
        <f>IF('Paste SD Data'!B1193="","",'Paste SD Data'!B1193)</f>
        <v/>
      </c>
      <c r="D1196" s="26" t="str">
        <f>IF('Paste SD Data'!C1193="","",'Paste SD Data'!C1193)</f>
        <v/>
      </c>
      <c r="E1196" s="27" t="str">
        <f>IF('Paste SD Data'!E1193="","",UPPER('Paste SD Data'!E1193))</f>
        <v/>
      </c>
      <c r="F1196" s="27" t="str">
        <f>IF('Paste SD Data'!G1193="","",UPPER('Paste SD Data'!G1193))</f>
        <v/>
      </c>
      <c r="G1196" s="27" t="str">
        <f>IF('Paste SD Data'!H1193="","",UPPER('Paste SD Data'!H1193))</f>
        <v/>
      </c>
      <c r="H1196" s="26" t="str">
        <f>IF('Paste SD Data'!I1193="","",IF('Paste SD Data'!I1193="M","BOY","GIRL"))</f>
        <v/>
      </c>
      <c r="I1196" s="28" t="str">
        <f>IF('Paste SD Data'!J1193="","",'Paste SD Data'!J1193)</f>
        <v/>
      </c>
      <c r="J1196" s="34">
        <f t="shared" si="18"/>
        <v>1622</v>
      </c>
      <c r="K1196" s="29" t="str">
        <f>IF('Paste SD Data'!O1193="","",'Paste SD Data'!O1193)</f>
        <v/>
      </c>
    </row>
    <row r="1197" spans="1:11" ht="30" customHeight="1" x14ac:dyDescent="0.25">
      <c r="A1197" s="25" t="str">
        <f>IF(Table1[[#This Row],[Name of Student]]="","",ROWS($A$1:A1193))</f>
        <v/>
      </c>
      <c r="B1197" s="26" t="str">
        <f>IF('Paste SD Data'!A1194="","",'Paste SD Data'!A1194)</f>
        <v/>
      </c>
      <c r="C1197" s="26" t="str">
        <f>IF('Paste SD Data'!B1194="","",'Paste SD Data'!B1194)</f>
        <v/>
      </c>
      <c r="D1197" s="26" t="str">
        <f>IF('Paste SD Data'!C1194="","",'Paste SD Data'!C1194)</f>
        <v/>
      </c>
      <c r="E1197" s="27" t="str">
        <f>IF('Paste SD Data'!E1194="","",UPPER('Paste SD Data'!E1194))</f>
        <v/>
      </c>
      <c r="F1197" s="27" t="str">
        <f>IF('Paste SD Data'!G1194="","",UPPER('Paste SD Data'!G1194))</f>
        <v/>
      </c>
      <c r="G1197" s="27" t="str">
        <f>IF('Paste SD Data'!H1194="","",UPPER('Paste SD Data'!H1194))</f>
        <v/>
      </c>
      <c r="H1197" s="26" t="str">
        <f>IF('Paste SD Data'!I1194="","",IF('Paste SD Data'!I1194="M","BOY","GIRL"))</f>
        <v/>
      </c>
      <c r="I1197" s="28" t="str">
        <f>IF('Paste SD Data'!J1194="","",'Paste SD Data'!J1194)</f>
        <v/>
      </c>
      <c r="J1197" s="34">
        <f t="shared" si="18"/>
        <v>1623</v>
      </c>
      <c r="K1197" s="29" t="str">
        <f>IF('Paste SD Data'!O1194="","",'Paste SD Data'!O1194)</f>
        <v/>
      </c>
    </row>
    <row r="1198" spans="1:11" ht="30" customHeight="1" x14ac:dyDescent="0.25">
      <c r="A1198" s="25" t="str">
        <f>IF(Table1[[#This Row],[Name of Student]]="","",ROWS($A$1:A1194))</f>
        <v/>
      </c>
      <c r="B1198" s="26" t="str">
        <f>IF('Paste SD Data'!A1195="","",'Paste SD Data'!A1195)</f>
        <v/>
      </c>
      <c r="C1198" s="26" t="str">
        <f>IF('Paste SD Data'!B1195="","",'Paste SD Data'!B1195)</f>
        <v/>
      </c>
      <c r="D1198" s="26" t="str">
        <f>IF('Paste SD Data'!C1195="","",'Paste SD Data'!C1195)</f>
        <v/>
      </c>
      <c r="E1198" s="27" t="str">
        <f>IF('Paste SD Data'!E1195="","",UPPER('Paste SD Data'!E1195))</f>
        <v/>
      </c>
      <c r="F1198" s="27" t="str">
        <f>IF('Paste SD Data'!G1195="","",UPPER('Paste SD Data'!G1195))</f>
        <v/>
      </c>
      <c r="G1198" s="27" t="str">
        <f>IF('Paste SD Data'!H1195="","",UPPER('Paste SD Data'!H1195))</f>
        <v/>
      </c>
      <c r="H1198" s="26" t="str">
        <f>IF('Paste SD Data'!I1195="","",IF('Paste SD Data'!I1195="M","BOY","GIRL"))</f>
        <v/>
      </c>
      <c r="I1198" s="28" t="str">
        <f>IF('Paste SD Data'!J1195="","",'Paste SD Data'!J1195)</f>
        <v/>
      </c>
      <c r="J1198" s="34">
        <f t="shared" si="18"/>
        <v>1624</v>
      </c>
      <c r="K1198" s="29" t="str">
        <f>IF('Paste SD Data'!O1195="","",'Paste SD Data'!O1195)</f>
        <v/>
      </c>
    </row>
    <row r="1199" spans="1:11" ht="30" customHeight="1" x14ac:dyDescent="0.25">
      <c r="A1199" s="25" t="str">
        <f>IF(Table1[[#This Row],[Name of Student]]="","",ROWS($A$1:A1195))</f>
        <v/>
      </c>
      <c r="B1199" s="26" t="str">
        <f>IF('Paste SD Data'!A1196="","",'Paste SD Data'!A1196)</f>
        <v/>
      </c>
      <c r="C1199" s="26" t="str">
        <f>IF('Paste SD Data'!B1196="","",'Paste SD Data'!B1196)</f>
        <v/>
      </c>
      <c r="D1199" s="26" t="str">
        <f>IF('Paste SD Data'!C1196="","",'Paste SD Data'!C1196)</f>
        <v/>
      </c>
      <c r="E1199" s="27" t="str">
        <f>IF('Paste SD Data'!E1196="","",UPPER('Paste SD Data'!E1196))</f>
        <v/>
      </c>
      <c r="F1199" s="27" t="str">
        <f>IF('Paste SD Data'!G1196="","",UPPER('Paste SD Data'!G1196))</f>
        <v/>
      </c>
      <c r="G1199" s="27" t="str">
        <f>IF('Paste SD Data'!H1196="","",UPPER('Paste SD Data'!H1196))</f>
        <v/>
      </c>
      <c r="H1199" s="26" t="str">
        <f>IF('Paste SD Data'!I1196="","",IF('Paste SD Data'!I1196="M","BOY","GIRL"))</f>
        <v/>
      </c>
      <c r="I1199" s="28" t="str">
        <f>IF('Paste SD Data'!J1196="","",'Paste SD Data'!J1196)</f>
        <v/>
      </c>
      <c r="J1199" s="34">
        <f t="shared" si="18"/>
        <v>1625</v>
      </c>
      <c r="K1199" s="29" t="str">
        <f>IF('Paste SD Data'!O1196="","",'Paste SD Data'!O1196)</f>
        <v/>
      </c>
    </row>
    <row r="1200" spans="1:11" ht="30" customHeight="1" x14ac:dyDescent="0.25">
      <c r="A1200" s="25" t="str">
        <f>IF(Table1[[#This Row],[Name of Student]]="","",ROWS($A$1:A1196))</f>
        <v/>
      </c>
      <c r="B1200" s="26" t="str">
        <f>IF('Paste SD Data'!A1197="","",'Paste SD Data'!A1197)</f>
        <v/>
      </c>
      <c r="C1200" s="26" t="str">
        <f>IF('Paste SD Data'!B1197="","",'Paste SD Data'!B1197)</f>
        <v/>
      </c>
      <c r="D1200" s="26" t="str">
        <f>IF('Paste SD Data'!C1197="","",'Paste SD Data'!C1197)</f>
        <v/>
      </c>
      <c r="E1200" s="27" t="str">
        <f>IF('Paste SD Data'!E1197="","",UPPER('Paste SD Data'!E1197))</f>
        <v/>
      </c>
      <c r="F1200" s="27" t="str">
        <f>IF('Paste SD Data'!G1197="","",UPPER('Paste SD Data'!G1197))</f>
        <v/>
      </c>
      <c r="G1200" s="27" t="str">
        <f>IF('Paste SD Data'!H1197="","",UPPER('Paste SD Data'!H1197))</f>
        <v/>
      </c>
      <c r="H1200" s="26" t="str">
        <f>IF('Paste SD Data'!I1197="","",IF('Paste SD Data'!I1197="M","BOY","GIRL"))</f>
        <v/>
      </c>
      <c r="I1200" s="28" t="str">
        <f>IF('Paste SD Data'!J1197="","",'Paste SD Data'!J1197)</f>
        <v/>
      </c>
      <c r="J1200" s="34">
        <f t="shared" si="18"/>
        <v>1626</v>
      </c>
      <c r="K1200" s="29" t="str">
        <f>IF('Paste SD Data'!O1197="","",'Paste SD Data'!O1197)</f>
        <v/>
      </c>
    </row>
    <row r="1201" spans="1:11" ht="30" customHeight="1" x14ac:dyDescent="0.25">
      <c r="A1201" s="25" t="str">
        <f>IF(Table1[[#This Row],[Name of Student]]="","",ROWS($A$1:A1197))</f>
        <v/>
      </c>
      <c r="B1201" s="26" t="str">
        <f>IF('Paste SD Data'!A1198="","",'Paste SD Data'!A1198)</f>
        <v/>
      </c>
      <c r="C1201" s="26" t="str">
        <f>IF('Paste SD Data'!B1198="","",'Paste SD Data'!B1198)</f>
        <v/>
      </c>
      <c r="D1201" s="26" t="str">
        <f>IF('Paste SD Data'!C1198="","",'Paste SD Data'!C1198)</f>
        <v/>
      </c>
      <c r="E1201" s="27" t="str">
        <f>IF('Paste SD Data'!E1198="","",UPPER('Paste SD Data'!E1198))</f>
        <v/>
      </c>
      <c r="F1201" s="27" t="str">
        <f>IF('Paste SD Data'!G1198="","",UPPER('Paste SD Data'!G1198))</f>
        <v/>
      </c>
      <c r="G1201" s="27" t="str">
        <f>IF('Paste SD Data'!H1198="","",UPPER('Paste SD Data'!H1198))</f>
        <v/>
      </c>
      <c r="H1201" s="26" t="str">
        <f>IF('Paste SD Data'!I1198="","",IF('Paste SD Data'!I1198="M","BOY","GIRL"))</f>
        <v/>
      </c>
      <c r="I1201" s="28" t="str">
        <f>IF('Paste SD Data'!J1198="","",'Paste SD Data'!J1198)</f>
        <v/>
      </c>
      <c r="J1201" s="34">
        <f t="shared" si="18"/>
        <v>1627</v>
      </c>
      <c r="K1201" s="29" t="str">
        <f>IF('Paste SD Data'!O1198="","",'Paste SD Data'!O1198)</f>
        <v/>
      </c>
    </row>
    <row r="1202" spans="1:11" ht="30" customHeight="1" x14ac:dyDescent="0.25">
      <c r="A1202" s="25" t="str">
        <f>IF(Table1[[#This Row],[Name of Student]]="","",ROWS($A$1:A1198))</f>
        <v/>
      </c>
      <c r="B1202" s="26" t="str">
        <f>IF('Paste SD Data'!A1199="","",'Paste SD Data'!A1199)</f>
        <v/>
      </c>
      <c r="C1202" s="26" t="str">
        <f>IF('Paste SD Data'!B1199="","",'Paste SD Data'!B1199)</f>
        <v/>
      </c>
      <c r="D1202" s="26" t="str">
        <f>IF('Paste SD Data'!C1199="","",'Paste SD Data'!C1199)</f>
        <v/>
      </c>
      <c r="E1202" s="27" t="str">
        <f>IF('Paste SD Data'!E1199="","",UPPER('Paste SD Data'!E1199))</f>
        <v/>
      </c>
      <c r="F1202" s="27" t="str">
        <f>IF('Paste SD Data'!G1199="","",UPPER('Paste SD Data'!G1199))</f>
        <v/>
      </c>
      <c r="G1202" s="27" t="str">
        <f>IF('Paste SD Data'!H1199="","",UPPER('Paste SD Data'!H1199))</f>
        <v/>
      </c>
      <c r="H1202" s="26" t="str">
        <f>IF('Paste SD Data'!I1199="","",IF('Paste SD Data'!I1199="M","BOY","GIRL"))</f>
        <v/>
      </c>
      <c r="I1202" s="28" t="str">
        <f>IF('Paste SD Data'!J1199="","",'Paste SD Data'!J1199)</f>
        <v/>
      </c>
      <c r="J1202" s="34">
        <f t="shared" si="18"/>
        <v>1628</v>
      </c>
      <c r="K1202" s="29" t="str">
        <f>IF('Paste SD Data'!O1199="","",'Paste SD Data'!O1199)</f>
        <v/>
      </c>
    </row>
    <row r="1203" spans="1:11" ht="30" customHeight="1" x14ac:dyDescent="0.25">
      <c r="A1203" s="25" t="str">
        <f>IF(Table1[[#This Row],[Name of Student]]="","",ROWS($A$1:A1199))</f>
        <v/>
      </c>
      <c r="B1203" s="26" t="str">
        <f>IF('Paste SD Data'!A1200="","",'Paste SD Data'!A1200)</f>
        <v/>
      </c>
      <c r="C1203" s="26" t="str">
        <f>IF('Paste SD Data'!B1200="","",'Paste SD Data'!B1200)</f>
        <v/>
      </c>
      <c r="D1203" s="26" t="str">
        <f>IF('Paste SD Data'!C1200="","",'Paste SD Data'!C1200)</f>
        <v/>
      </c>
      <c r="E1203" s="27" t="str">
        <f>IF('Paste SD Data'!E1200="","",UPPER('Paste SD Data'!E1200))</f>
        <v/>
      </c>
      <c r="F1203" s="27" t="str">
        <f>IF('Paste SD Data'!G1200="","",UPPER('Paste SD Data'!G1200))</f>
        <v/>
      </c>
      <c r="G1203" s="27" t="str">
        <f>IF('Paste SD Data'!H1200="","",UPPER('Paste SD Data'!H1200))</f>
        <v/>
      </c>
      <c r="H1203" s="26" t="str">
        <f>IF('Paste SD Data'!I1200="","",IF('Paste SD Data'!I1200="M","BOY","GIRL"))</f>
        <v/>
      </c>
      <c r="I1203" s="28" t="str">
        <f>IF('Paste SD Data'!J1200="","",'Paste SD Data'!J1200)</f>
        <v/>
      </c>
      <c r="J1203" s="34">
        <f t="shared" si="18"/>
        <v>1629</v>
      </c>
      <c r="K1203" s="29" t="str">
        <f>IF('Paste SD Data'!O1200="","",'Paste SD Data'!O1200)</f>
        <v/>
      </c>
    </row>
    <row r="1204" spans="1:11" ht="30" customHeight="1" x14ac:dyDescent="0.25">
      <c r="A1204" s="25" t="str">
        <f>IF(Table1[[#This Row],[Name of Student]]="","",ROWS($A$1:A1200))</f>
        <v/>
      </c>
      <c r="B1204" s="26" t="str">
        <f>IF('Paste SD Data'!A1201="","",'Paste SD Data'!A1201)</f>
        <v/>
      </c>
      <c r="C1204" s="26" t="str">
        <f>IF('Paste SD Data'!B1201="","",'Paste SD Data'!B1201)</f>
        <v/>
      </c>
      <c r="D1204" s="26" t="str">
        <f>IF('Paste SD Data'!C1201="","",'Paste SD Data'!C1201)</f>
        <v/>
      </c>
      <c r="E1204" s="27" t="str">
        <f>IF('Paste SD Data'!E1201="","",UPPER('Paste SD Data'!E1201))</f>
        <v/>
      </c>
      <c r="F1204" s="27" t="str">
        <f>IF('Paste SD Data'!G1201="","",UPPER('Paste SD Data'!G1201))</f>
        <v/>
      </c>
      <c r="G1204" s="27" t="str">
        <f>IF('Paste SD Data'!H1201="","",UPPER('Paste SD Data'!H1201))</f>
        <v/>
      </c>
      <c r="H1204" s="26" t="str">
        <f>IF('Paste SD Data'!I1201="","",IF('Paste SD Data'!I1201="M","BOY","GIRL"))</f>
        <v/>
      </c>
      <c r="I1204" s="28" t="str">
        <f>IF('Paste SD Data'!J1201="","",'Paste SD Data'!J1201)</f>
        <v/>
      </c>
      <c r="J1204" s="34">
        <f t="shared" si="18"/>
        <v>1630</v>
      </c>
      <c r="K1204" s="29" t="str">
        <f>IF('Paste SD Data'!O1201="","",'Paste SD Data'!O1201)</f>
        <v/>
      </c>
    </row>
    <row r="1205" spans="1:11" ht="30" customHeight="1" x14ac:dyDescent="0.25">
      <c r="A1205" s="25" t="str">
        <f>IF(Table1[[#This Row],[Name of Student]]="","",ROWS($A$1:A1201))</f>
        <v/>
      </c>
      <c r="B1205" s="26" t="str">
        <f>IF('Paste SD Data'!A1202="","",'Paste SD Data'!A1202)</f>
        <v/>
      </c>
      <c r="C1205" s="26" t="str">
        <f>IF('Paste SD Data'!B1202="","",'Paste SD Data'!B1202)</f>
        <v/>
      </c>
      <c r="D1205" s="26" t="str">
        <f>IF('Paste SD Data'!C1202="","",'Paste SD Data'!C1202)</f>
        <v/>
      </c>
      <c r="E1205" s="27" t="str">
        <f>IF('Paste SD Data'!E1202="","",UPPER('Paste SD Data'!E1202))</f>
        <v/>
      </c>
      <c r="F1205" s="27" t="str">
        <f>IF('Paste SD Data'!G1202="","",UPPER('Paste SD Data'!G1202))</f>
        <v/>
      </c>
      <c r="G1205" s="27" t="str">
        <f>IF('Paste SD Data'!H1202="","",UPPER('Paste SD Data'!H1202))</f>
        <v/>
      </c>
      <c r="H1205" s="26" t="str">
        <f>IF('Paste SD Data'!I1202="","",IF('Paste SD Data'!I1202="M","BOY","GIRL"))</f>
        <v/>
      </c>
      <c r="I1205" s="28" t="str">
        <f>IF('Paste SD Data'!J1202="","",'Paste SD Data'!J1202)</f>
        <v/>
      </c>
      <c r="J1205" s="34">
        <f t="shared" si="18"/>
        <v>1631</v>
      </c>
      <c r="K1205" s="29" t="str">
        <f>IF('Paste SD Data'!O1202="","",'Paste SD Data'!O1202)</f>
        <v/>
      </c>
    </row>
    <row r="1206" spans="1:11" ht="30" customHeight="1" x14ac:dyDescent="0.25">
      <c r="A1206" s="25" t="str">
        <f>IF(Table1[[#This Row],[Name of Student]]="","",ROWS($A$1:A1202))</f>
        <v/>
      </c>
      <c r="B1206" s="26" t="str">
        <f>IF('Paste SD Data'!A1203="","",'Paste SD Data'!A1203)</f>
        <v/>
      </c>
      <c r="C1206" s="26" t="str">
        <f>IF('Paste SD Data'!B1203="","",'Paste SD Data'!B1203)</f>
        <v/>
      </c>
      <c r="D1206" s="26" t="str">
        <f>IF('Paste SD Data'!C1203="","",'Paste SD Data'!C1203)</f>
        <v/>
      </c>
      <c r="E1206" s="27" t="str">
        <f>IF('Paste SD Data'!E1203="","",UPPER('Paste SD Data'!E1203))</f>
        <v/>
      </c>
      <c r="F1206" s="27" t="str">
        <f>IF('Paste SD Data'!G1203="","",UPPER('Paste SD Data'!G1203))</f>
        <v/>
      </c>
      <c r="G1206" s="27" t="str">
        <f>IF('Paste SD Data'!H1203="","",UPPER('Paste SD Data'!H1203))</f>
        <v/>
      </c>
      <c r="H1206" s="26" t="str">
        <f>IF('Paste SD Data'!I1203="","",IF('Paste SD Data'!I1203="M","BOY","GIRL"))</f>
        <v/>
      </c>
      <c r="I1206" s="28" t="str">
        <f>IF('Paste SD Data'!J1203="","",'Paste SD Data'!J1203)</f>
        <v/>
      </c>
      <c r="J1206" s="34">
        <f t="shared" si="18"/>
        <v>1632</v>
      </c>
      <c r="K1206" s="29" t="str">
        <f>IF('Paste SD Data'!O1203="","",'Paste SD Data'!O1203)</f>
        <v/>
      </c>
    </row>
    <row r="1207" spans="1:11" ht="30" customHeight="1" x14ac:dyDescent="0.25">
      <c r="A1207" s="25" t="str">
        <f>IF(Table1[[#This Row],[Name of Student]]="","",ROWS($A$1:A1203))</f>
        <v/>
      </c>
      <c r="B1207" s="26" t="str">
        <f>IF('Paste SD Data'!A1204="","",'Paste SD Data'!A1204)</f>
        <v/>
      </c>
      <c r="C1207" s="26" t="str">
        <f>IF('Paste SD Data'!B1204="","",'Paste SD Data'!B1204)</f>
        <v/>
      </c>
      <c r="D1207" s="26" t="str">
        <f>IF('Paste SD Data'!C1204="","",'Paste SD Data'!C1204)</f>
        <v/>
      </c>
      <c r="E1207" s="27" t="str">
        <f>IF('Paste SD Data'!E1204="","",UPPER('Paste SD Data'!E1204))</f>
        <v/>
      </c>
      <c r="F1207" s="27" t="str">
        <f>IF('Paste SD Data'!G1204="","",UPPER('Paste SD Data'!G1204))</f>
        <v/>
      </c>
      <c r="G1207" s="27" t="str">
        <f>IF('Paste SD Data'!H1204="","",UPPER('Paste SD Data'!H1204))</f>
        <v/>
      </c>
      <c r="H1207" s="26" t="str">
        <f>IF('Paste SD Data'!I1204="","",IF('Paste SD Data'!I1204="M","BOY","GIRL"))</f>
        <v/>
      </c>
      <c r="I1207" s="28" t="str">
        <f>IF('Paste SD Data'!J1204="","",'Paste SD Data'!J1204)</f>
        <v/>
      </c>
      <c r="J1207" s="34">
        <f t="shared" si="18"/>
        <v>1633</v>
      </c>
      <c r="K1207" s="29" t="str">
        <f>IF('Paste SD Data'!O1204="","",'Paste SD Data'!O1204)</f>
        <v/>
      </c>
    </row>
    <row r="1208" spans="1:11" ht="30" customHeight="1" x14ac:dyDescent="0.25">
      <c r="A1208" s="25" t="str">
        <f>IF(Table1[[#This Row],[Name of Student]]="","",ROWS($A$1:A1204))</f>
        <v/>
      </c>
      <c r="B1208" s="26" t="str">
        <f>IF('Paste SD Data'!A1205="","",'Paste SD Data'!A1205)</f>
        <v/>
      </c>
      <c r="C1208" s="26" t="str">
        <f>IF('Paste SD Data'!B1205="","",'Paste SD Data'!B1205)</f>
        <v/>
      </c>
      <c r="D1208" s="26" t="str">
        <f>IF('Paste SD Data'!C1205="","",'Paste SD Data'!C1205)</f>
        <v/>
      </c>
      <c r="E1208" s="27" t="str">
        <f>IF('Paste SD Data'!E1205="","",UPPER('Paste SD Data'!E1205))</f>
        <v/>
      </c>
      <c r="F1208" s="27" t="str">
        <f>IF('Paste SD Data'!G1205="","",UPPER('Paste SD Data'!G1205))</f>
        <v/>
      </c>
      <c r="G1208" s="27" t="str">
        <f>IF('Paste SD Data'!H1205="","",UPPER('Paste SD Data'!H1205))</f>
        <v/>
      </c>
      <c r="H1208" s="26" t="str">
        <f>IF('Paste SD Data'!I1205="","",IF('Paste SD Data'!I1205="M","BOY","GIRL"))</f>
        <v/>
      </c>
      <c r="I1208" s="28" t="str">
        <f>IF('Paste SD Data'!J1205="","",'Paste SD Data'!J1205)</f>
        <v/>
      </c>
      <c r="J1208" s="34">
        <f t="shared" si="18"/>
        <v>1634</v>
      </c>
      <c r="K1208" s="29" t="str">
        <f>IF('Paste SD Data'!O1205="","",'Paste SD Data'!O1205)</f>
        <v/>
      </c>
    </row>
    <row r="1209" spans="1:11" ht="30" customHeight="1" x14ac:dyDescent="0.25">
      <c r="A1209" s="25" t="str">
        <f>IF(Table1[[#This Row],[Name of Student]]="","",ROWS($A$1:A1205))</f>
        <v/>
      </c>
      <c r="B1209" s="26" t="str">
        <f>IF('Paste SD Data'!A1206="","",'Paste SD Data'!A1206)</f>
        <v/>
      </c>
      <c r="C1209" s="26" t="str">
        <f>IF('Paste SD Data'!B1206="","",'Paste SD Data'!B1206)</f>
        <v/>
      </c>
      <c r="D1209" s="26" t="str">
        <f>IF('Paste SD Data'!C1206="","",'Paste SD Data'!C1206)</f>
        <v/>
      </c>
      <c r="E1209" s="27" t="str">
        <f>IF('Paste SD Data'!E1206="","",UPPER('Paste SD Data'!E1206))</f>
        <v/>
      </c>
      <c r="F1209" s="27" t="str">
        <f>IF('Paste SD Data'!G1206="","",UPPER('Paste SD Data'!G1206))</f>
        <v/>
      </c>
      <c r="G1209" s="27" t="str">
        <f>IF('Paste SD Data'!H1206="","",UPPER('Paste SD Data'!H1206))</f>
        <v/>
      </c>
      <c r="H1209" s="26" t="str">
        <f>IF('Paste SD Data'!I1206="","",IF('Paste SD Data'!I1206="M","BOY","GIRL"))</f>
        <v/>
      </c>
      <c r="I1209" s="28" t="str">
        <f>IF('Paste SD Data'!J1206="","",'Paste SD Data'!J1206)</f>
        <v/>
      </c>
      <c r="J1209" s="34">
        <f t="shared" si="18"/>
        <v>1635</v>
      </c>
      <c r="K1209" s="29" t="str">
        <f>IF('Paste SD Data'!O1206="","",'Paste SD Data'!O1206)</f>
        <v/>
      </c>
    </row>
    <row r="1210" spans="1:11" ht="30" customHeight="1" x14ac:dyDescent="0.25">
      <c r="A1210" s="25" t="str">
        <f>IF(Table1[[#This Row],[Name of Student]]="","",ROWS($A$1:A1206))</f>
        <v/>
      </c>
      <c r="B1210" s="26" t="str">
        <f>IF('Paste SD Data'!A1207="","",'Paste SD Data'!A1207)</f>
        <v/>
      </c>
      <c r="C1210" s="26" t="str">
        <f>IF('Paste SD Data'!B1207="","",'Paste SD Data'!B1207)</f>
        <v/>
      </c>
      <c r="D1210" s="26" t="str">
        <f>IF('Paste SD Data'!C1207="","",'Paste SD Data'!C1207)</f>
        <v/>
      </c>
      <c r="E1210" s="27" t="str">
        <f>IF('Paste SD Data'!E1207="","",UPPER('Paste SD Data'!E1207))</f>
        <v/>
      </c>
      <c r="F1210" s="27" t="str">
        <f>IF('Paste SD Data'!G1207="","",UPPER('Paste SD Data'!G1207))</f>
        <v/>
      </c>
      <c r="G1210" s="27" t="str">
        <f>IF('Paste SD Data'!H1207="","",UPPER('Paste SD Data'!H1207))</f>
        <v/>
      </c>
      <c r="H1210" s="26" t="str">
        <f>IF('Paste SD Data'!I1207="","",IF('Paste SD Data'!I1207="M","BOY","GIRL"))</f>
        <v/>
      </c>
      <c r="I1210" s="28" t="str">
        <f>IF('Paste SD Data'!J1207="","",'Paste SD Data'!J1207)</f>
        <v/>
      </c>
      <c r="J1210" s="34">
        <f t="shared" si="18"/>
        <v>1636</v>
      </c>
      <c r="K1210" s="29" t="str">
        <f>IF('Paste SD Data'!O1207="","",'Paste SD Data'!O1207)</f>
        <v/>
      </c>
    </row>
    <row r="1211" spans="1:11" ht="30" customHeight="1" x14ac:dyDescent="0.25">
      <c r="A1211" s="25" t="str">
        <f>IF(Table1[[#This Row],[Name of Student]]="","",ROWS($A$1:A1207))</f>
        <v/>
      </c>
      <c r="B1211" s="26" t="str">
        <f>IF('Paste SD Data'!A1208="","",'Paste SD Data'!A1208)</f>
        <v/>
      </c>
      <c r="C1211" s="26" t="str">
        <f>IF('Paste SD Data'!B1208="","",'Paste SD Data'!B1208)</f>
        <v/>
      </c>
      <c r="D1211" s="26" t="str">
        <f>IF('Paste SD Data'!C1208="","",'Paste SD Data'!C1208)</f>
        <v/>
      </c>
      <c r="E1211" s="27" t="str">
        <f>IF('Paste SD Data'!E1208="","",UPPER('Paste SD Data'!E1208))</f>
        <v/>
      </c>
      <c r="F1211" s="27" t="str">
        <f>IF('Paste SD Data'!G1208="","",UPPER('Paste SD Data'!G1208))</f>
        <v/>
      </c>
      <c r="G1211" s="27" t="str">
        <f>IF('Paste SD Data'!H1208="","",UPPER('Paste SD Data'!H1208))</f>
        <v/>
      </c>
      <c r="H1211" s="26" t="str">
        <f>IF('Paste SD Data'!I1208="","",IF('Paste SD Data'!I1208="M","BOY","GIRL"))</f>
        <v/>
      </c>
      <c r="I1211" s="28" t="str">
        <f>IF('Paste SD Data'!J1208="","",'Paste SD Data'!J1208)</f>
        <v/>
      </c>
      <c r="J1211" s="34">
        <f t="shared" si="18"/>
        <v>1637</v>
      </c>
      <c r="K1211" s="29" t="str">
        <f>IF('Paste SD Data'!O1208="","",'Paste SD Data'!O1208)</f>
        <v/>
      </c>
    </row>
    <row r="1212" spans="1:11" ht="30" customHeight="1" x14ac:dyDescent="0.25">
      <c r="A1212" s="25" t="str">
        <f>IF(Table1[[#This Row],[Name of Student]]="","",ROWS($A$1:A1208))</f>
        <v/>
      </c>
      <c r="B1212" s="26" t="str">
        <f>IF('Paste SD Data'!A1209="","",'Paste SD Data'!A1209)</f>
        <v/>
      </c>
      <c r="C1212" s="26" t="str">
        <f>IF('Paste SD Data'!B1209="","",'Paste SD Data'!B1209)</f>
        <v/>
      </c>
      <c r="D1212" s="26" t="str">
        <f>IF('Paste SD Data'!C1209="","",'Paste SD Data'!C1209)</f>
        <v/>
      </c>
      <c r="E1212" s="27" t="str">
        <f>IF('Paste SD Data'!E1209="","",UPPER('Paste SD Data'!E1209))</f>
        <v/>
      </c>
      <c r="F1212" s="27" t="str">
        <f>IF('Paste SD Data'!G1209="","",UPPER('Paste SD Data'!G1209))</f>
        <v/>
      </c>
      <c r="G1212" s="27" t="str">
        <f>IF('Paste SD Data'!H1209="","",UPPER('Paste SD Data'!H1209))</f>
        <v/>
      </c>
      <c r="H1212" s="26" t="str">
        <f>IF('Paste SD Data'!I1209="","",IF('Paste SD Data'!I1209="M","BOY","GIRL"))</f>
        <v/>
      </c>
      <c r="I1212" s="28" t="str">
        <f>IF('Paste SD Data'!J1209="","",'Paste SD Data'!J1209)</f>
        <v/>
      </c>
      <c r="J1212" s="34">
        <f t="shared" si="18"/>
        <v>1638</v>
      </c>
      <c r="K1212" s="29" t="str">
        <f>IF('Paste SD Data'!O1209="","",'Paste SD Data'!O1209)</f>
        <v/>
      </c>
    </row>
    <row r="1213" spans="1:11" ht="30" customHeight="1" x14ac:dyDescent="0.25">
      <c r="A1213" s="25" t="str">
        <f>IF(Table1[[#This Row],[Name of Student]]="","",ROWS($A$1:A1209))</f>
        <v/>
      </c>
      <c r="B1213" s="26" t="str">
        <f>IF('Paste SD Data'!A1210="","",'Paste SD Data'!A1210)</f>
        <v/>
      </c>
      <c r="C1213" s="26" t="str">
        <f>IF('Paste SD Data'!B1210="","",'Paste SD Data'!B1210)</f>
        <v/>
      </c>
      <c r="D1213" s="26" t="str">
        <f>IF('Paste SD Data'!C1210="","",'Paste SD Data'!C1210)</f>
        <v/>
      </c>
      <c r="E1213" s="27" t="str">
        <f>IF('Paste SD Data'!E1210="","",UPPER('Paste SD Data'!E1210))</f>
        <v/>
      </c>
      <c r="F1213" s="27" t="str">
        <f>IF('Paste SD Data'!G1210="","",UPPER('Paste SD Data'!G1210))</f>
        <v/>
      </c>
      <c r="G1213" s="27" t="str">
        <f>IF('Paste SD Data'!H1210="","",UPPER('Paste SD Data'!H1210))</f>
        <v/>
      </c>
      <c r="H1213" s="26" t="str">
        <f>IF('Paste SD Data'!I1210="","",IF('Paste SD Data'!I1210="M","BOY","GIRL"))</f>
        <v/>
      </c>
      <c r="I1213" s="28" t="str">
        <f>IF('Paste SD Data'!J1210="","",'Paste SD Data'!J1210)</f>
        <v/>
      </c>
      <c r="J1213" s="34">
        <f t="shared" si="18"/>
        <v>1639</v>
      </c>
      <c r="K1213" s="29" t="str">
        <f>IF('Paste SD Data'!O1210="","",'Paste SD Data'!O1210)</f>
        <v/>
      </c>
    </row>
    <row r="1214" spans="1:11" ht="30" customHeight="1" x14ac:dyDescent="0.25">
      <c r="A1214" s="25" t="str">
        <f>IF(Table1[[#This Row],[Name of Student]]="","",ROWS($A$1:A1210))</f>
        <v/>
      </c>
      <c r="B1214" s="26" t="str">
        <f>IF('Paste SD Data'!A1211="","",'Paste SD Data'!A1211)</f>
        <v/>
      </c>
      <c r="C1214" s="26" t="str">
        <f>IF('Paste SD Data'!B1211="","",'Paste SD Data'!B1211)</f>
        <v/>
      </c>
      <c r="D1214" s="26" t="str">
        <f>IF('Paste SD Data'!C1211="","",'Paste SD Data'!C1211)</f>
        <v/>
      </c>
      <c r="E1214" s="27" t="str">
        <f>IF('Paste SD Data'!E1211="","",UPPER('Paste SD Data'!E1211))</f>
        <v/>
      </c>
      <c r="F1214" s="27" t="str">
        <f>IF('Paste SD Data'!G1211="","",UPPER('Paste SD Data'!G1211))</f>
        <v/>
      </c>
      <c r="G1214" s="27" t="str">
        <f>IF('Paste SD Data'!H1211="","",UPPER('Paste SD Data'!H1211))</f>
        <v/>
      </c>
      <c r="H1214" s="26" t="str">
        <f>IF('Paste SD Data'!I1211="","",IF('Paste SD Data'!I1211="M","BOY","GIRL"))</f>
        <v/>
      </c>
      <c r="I1214" s="28" t="str">
        <f>IF('Paste SD Data'!J1211="","",'Paste SD Data'!J1211)</f>
        <v/>
      </c>
      <c r="J1214" s="34">
        <f t="shared" si="18"/>
        <v>1640</v>
      </c>
      <c r="K1214" s="29" t="str">
        <f>IF('Paste SD Data'!O1211="","",'Paste SD Data'!O1211)</f>
        <v/>
      </c>
    </row>
    <row r="1215" spans="1:11" ht="30" customHeight="1" x14ac:dyDescent="0.25">
      <c r="A1215" s="25" t="str">
        <f>IF(Table1[[#This Row],[Name of Student]]="","",ROWS($A$1:A1211))</f>
        <v/>
      </c>
      <c r="B1215" s="26" t="str">
        <f>IF('Paste SD Data'!A1212="","",'Paste SD Data'!A1212)</f>
        <v/>
      </c>
      <c r="C1215" s="26" t="str">
        <f>IF('Paste SD Data'!B1212="","",'Paste SD Data'!B1212)</f>
        <v/>
      </c>
      <c r="D1215" s="26" t="str">
        <f>IF('Paste SD Data'!C1212="","",'Paste SD Data'!C1212)</f>
        <v/>
      </c>
      <c r="E1215" s="27" t="str">
        <f>IF('Paste SD Data'!E1212="","",UPPER('Paste SD Data'!E1212))</f>
        <v/>
      </c>
      <c r="F1215" s="27" t="str">
        <f>IF('Paste SD Data'!G1212="","",UPPER('Paste SD Data'!G1212))</f>
        <v/>
      </c>
      <c r="G1215" s="27" t="str">
        <f>IF('Paste SD Data'!H1212="","",UPPER('Paste SD Data'!H1212))</f>
        <v/>
      </c>
      <c r="H1215" s="26" t="str">
        <f>IF('Paste SD Data'!I1212="","",IF('Paste SD Data'!I1212="M","BOY","GIRL"))</f>
        <v/>
      </c>
      <c r="I1215" s="28" t="str">
        <f>IF('Paste SD Data'!J1212="","",'Paste SD Data'!J1212)</f>
        <v/>
      </c>
      <c r="J1215" s="34">
        <f t="shared" si="18"/>
        <v>1641</v>
      </c>
      <c r="K1215" s="29" t="str">
        <f>IF('Paste SD Data'!O1212="","",'Paste SD Data'!O1212)</f>
        <v/>
      </c>
    </row>
    <row r="1216" spans="1:11" ht="30" customHeight="1" x14ac:dyDescent="0.25">
      <c r="A1216" s="25" t="str">
        <f>IF(Table1[[#This Row],[Name of Student]]="","",ROWS($A$1:A1212))</f>
        <v/>
      </c>
      <c r="B1216" s="26" t="str">
        <f>IF('Paste SD Data'!A1213="","",'Paste SD Data'!A1213)</f>
        <v/>
      </c>
      <c r="C1216" s="26" t="str">
        <f>IF('Paste SD Data'!B1213="","",'Paste SD Data'!B1213)</f>
        <v/>
      </c>
      <c r="D1216" s="26" t="str">
        <f>IF('Paste SD Data'!C1213="","",'Paste SD Data'!C1213)</f>
        <v/>
      </c>
      <c r="E1216" s="27" t="str">
        <f>IF('Paste SD Data'!E1213="","",UPPER('Paste SD Data'!E1213))</f>
        <v/>
      </c>
      <c r="F1216" s="27" t="str">
        <f>IF('Paste SD Data'!G1213="","",UPPER('Paste SD Data'!G1213))</f>
        <v/>
      </c>
      <c r="G1216" s="27" t="str">
        <f>IF('Paste SD Data'!H1213="","",UPPER('Paste SD Data'!H1213))</f>
        <v/>
      </c>
      <c r="H1216" s="26" t="str">
        <f>IF('Paste SD Data'!I1213="","",IF('Paste SD Data'!I1213="M","BOY","GIRL"))</f>
        <v/>
      </c>
      <c r="I1216" s="28" t="str">
        <f>IF('Paste SD Data'!J1213="","",'Paste SD Data'!J1213)</f>
        <v/>
      </c>
      <c r="J1216" s="34">
        <f t="shared" si="18"/>
        <v>1642</v>
      </c>
      <c r="K1216" s="29" t="str">
        <f>IF('Paste SD Data'!O1213="","",'Paste SD Data'!O1213)</f>
        <v/>
      </c>
    </row>
    <row r="1217" spans="1:11" ht="30" customHeight="1" x14ac:dyDescent="0.25">
      <c r="A1217" s="25" t="str">
        <f>IF(Table1[[#This Row],[Name of Student]]="","",ROWS($A$1:A1213))</f>
        <v/>
      </c>
      <c r="B1217" s="26" t="str">
        <f>IF('Paste SD Data'!A1214="","",'Paste SD Data'!A1214)</f>
        <v/>
      </c>
      <c r="C1217" s="26" t="str">
        <f>IF('Paste SD Data'!B1214="","",'Paste SD Data'!B1214)</f>
        <v/>
      </c>
      <c r="D1217" s="26" t="str">
        <f>IF('Paste SD Data'!C1214="","",'Paste SD Data'!C1214)</f>
        <v/>
      </c>
      <c r="E1217" s="27" t="str">
        <f>IF('Paste SD Data'!E1214="","",UPPER('Paste SD Data'!E1214))</f>
        <v/>
      </c>
      <c r="F1217" s="27" t="str">
        <f>IF('Paste SD Data'!G1214="","",UPPER('Paste SD Data'!G1214))</f>
        <v/>
      </c>
      <c r="G1217" s="27" t="str">
        <f>IF('Paste SD Data'!H1214="","",UPPER('Paste SD Data'!H1214))</f>
        <v/>
      </c>
      <c r="H1217" s="26" t="str">
        <f>IF('Paste SD Data'!I1214="","",IF('Paste SD Data'!I1214="M","BOY","GIRL"))</f>
        <v/>
      </c>
      <c r="I1217" s="28" t="str">
        <f>IF('Paste SD Data'!J1214="","",'Paste SD Data'!J1214)</f>
        <v/>
      </c>
      <c r="J1217" s="34">
        <f t="shared" si="18"/>
        <v>1643</v>
      </c>
      <c r="K1217" s="29" t="str">
        <f>IF('Paste SD Data'!O1214="","",'Paste SD Data'!O1214)</f>
        <v/>
      </c>
    </row>
    <row r="1218" spans="1:11" ht="30" customHeight="1" x14ac:dyDescent="0.25">
      <c r="A1218" s="25" t="str">
        <f>IF(Table1[[#This Row],[Name of Student]]="","",ROWS($A$1:A1214))</f>
        <v/>
      </c>
      <c r="B1218" s="26" t="str">
        <f>IF('Paste SD Data'!A1215="","",'Paste SD Data'!A1215)</f>
        <v/>
      </c>
      <c r="C1218" s="26" t="str">
        <f>IF('Paste SD Data'!B1215="","",'Paste SD Data'!B1215)</f>
        <v/>
      </c>
      <c r="D1218" s="26" t="str">
        <f>IF('Paste SD Data'!C1215="","",'Paste SD Data'!C1215)</f>
        <v/>
      </c>
      <c r="E1218" s="27" t="str">
        <f>IF('Paste SD Data'!E1215="","",UPPER('Paste SD Data'!E1215))</f>
        <v/>
      </c>
      <c r="F1218" s="27" t="str">
        <f>IF('Paste SD Data'!G1215="","",UPPER('Paste SD Data'!G1215))</f>
        <v/>
      </c>
      <c r="G1218" s="27" t="str">
        <f>IF('Paste SD Data'!H1215="","",UPPER('Paste SD Data'!H1215))</f>
        <v/>
      </c>
      <c r="H1218" s="26" t="str">
        <f>IF('Paste SD Data'!I1215="","",IF('Paste SD Data'!I1215="M","BOY","GIRL"))</f>
        <v/>
      </c>
      <c r="I1218" s="28" t="str">
        <f>IF('Paste SD Data'!J1215="","",'Paste SD Data'!J1215)</f>
        <v/>
      </c>
      <c r="J1218" s="34">
        <f t="shared" si="18"/>
        <v>1644</v>
      </c>
      <c r="K1218" s="29" t="str">
        <f>IF('Paste SD Data'!O1215="","",'Paste SD Data'!O1215)</f>
        <v/>
      </c>
    </row>
    <row r="1219" spans="1:11" ht="30" customHeight="1" x14ac:dyDescent="0.25">
      <c r="A1219" s="25" t="str">
        <f>IF(Table1[[#This Row],[Name of Student]]="","",ROWS($A$1:A1215))</f>
        <v/>
      </c>
      <c r="B1219" s="26" t="str">
        <f>IF('Paste SD Data'!A1216="","",'Paste SD Data'!A1216)</f>
        <v/>
      </c>
      <c r="C1219" s="26" t="str">
        <f>IF('Paste SD Data'!B1216="","",'Paste SD Data'!B1216)</f>
        <v/>
      </c>
      <c r="D1219" s="26" t="str">
        <f>IF('Paste SD Data'!C1216="","",'Paste SD Data'!C1216)</f>
        <v/>
      </c>
      <c r="E1219" s="27" t="str">
        <f>IF('Paste SD Data'!E1216="","",UPPER('Paste SD Data'!E1216))</f>
        <v/>
      </c>
      <c r="F1219" s="27" t="str">
        <f>IF('Paste SD Data'!G1216="","",UPPER('Paste SD Data'!G1216))</f>
        <v/>
      </c>
      <c r="G1219" s="27" t="str">
        <f>IF('Paste SD Data'!H1216="","",UPPER('Paste SD Data'!H1216))</f>
        <v/>
      </c>
      <c r="H1219" s="26" t="str">
        <f>IF('Paste SD Data'!I1216="","",IF('Paste SD Data'!I1216="M","BOY","GIRL"))</f>
        <v/>
      </c>
      <c r="I1219" s="28" t="str">
        <f>IF('Paste SD Data'!J1216="","",'Paste SD Data'!J1216)</f>
        <v/>
      </c>
      <c r="J1219" s="34">
        <f t="shared" si="18"/>
        <v>1645</v>
      </c>
      <c r="K1219" s="29" t="str">
        <f>IF('Paste SD Data'!O1216="","",'Paste SD Data'!O1216)</f>
        <v/>
      </c>
    </row>
    <row r="1220" spans="1:11" ht="30" customHeight="1" x14ac:dyDescent="0.25">
      <c r="A1220" s="25" t="str">
        <f>IF(Table1[[#This Row],[Name of Student]]="","",ROWS($A$1:A1216))</f>
        <v/>
      </c>
      <c r="B1220" s="26" t="str">
        <f>IF('Paste SD Data'!A1217="","",'Paste SD Data'!A1217)</f>
        <v/>
      </c>
      <c r="C1220" s="26" t="str">
        <f>IF('Paste SD Data'!B1217="","",'Paste SD Data'!B1217)</f>
        <v/>
      </c>
      <c r="D1220" s="26" t="str">
        <f>IF('Paste SD Data'!C1217="","",'Paste SD Data'!C1217)</f>
        <v/>
      </c>
      <c r="E1220" s="27" t="str">
        <f>IF('Paste SD Data'!E1217="","",UPPER('Paste SD Data'!E1217))</f>
        <v/>
      </c>
      <c r="F1220" s="27" t="str">
        <f>IF('Paste SD Data'!G1217="","",UPPER('Paste SD Data'!G1217))</f>
        <v/>
      </c>
      <c r="G1220" s="27" t="str">
        <f>IF('Paste SD Data'!H1217="","",UPPER('Paste SD Data'!H1217))</f>
        <v/>
      </c>
      <c r="H1220" s="26" t="str">
        <f>IF('Paste SD Data'!I1217="","",IF('Paste SD Data'!I1217="M","BOY","GIRL"))</f>
        <v/>
      </c>
      <c r="I1220" s="28" t="str">
        <f>IF('Paste SD Data'!J1217="","",'Paste SD Data'!J1217)</f>
        <v/>
      </c>
      <c r="J1220" s="34">
        <f t="shared" si="18"/>
        <v>1646</v>
      </c>
      <c r="K1220" s="29" t="str">
        <f>IF('Paste SD Data'!O1217="","",'Paste SD Data'!O1217)</f>
        <v/>
      </c>
    </row>
    <row r="1221" spans="1:11" ht="30" customHeight="1" x14ac:dyDescent="0.25">
      <c r="A1221" s="25" t="str">
        <f>IF(Table1[[#This Row],[Name of Student]]="","",ROWS($A$1:A1217))</f>
        <v/>
      </c>
      <c r="B1221" s="26" t="str">
        <f>IF('Paste SD Data'!A1218="","",'Paste SD Data'!A1218)</f>
        <v/>
      </c>
      <c r="C1221" s="26" t="str">
        <f>IF('Paste SD Data'!B1218="","",'Paste SD Data'!B1218)</f>
        <v/>
      </c>
      <c r="D1221" s="26" t="str">
        <f>IF('Paste SD Data'!C1218="","",'Paste SD Data'!C1218)</f>
        <v/>
      </c>
      <c r="E1221" s="27" t="str">
        <f>IF('Paste SD Data'!E1218="","",UPPER('Paste SD Data'!E1218))</f>
        <v/>
      </c>
      <c r="F1221" s="27" t="str">
        <f>IF('Paste SD Data'!G1218="","",UPPER('Paste SD Data'!G1218))</f>
        <v/>
      </c>
      <c r="G1221" s="27" t="str">
        <f>IF('Paste SD Data'!H1218="","",UPPER('Paste SD Data'!H1218))</f>
        <v/>
      </c>
      <c r="H1221" s="26" t="str">
        <f>IF('Paste SD Data'!I1218="","",IF('Paste SD Data'!I1218="M","BOY","GIRL"))</f>
        <v/>
      </c>
      <c r="I1221" s="28" t="str">
        <f>IF('Paste SD Data'!J1218="","",'Paste SD Data'!J1218)</f>
        <v/>
      </c>
      <c r="J1221" s="34">
        <f t="shared" si="18"/>
        <v>1647</v>
      </c>
      <c r="K1221" s="29" t="str">
        <f>IF('Paste SD Data'!O1218="","",'Paste SD Data'!O1218)</f>
        <v/>
      </c>
    </row>
    <row r="1222" spans="1:11" ht="30" customHeight="1" x14ac:dyDescent="0.25">
      <c r="A1222" s="25" t="str">
        <f>IF(Table1[[#This Row],[Name of Student]]="","",ROWS($A$1:A1218))</f>
        <v/>
      </c>
      <c r="B1222" s="26" t="str">
        <f>IF('Paste SD Data'!A1219="","",'Paste SD Data'!A1219)</f>
        <v/>
      </c>
      <c r="C1222" s="26" t="str">
        <f>IF('Paste SD Data'!B1219="","",'Paste SD Data'!B1219)</f>
        <v/>
      </c>
      <c r="D1222" s="26" t="str">
        <f>IF('Paste SD Data'!C1219="","",'Paste SD Data'!C1219)</f>
        <v/>
      </c>
      <c r="E1222" s="27" t="str">
        <f>IF('Paste SD Data'!E1219="","",UPPER('Paste SD Data'!E1219))</f>
        <v/>
      </c>
      <c r="F1222" s="27" t="str">
        <f>IF('Paste SD Data'!G1219="","",UPPER('Paste SD Data'!G1219))</f>
        <v/>
      </c>
      <c r="G1222" s="27" t="str">
        <f>IF('Paste SD Data'!H1219="","",UPPER('Paste SD Data'!H1219))</f>
        <v/>
      </c>
      <c r="H1222" s="26" t="str">
        <f>IF('Paste SD Data'!I1219="","",IF('Paste SD Data'!I1219="M","BOY","GIRL"))</f>
        <v/>
      </c>
      <c r="I1222" s="28" t="str">
        <f>IF('Paste SD Data'!J1219="","",'Paste SD Data'!J1219)</f>
        <v/>
      </c>
      <c r="J1222" s="34">
        <f t="shared" si="18"/>
        <v>1648</v>
      </c>
      <c r="K1222" s="29" t="str">
        <f>IF('Paste SD Data'!O1219="","",'Paste SD Data'!O1219)</f>
        <v/>
      </c>
    </row>
    <row r="1223" spans="1:11" ht="30" customHeight="1" x14ac:dyDescent="0.25">
      <c r="A1223" s="25" t="str">
        <f>IF(Table1[[#This Row],[Name of Student]]="","",ROWS($A$1:A1219))</f>
        <v/>
      </c>
      <c r="B1223" s="26" t="str">
        <f>IF('Paste SD Data'!A1220="","",'Paste SD Data'!A1220)</f>
        <v/>
      </c>
      <c r="C1223" s="26" t="str">
        <f>IF('Paste SD Data'!B1220="","",'Paste SD Data'!B1220)</f>
        <v/>
      </c>
      <c r="D1223" s="26" t="str">
        <f>IF('Paste SD Data'!C1220="","",'Paste SD Data'!C1220)</f>
        <v/>
      </c>
      <c r="E1223" s="27" t="str">
        <f>IF('Paste SD Data'!E1220="","",UPPER('Paste SD Data'!E1220))</f>
        <v/>
      </c>
      <c r="F1223" s="27" t="str">
        <f>IF('Paste SD Data'!G1220="","",UPPER('Paste SD Data'!G1220))</f>
        <v/>
      </c>
      <c r="G1223" s="27" t="str">
        <f>IF('Paste SD Data'!H1220="","",UPPER('Paste SD Data'!H1220))</f>
        <v/>
      </c>
      <c r="H1223" s="26" t="str">
        <f>IF('Paste SD Data'!I1220="","",IF('Paste SD Data'!I1220="M","BOY","GIRL"))</f>
        <v/>
      </c>
      <c r="I1223" s="28" t="str">
        <f>IF('Paste SD Data'!J1220="","",'Paste SD Data'!J1220)</f>
        <v/>
      </c>
      <c r="J1223" s="34">
        <f t="shared" ref="J1223:J1286" si="19">J1222+1</f>
        <v>1649</v>
      </c>
      <c r="K1223" s="29" t="str">
        <f>IF('Paste SD Data'!O1220="","",'Paste SD Data'!O1220)</f>
        <v/>
      </c>
    </row>
    <row r="1224" spans="1:11" ht="30" customHeight="1" x14ac:dyDescent="0.25">
      <c r="A1224" s="25" t="str">
        <f>IF(Table1[[#This Row],[Name of Student]]="","",ROWS($A$1:A1220))</f>
        <v/>
      </c>
      <c r="B1224" s="26" t="str">
        <f>IF('Paste SD Data'!A1221="","",'Paste SD Data'!A1221)</f>
        <v/>
      </c>
      <c r="C1224" s="26" t="str">
        <f>IF('Paste SD Data'!B1221="","",'Paste SD Data'!B1221)</f>
        <v/>
      </c>
      <c r="D1224" s="26" t="str">
        <f>IF('Paste SD Data'!C1221="","",'Paste SD Data'!C1221)</f>
        <v/>
      </c>
      <c r="E1224" s="27" t="str">
        <f>IF('Paste SD Data'!E1221="","",UPPER('Paste SD Data'!E1221))</f>
        <v/>
      </c>
      <c r="F1224" s="27" t="str">
        <f>IF('Paste SD Data'!G1221="","",UPPER('Paste SD Data'!G1221))</f>
        <v/>
      </c>
      <c r="G1224" s="27" t="str">
        <f>IF('Paste SD Data'!H1221="","",UPPER('Paste SD Data'!H1221))</f>
        <v/>
      </c>
      <c r="H1224" s="26" t="str">
        <f>IF('Paste SD Data'!I1221="","",IF('Paste SD Data'!I1221="M","BOY","GIRL"))</f>
        <v/>
      </c>
      <c r="I1224" s="28" t="str">
        <f>IF('Paste SD Data'!J1221="","",'Paste SD Data'!J1221)</f>
        <v/>
      </c>
      <c r="J1224" s="34">
        <f t="shared" si="19"/>
        <v>1650</v>
      </c>
      <c r="K1224" s="29" t="str">
        <f>IF('Paste SD Data'!O1221="","",'Paste SD Data'!O1221)</f>
        <v/>
      </c>
    </row>
    <row r="1225" spans="1:11" ht="30" customHeight="1" x14ac:dyDescent="0.25">
      <c r="A1225" s="25" t="str">
        <f>IF(Table1[[#This Row],[Name of Student]]="","",ROWS($A$1:A1221))</f>
        <v/>
      </c>
      <c r="B1225" s="26" t="str">
        <f>IF('Paste SD Data'!A1222="","",'Paste SD Data'!A1222)</f>
        <v/>
      </c>
      <c r="C1225" s="26" t="str">
        <f>IF('Paste SD Data'!B1222="","",'Paste SD Data'!B1222)</f>
        <v/>
      </c>
      <c r="D1225" s="26" t="str">
        <f>IF('Paste SD Data'!C1222="","",'Paste SD Data'!C1222)</f>
        <v/>
      </c>
      <c r="E1225" s="27" t="str">
        <f>IF('Paste SD Data'!E1222="","",UPPER('Paste SD Data'!E1222))</f>
        <v/>
      </c>
      <c r="F1225" s="27" t="str">
        <f>IF('Paste SD Data'!G1222="","",UPPER('Paste SD Data'!G1222))</f>
        <v/>
      </c>
      <c r="G1225" s="27" t="str">
        <f>IF('Paste SD Data'!H1222="","",UPPER('Paste SD Data'!H1222))</f>
        <v/>
      </c>
      <c r="H1225" s="26" t="str">
        <f>IF('Paste SD Data'!I1222="","",IF('Paste SD Data'!I1222="M","BOY","GIRL"))</f>
        <v/>
      </c>
      <c r="I1225" s="28" t="str">
        <f>IF('Paste SD Data'!J1222="","",'Paste SD Data'!J1222)</f>
        <v/>
      </c>
      <c r="J1225" s="34">
        <f t="shared" si="19"/>
        <v>1651</v>
      </c>
      <c r="K1225" s="29" t="str">
        <f>IF('Paste SD Data'!O1222="","",'Paste SD Data'!O1222)</f>
        <v/>
      </c>
    </row>
    <row r="1226" spans="1:11" ht="30" customHeight="1" x14ac:dyDescent="0.25">
      <c r="A1226" s="25" t="str">
        <f>IF(Table1[[#This Row],[Name of Student]]="","",ROWS($A$1:A1222))</f>
        <v/>
      </c>
      <c r="B1226" s="26" t="str">
        <f>IF('Paste SD Data'!A1223="","",'Paste SD Data'!A1223)</f>
        <v/>
      </c>
      <c r="C1226" s="26" t="str">
        <f>IF('Paste SD Data'!B1223="","",'Paste SD Data'!B1223)</f>
        <v/>
      </c>
      <c r="D1226" s="26" t="str">
        <f>IF('Paste SD Data'!C1223="","",'Paste SD Data'!C1223)</f>
        <v/>
      </c>
      <c r="E1226" s="27" t="str">
        <f>IF('Paste SD Data'!E1223="","",UPPER('Paste SD Data'!E1223))</f>
        <v/>
      </c>
      <c r="F1226" s="27" t="str">
        <f>IF('Paste SD Data'!G1223="","",UPPER('Paste SD Data'!G1223))</f>
        <v/>
      </c>
      <c r="G1226" s="27" t="str">
        <f>IF('Paste SD Data'!H1223="","",UPPER('Paste SD Data'!H1223))</f>
        <v/>
      </c>
      <c r="H1226" s="26" t="str">
        <f>IF('Paste SD Data'!I1223="","",IF('Paste SD Data'!I1223="M","BOY","GIRL"))</f>
        <v/>
      </c>
      <c r="I1226" s="28" t="str">
        <f>IF('Paste SD Data'!J1223="","",'Paste SD Data'!J1223)</f>
        <v/>
      </c>
      <c r="J1226" s="34">
        <f t="shared" si="19"/>
        <v>1652</v>
      </c>
      <c r="K1226" s="29" t="str">
        <f>IF('Paste SD Data'!O1223="","",'Paste SD Data'!O1223)</f>
        <v/>
      </c>
    </row>
    <row r="1227" spans="1:11" ht="30" customHeight="1" x14ac:dyDescent="0.25">
      <c r="A1227" s="25" t="str">
        <f>IF(Table1[[#This Row],[Name of Student]]="","",ROWS($A$1:A1223))</f>
        <v/>
      </c>
      <c r="B1227" s="26" t="str">
        <f>IF('Paste SD Data'!A1224="","",'Paste SD Data'!A1224)</f>
        <v/>
      </c>
      <c r="C1227" s="26" t="str">
        <f>IF('Paste SD Data'!B1224="","",'Paste SD Data'!B1224)</f>
        <v/>
      </c>
      <c r="D1227" s="26" t="str">
        <f>IF('Paste SD Data'!C1224="","",'Paste SD Data'!C1224)</f>
        <v/>
      </c>
      <c r="E1227" s="27" t="str">
        <f>IF('Paste SD Data'!E1224="","",UPPER('Paste SD Data'!E1224))</f>
        <v/>
      </c>
      <c r="F1227" s="27" t="str">
        <f>IF('Paste SD Data'!G1224="","",UPPER('Paste SD Data'!G1224))</f>
        <v/>
      </c>
      <c r="G1227" s="27" t="str">
        <f>IF('Paste SD Data'!H1224="","",UPPER('Paste SD Data'!H1224))</f>
        <v/>
      </c>
      <c r="H1227" s="26" t="str">
        <f>IF('Paste SD Data'!I1224="","",IF('Paste SD Data'!I1224="M","BOY","GIRL"))</f>
        <v/>
      </c>
      <c r="I1227" s="28" t="str">
        <f>IF('Paste SD Data'!J1224="","",'Paste SD Data'!J1224)</f>
        <v/>
      </c>
      <c r="J1227" s="34">
        <f t="shared" si="19"/>
        <v>1653</v>
      </c>
      <c r="K1227" s="29" t="str">
        <f>IF('Paste SD Data'!O1224="","",'Paste SD Data'!O1224)</f>
        <v/>
      </c>
    </row>
    <row r="1228" spans="1:11" ht="30" customHeight="1" x14ac:dyDescent="0.25">
      <c r="A1228" s="25" t="str">
        <f>IF(Table1[[#This Row],[Name of Student]]="","",ROWS($A$1:A1224))</f>
        <v/>
      </c>
      <c r="B1228" s="26" t="str">
        <f>IF('Paste SD Data'!A1225="","",'Paste SD Data'!A1225)</f>
        <v/>
      </c>
      <c r="C1228" s="26" t="str">
        <f>IF('Paste SD Data'!B1225="","",'Paste SD Data'!B1225)</f>
        <v/>
      </c>
      <c r="D1228" s="26" t="str">
        <f>IF('Paste SD Data'!C1225="","",'Paste SD Data'!C1225)</f>
        <v/>
      </c>
      <c r="E1228" s="27" t="str">
        <f>IF('Paste SD Data'!E1225="","",UPPER('Paste SD Data'!E1225))</f>
        <v/>
      </c>
      <c r="F1228" s="27" t="str">
        <f>IF('Paste SD Data'!G1225="","",UPPER('Paste SD Data'!G1225))</f>
        <v/>
      </c>
      <c r="G1228" s="27" t="str">
        <f>IF('Paste SD Data'!H1225="","",UPPER('Paste SD Data'!H1225))</f>
        <v/>
      </c>
      <c r="H1228" s="26" t="str">
        <f>IF('Paste SD Data'!I1225="","",IF('Paste SD Data'!I1225="M","BOY","GIRL"))</f>
        <v/>
      </c>
      <c r="I1228" s="28" t="str">
        <f>IF('Paste SD Data'!J1225="","",'Paste SD Data'!J1225)</f>
        <v/>
      </c>
      <c r="J1228" s="34">
        <f t="shared" si="19"/>
        <v>1654</v>
      </c>
      <c r="K1228" s="29" t="str">
        <f>IF('Paste SD Data'!O1225="","",'Paste SD Data'!O1225)</f>
        <v/>
      </c>
    </row>
    <row r="1229" spans="1:11" ht="30" customHeight="1" x14ac:dyDescent="0.25">
      <c r="A1229" s="25" t="str">
        <f>IF(Table1[[#This Row],[Name of Student]]="","",ROWS($A$1:A1225))</f>
        <v/>
      </c>
      <c r="B1229" s="26" t="str">
        <f>IF('Paste SD Data'!A1226="","",'Paste SD Data'!A1226)</f>
        <v/>
      </c>
      <c r="C1229" s="26" t="str">
        <f>IF('Paste SD Data'!B1226="","",'Paste SD Data'!B1226)</f>
        <v/>
      </c>
      <c r="D1229" s="26" t="str">
        <f>IF('Paste SD Data'!C1226="","",'Paste SD Data'!C1226)</f>
        <v/>
      </c>
      <c r="E1229" s="27" t="str">
        <f>IF('Paste SD Data'!E1226="","",UPPER('Paste SD Data'!E1226))</f>
        <v/>
      </c>
      <c r="F1229" s="27" t="str">
        <f>IF('Paste SD Data'!G1226="","",UPPER('Paste SD Data'!G1226))</f>
        <v/>
      </c>
      <c r="G1229" s="27" t="str">
        <f>IF('Paste SD Data'!H1226="","",UPPER('Paste SD Data'!H1226))</f>
        <v/>
      </c>
      <c r="H1229" s="26" t="str">
        <f>IF('Paste SD Data'!I1226="","",IF('Paste SD Data'!I1226="M","BOY","GIRL"))</f>
        <v/>
      </c>
      <c r="I1229" s="28" t="str">
        <f>IF('Paste SD Data'!J1226="","",'Paste SD Data'!J1226)</f>
        <v/>
      </c>
      <c r="J1229" s="34">
        <f t="shared" si="19"/>
        <v>1655</v>
      </c>
      <c r="K1229" s="29" t="str">
        <f>IF('Paste SD Data'!O1226="","",'Paste SD Data'!O1226)</f>
        <v/>
      </c>
    </row>
    <row r="1230" spans="1:11" ht="30" customHeight="1" x14ac:dyDescent="0.25">
      <c r="A1230" s="25" t="str">
        <f>IF(Table1[[#This Row],[Name of Student]]="","",ROWS($A$1:A1226))</f>
        <v/>
      </c>
      <c r="B1230" s="26" t="str">
        <f>IF('Paste SD Data'!A1227="","",'Paste SD Data'!A1227)</f>
        <v/>
      </c>
      <c r="C1230" s="26" t="str">
        <f>IF('Paste SD Data'!B1227="","",'Paste SD Data'!B1227)</f>
        <v/>
      </c>
      <c r="D1230" s="26" t="str">
        <f>IF('Paste SD Data'!C1227="","",'Paste SD Data'!C1227)</f>
        <v/>
      </c>
      <c r="E1230" s="27" t="str">
        <f>IF('Paste SD Data'!E1227="","",UPPER('Paste SD Data'!E1227))</f>
        <v/>
      </c>
      <c r="F1230" s="27" t="str">
        <f>IF('Paste SD Data'!G1227="","",UPPER('Paste SD Data'!G1227))</f>
        <v/>
      </c>
      <c r="G1230" s="27" t="str">
        <f>IF('Paste SD Data'!H1227="","",UPPER('Paste SD Data'!H1227))</f>
        <v/>
      </c>
      <c r="H1230" s="26" t="str">
        <f>IF('Paste SD Data'!I1227="","",IF('Paste SD Data'!I1227="M","BOY","GIRL"))</f>
        <v/>
      </c>
      <c r="I1230" s="28" t="str">
        <f>IF('Paste SD Data'!J1227="","",'Paste SD Data'!J1227)</f>
        <v/>
      </c>
      <c r="J1230" s="34">
        <f t="shared" si="19"/>
        <v>1656</v>
      </c>
      <c r="K1230" s="29" t="str">
        <f>IF('Paste SD Data'!O1227="","",'Paste SD Data'!O1227)</f>
        <v/>
      </c>
    </row>
    <row r="1231" spans="1:11" ht="30" customHeight="1" x14ac:dyDescent="0.25">
      <c r="A1231" s="25" t="str">
        <f>IF(Table1[[#This Row],[Name of Student]]="","",ROWS($A$1:A1227))</f>
        <v/>
      </c>
      <c r="B1231" s="26" t="str">
        <f>IF('Paste SD Data'!A1228="","",'Paste SD Data'!A1228)</f>
        <v/>
      </c>
      <c r="C1231" s="26" t="str">
        <f>IF('Paste SD Data'!B1228="","",'Paste SD Data'!B1228)</f>
        <v/>
      </c>
      <c r="D1231" s="26" t="str">
        <f>IF('Paste SD Data'!C1228="","",'Paste SD Data'!C1228)</f>
        <v/>
      </c>
      <c r="E1231" s="27" t="str">
        <f>IF('Paste SD Data'!E1228="","",UPPER('Paste SD Data'!E1228))</f>
        <v/>
      </c>
      <c r="F1231" s="27" t="str">
        <f>IF('Paste SD Data'!G1228="","",UPPER('Paste SD Data'!G1228))</f>
        <v/>
      </c>
      <c r="G1231" s="27" t="str">
        <f>IF('Paste SD Data'!H1228="","",UPPER('Paste SD Data'!H1228))</f>
        <v/>
      </c>
      <c r="H1231" s="26" t="str">
        <f>IF('Paste SD Data'!I1228="","",IF('Paste SD Data'!I1228="M","BOY","GIRL"))</f>
        <v/>
      </c>
      <c r="I1231" s="28" t="str">
        <f>IF('Paste SD Data'!J1228="","",'Paste SD Data'!J1228)</f>
        <v/>
      </c>
      <c r="J1231" s="34">
        <f t="shared" si="19"/>
        <v>1657</v>
      </c>
      <c r="K1231" s="29" t="str">
        <f>IF('Paste SD Data'!O1228="","",'Paste SD Data'!O1228)</f>
        <v/>
      </c>
    </row>
    <row r="1232" spans="1:11" ht="30" customHeight="1" x14ac:dyDescent="0.25">
      <c r="A1232" s="25" t="str">
        <f>IF(Table1[[#This Row],[Name of Student]]="","",ROWS($A$1:A1228))</f>
        <v/>
      </c>
      <c r="B1232" s="26" t="str">
        <f>IF('Paste SD Data'!A1229="","",'Paste SD Data'!A1229)</f>
        <v/>
      </c>
      <c r="C1232" s="26" t="str">
        <f>IF('Paste SD Data'!B1229="","",'Paste SD Data'!B1229)</f>
        <v/>
      </c>
      <c r="D1232" s="26" t="str">
        <f>IF('Paste SD Data'!C1229="","",'Paste SD Data'!C1229)</f>
        <v/>
      </c>
      <c r="E1232" s="27" t="str">
        <f>IF('Paste SD Data'!E1229="","",UPPER('Paste SD Data'!E1229))</f>
        <v/>
      </c>
      <c r="F1232" s="27" t="str">
        <f>IF('Paste SD Data'!G1229="","",UPPER('Paste SD Data'!G1229))</f>
        <v/>
      </c>
      <c r="G1232" s="27" t="str">
        <f>IF('Paste SD Data'!H1229="","",UPPER('Paste SD Data'!H1229))</f>
        <v/>
      </c>
      <c r="H1232" s="26" t="str">
        <f>IF('Paste SD Data'!I1229="","",IF('Paste SD Data'!I1229="M","BOY","GIRL"))</f>
        <v/>
      </c>
      <c r="I1232" s="28" t="str">
        <f>IF('Paste SD Data'!J1229="","",'Paste SD Data'!J1229)</f>
        <v/>
      </c>
      <c r="J1232" s="34">
        <f t="shared" si="19"/>
        <v>1658</v>
      </c>
      <c r="K1232" s="29" t="str">
        <f>IF('Paste SD Data'!O1229="","",'Paste SD Data'!O1229)</f>
        <v/>
      </c>
    </row>
    <row r="1233" spans="1:11" ht="30" customHeight="1" x14ac:dyDescent="0.25">
      <c r="A1233" s="25" t="str">
        <f>IF(Table1[[#This Row],[Name of Student]]="","",ROWS($A$1:A1229))</f>
        <v/>
      </c>
      <c r="B1233" s="26" t="str">
        <f>IF('Paste SD Data'!A1230="","",'Paste SD Data'!A1230)</f>
        <v/>
      </c>
      <c r="C1233" s="26" t="str">
        <f>IF('Paste SD Data'!B1230="","",'Paste SD Data'!B1230)</f>
        <v/>
      </c>
      <c r="D1233" s="26" t="str">
        <f>IF('Paste SD Data'!C1230="","",'Paste SD Data'!C1230)</f>
        <v/>
      </c>
      <c r="E1233" s="27" t="str">
        <f>IF('Paste SD Data'!E1230="","",UPPER('Paste SD Data'!E1230))</f>
        <v/>
      </c>
      <c r="F1233" s="27" t="str">
        <f>IF('Paste SD Data'!G1230="","",UPPER('Paste SD Data'!G1230))</f>
        <v/>
      </c>
      <c r="G1233" s="27" t="str">
        <f>IF('Paste SD Data'!H1230="","",UPPER('Paste SD Data'!H1230))</f>
        <v/>
      </c>
      <c r="H1233" s="26" t="str">
        <f>IF('Paste SD Data'!I1230="","",IF('Paste SD Data'!I1230="M","BOY","GIRL"))</f>
        <v/>
      </c>
      <c r="I1233" s="28" t="str">
        <f>IF('Paste SD Data'!J1230="","",'Paste SD Data'!J1230)</f>
        <v/>
      </c>
      <c r="J1233" s="34">
        <f t="shared" si="19"/>
        <v>1659</v>
      </c>
      <c r="K1233" s="29" t="str">
        <f>IF('Paste SD Data'!O1230="","",'Paste SD Data'!O1230)</f>
        <v/>
      </c>
    </row>
    <row r="1234" spans="1:11" ht="30" customHeight="1" x14ac:dyDescent="0.25">
      <c r="A1234" s="25" t="str">
        <f>IF(Table1[[#This Row],[Name of Student]]="","",ROWS($A$1:A1230))</f>
        <v/>
      </c>
      <c r="B1234" s="26" t="str">
        <f>IF('Paste SD Data'!A1231="","",'Paste SD Data'!A1231)</f>
        <v/>
      </c>
      <c r="C1234" s="26" t="str">
        <f>IF('Paste SD Data'!B1231="","",'Paste SD Data'!B1231)</f>
        <v/>
      </c>
      <c r="D1234" s="26" t="str">
        <f>IF('Paste SD Data'!C1231="","",'Paste SD Data'!C1231)</f>
        <v/>
      </c>
      <c r="E1234" s="27" t="str">
        <f>IF('Paste SD Data'!E1231="","",UPPER('Paste SD Data'!E1231))</f>
        <v/>
      </c>
      <c r="F1234" s="27" t="str">
        <f>IF('Paste SD Data'!G1231="","",UPPER('Paste SD Data'!G1231))</f>
        <v/>
      </c>
      <c r="G1234" s="27" t="str">
        <f>IF('Paste SD Data'!H1231="","",UPPER('Paste SD Data'!H1231))</f>
        <v/>
      </c>
      <c r="H1234" s="26" t="str">
        <f>IF('Paste SD Data'!I1231="","",IF('Paste SD Data'!I1231="M","BOY","GIRL"))</f>
        <v/>
      </c>
      <c r="I1234" s="28" t="str">
        <f>IF('Paste SD Data'!J1231="","",'Paste SD Data'!J1231)</f>
        <v/>
      </c>
      <c r="J1234" s="34">
        <f t="shared" si="19"/>
        <v>1660</v>
      </c>
      <c r="K1234" s="29" t="str">
        <f>IF('Paste SD Data'!O1231="","",'Paste SD Data'!O1231)</f>
        <v/>
      </c>
    </row>
    <row r="1235" spans="1:11" ht="30" customHeight="1" x14ac:dyDescent="0.25">
      <c r="A1235" s="25" t="str">
        <f>IF(Table1[[#This Row],[Name of Student]]="","",ROWS($A$1:A1231))</f>
        <v/>
      </c>
      <c r="B1235" s="26" t="str">
        <f>IF('Paste SD Data'!A1232="","",'Paste SD Data'!A1232)</f>
        <v/>
      </c>
      <c r="C1235" s="26" t="str">
        <f>IF('Paste SD Data'!B1232="","",'Paste SD Data'!B1232)</f>
        <v/>
      </c>
      <c r="D1235" s="26" t="str">
        <f>IF('Paste SD Data'!C1232="","",'Paste SD Data'!C1232)</f>
        <v/>
      </c>
      <c r="E1235" s="27" t="str">
        <f>IF('Paste SD Data'!E1232="","",UPPER('Paste SD Data'!E1232))</f>
        <v/>
      </c>
      <c r="F1235" s="27" t="str">
        <f>IF('Paste SD Data'!G1232="","",UPPER('Paste SD Data'!G1232))</f>
        <v/>
      </c>
      <c r="G1235" s="27" t="str">
        <f>IF('Paste SD Data'!H1232="","",UPPER('Paste SD Data'!H1232))</f>
        <v/>
      </c>
      <c r="H1235" s="26" t="str">
        <f>IF('Paste SD Data'!I1232="","",IF('Paste SD Data'!I1232="M","BOY","GIRL"))</f>
        <v/>
      </c>
      <c r="I1235" s="28" t="str">
        <f>IF('Paste SD Data'!J1232="","",'Paste SD Data'!J1232)</f>
        <v/>
      </c>
      <c r="J1235" s="34">
        <f t="shared" si="19"/>
        <v>1661</v>
      </c>
      <c r="K1235" s="29" t="str">
        <f>IF('Paste SD Data'!O1232="","",'Paste SD Data'!O1232)</f>
        <v/>
      </c>
    </row>
    <row r="1236" spans="1:11" ht="30" customHeight="1" x14ac:dyDescent="0.25">
      <c r="A1236" s="25" t="str">
        <f>IF(Table1[[#This Row],[Name of Student]]="","",ROWS($A$1:A1232))</f>
        <v/>
      </c>
      <c r="B1236" s="26" t="str">
        <f>IF('Paste SD Data'!A1233="","",'Paste SD Data'!A1233)</f>
        <v/>
      </c>
      <c r="C1236" s="26" t="str">
        <f>IF('Paste SD Data'!B1233="","",'Paste SD Data'!B1233)</f>
        <v/>
      </c>
      <c r="D1236" s="26" t="str">
        <f>IF('Paste SD Data'!C1233="","",'Paste SD Data'!C1233)</f>
        <v/>
      </c>
      <c r="E1236" s="27" t="str">
        <f>IF('Paste SD Data'!E1233="","",UPPER('Paste SD Data'!E1233))</f>
        <v/>
      </c>
      <c r="F1236" s="27" t="str">
        <f>IF('Paste SD Data'!G1233="","",UPPER('Paste SD Data'!G1233))</f>
        <v/>
      </c>
      <c r="G1236" s="27" t="str">
        <f>IF('Paste SD Data'!H1233="","",UPPER('Paste SD Data'!H1233))</f>
        <v/>
      </c>
      <c r="H1236" s="26" t="str">
        <f>IF('Paste SD Data'!I1233="","",IF('Paste SD Data'!I1233="M","BOY","GIRL"))</f>
        <v/>
      </c>
      <c r="I1236" s="28" t="str">
        <f>IF('Paste SD Data'!J1233="","",'Paste SD Data'!J1233)</f>
        <v/>
      </c>
      <c r="J1236" s="34">
        <f t="shared" si="19"/>
        <v>1662</v>
      </c>
      <c r="K1236" s="29" t="str">
        <f>IF('Paste SD Data'!O1233="","",'Paste SD Data'!O1233)</f>
        <v/>
      </c>
    </row>
    <row r="1237" spans="1:11" ht="30" customHeight="1" x14ac:dyDescent="0.25">
      <c r="A1237" s="25" t="str">
        <f>IF(Table1[[#This Row],[Name of Student]]="","",ROWS($A$1:A1233))</f>
        <v/>
      </c>
      <c r="B1237" s="26" t="str">
        <f>IF('Paste SD Data'!A1234="","",'Paste SD Data'!A1234)</f>
        <v/>
      </c>
      <c r="C1237" s="26" t="str">
        <f>IF('Paste SD Data'!B1234="","",'Paste SD Data'!B1234)</f>
        <v/>
      </c>
      <c r="D1237" s="26" t="str">
        <f>IF('Paste SD Data'!C1234="","",'Paste SD Data'!C1234)</f>
        <v/>
      </c>
      <c r="E1237" s="27" t="str">
        <f>IF('Paste SD Data'!E1234="","",UPPER('Paste SD Data'!E1234))</f>
        <v/>
      </c>
      <c r="F1237" s="27" t="str">
        <f>IF('Paste SD Data'!G1234="","",UPPER('Paste SD Data'!G1234))</f>
        <v/>
      </c>
      <c r="G1237" s="27" t="str">
        <f>IF('Paste SD Data'!H1234="","",UPPER('Paste SD Data'!H1234))</f>
        <v/>
      </c>
      <c r="H1237" s="26" t="str">
        <f>IF('Paste SD Data'!I1234="","",IF('Paste SD Data'!I1234="M","BOY","GIRL"))</f>
        <v/>
      </c>
      <c r="I1237" s="28" t="str">
        <f>IF('Paste SD Data'!J1234="","",'Paste SD Data'!J1234)</f>
        <v/>
      </c>
      <c r="J1237" s="34">
        <f t="shared" si="19"/>
        <v>1663</v>
      </c>
      <c r="K1237" s="29" t="str">
        <f>IF('Paste SD Data'!O1234="","",'Paste SD Data'!O1234)</f>
        <v/>
      </c>
    </row>
    <row r="1238" spans="1:11" ht="30" customHeight="1" x14ac:dyDescent="0.25">
      <c r="A1238" s="25" t="str">
        <f>IF(Table1[[#This Row],[Name of Student]]="","",ROWS($A$1:A1234))</f>
        <v/>
      </c>
      <c r="B1238" s="26" t="str">
        <f>IF('Paste SD Data'!A1235="","",'Paste SD Data'!A1235)</f>
        <v/>
      </c>
      <c r="C1238" s="26" t="str">
        <f>IF('Paste SD Data'!B1235="","",'Paste SD Data'!B1235)</f>
        <v/>
      </c>
      <c r="D1238" s="26" t="str">
        <f>IF('Paste SD Data'!C1235="","",'Paste SD Data'!C1235)</f>
        <v/>
      </c>
      <c r="E1238" s="27" t="str">
        <f>IF('Paste SD Data'!E1235="","",UPPER('Paste SD Data'!E1235))</f>
        <v/>
      </c>
      <c r="F1238" s="27" t="str">
        <f>IF('Paste SD Data'!G1235="","",UPPER('Paste SD Data'!G1235))</f>
        <v/>
      </c>
      <c r="G1238" s="27" t="str">
        <f>IF('Paste SD Data'!H1235="","",UPPER('Paste SD Data'!H1235))</f>
        <v/>
      </c>
      <c r="H1238" s="26" t="str">
        <f>IF('Paste SD Data'!I1235="","",IF('Paste SD Data'!I1235="M","BOY","GIRL"))</f>
        <v/>
      </c>
      <c r="I1238" s="28" t="str">
        <f>IF('Paste SD Data'!J1235="","",'Paste SD Data'!J1235)</f>
        <v/>
      </c>
      <c r="J1238" s="34">
        <f t="shared" si="19"/>
        <v>1664</v>
      </c>
      <c r="K1238" s="29" t="str">
        <f>IF('Paste SD Data'!O1235="","",'Paste SD Data'!O1235)</f>
        <v/>
      </c>
    </row>
    <row r="1239" spans="1:11" ht="30" customHeight="1" x14ac:dyDescent="0.25">
      <c r="A1239" s="25" t="str">
        <f>IF(Table1[[#This Row],[Name of Student]]="","",ROWS($A$1:A1235))</f>
        <v/>
      </c>
      <c r="B1239" s="26" t="str">
        <f>IF('Paste SD Data'!A1236="","",'Paste SD Data'!A1236)</f>
        <v/>
      </c>
      <c r="C1239" s="26" t="str">
        <f>IF('Paste SD Data'!B1236="","",'Paste SD Data'!B1236)</f>
        <v/>
      </c>
      <c r="D1239" s="26" t="str">
        <f>IF('Paste SD Data'!C1236="","",'Paste SD Data'!C1236)</f>
        <v/>
      </c>
      <c r="E1239" s="27" t="str">
        <f>IF('Paste SD Data'!E1236="","",UPPER('Paste SD Data'!E1236))</f>
        <v/>
      </c>
      <c r="F1239" s="27" t="str">
        <f>IF('Paste SD Data'!G1236="","",UPPER('Paste SD Data'!G1236))</f>
        <v/>
      </c>
      <c r="G1239" s="27" t="str">
        <f>IF('Paste SD Data'!H1236="","",UPPER('Paste SD Data'!H1236))</f>
        <v/>
      </c>
      <c r="H1239" s="26" t="str">
        <f>IF('Paste SD Data'!I1236="","",IF('Paste SD Data'!I1236="M","BOY","GIRL"))</f>
        <v/>
      </c>
      <c r="I1239" s="28" t="str">
        <f>IF('Paste SD Data'!J1236="","",'Paste SD Data'!J1236)</f>
        <v/>
      </c>
      <c r="J1239" s="34">
        <f t="shared" si="19"/>
        <v>1665</v>
      </c>
      <c r="K1239" s="29" t="str">
        <f>IF('Paste SD Data'!O1236="","",'Paste SD Data'!O1236)</f>
        <v/>
      </c>
    </row>
    <row r="1240" spans="1:11" ht="30" customHeight="1" x14ac:dyDescent="0.25">
      <c r="A1240" s="25" t="str">
        <f>IF(Table1[[#This Row],[Name of Student]]="","",ROWS($A$1:A1236))</f>
        <v/>
      </c>
      <c r="B1240" s="26" t="str">
        <f>IF('Paste SD Data'!A1237="","",'Paste SD Data'!A1237)</f>
        <v/>
      </c>
      <c r="C1240" s="26" t="str">
        <f>IF('Paste SD Data'!B1237="","",'Paste SD Data'!B1237)</f>
        <v/>
      </c>
      <c r="D1240" s="26" t="str">
        <f>IF('Paste SD Data'!C1237="","",'Paste SD Data'!C1237)</f>
        <v/>
      </c>
      <c r="E1240" s="27" t="str">
        <f>IF('Paste SD Data'!E1237="","",UPPER('Paste SD Data'!E1237))</f>
        <v/>
      </c>
      <c r="F1240" s="27" t="str">
        <f>IF('Paste SD Data'!G1237="","",UPPER('Paste SD Data'!G1237))</f>
        <v/>
      </c>
      <c r="G1240" s="27" t="str">
        <f>IF('Paste SD Data'!H1237="","",UPPER('Paste SD Data'!H1237))</f>
        <v/>
      </c>
      <c r="H1240" s="26" t="str">
        <f>IF('Paste SD Data'!I1237="","",IF('Paste SD Data'!I1237="M","BOY","GIRL"))</f>
        <v/>
      </c>
      <c r="I1240" s="28" t="str">
        <f>IF('Paste SD Data'!J1237="","",'Paste SD Data'!J1237)</f>
        <v/>
      </c>
      <c r="J1240" s="34">
        <f t="shared" si="19"/>
        <v>1666</v>
      </c>
      <c r="K1240" s="29" t="str">
        <f>IF('Paste SD Data'!O1237="","",'Paste SD Data'!O1237)</f>
        <v/>
      </c>
    </row>
    <row r="1241" spans="1:11" ht="30" customHeight="1" x14ac:dyDescent="0.25">
      <c r="A1241" s="25" t="str">
        <f>IF(Table1[[#This Row],[Name of Student]]="","",ROWS($A$1:A1237))</f>
        <v/>
      </c>
      <c r="B1241" s="26" t="str">
        <f>IF('Paste SD Data'!A1238="","",'Paste SD Data'!A1238)</f>
        <v/>
      </c>
      <c r="C1241" s="26" t="str">
        <f>IF('Paste SD Data'!B1238="","",'Paste SD Data'!B1238)</f>
        <v/>
      </c>
      <c r="D1241" s="26" t="str">
        <f>IF('Paste SD Data'!C1238="","",'Paste SD Data'!C1238)</f>
        <v/>
      </c>
      <c r="E1241" s="27" t="str">
        <f>IF('Paste SD Data'!E1238="","",UPPER('Paste SD Data'!E1238))</f>
        <v/>
      </c>
      <c r="F1241" s="27" t="str">
        <f>IF('Paste SD Data'!G1238="","",UPPER('Paste SD Data'!G1238))</f>
        <v/>
      </c>
      <c r="G1241" s="27" t="str">
        <f>IF('Paste SD Data'!H1238="","",UPPER('Paste SD Data'!H1238))</f>
        <v/>
      </c>
      <c r="H1241" s="26" t="str">
        <f>IF('Paste SD Data'!I1238="","",IF('Paste SD Data'!I1238="M","BOY","GIRL"))</f>
        <v/>
      </c>
      <c r="I1241" s="28" t="str">
        <f>IF('Paste SD Data'!J1238="","",'Paste SD Data'!J1238)</f>
        <v/>
      </c>
      <c r="J1241" s="34">
        <f t="shared" si="19"/>
        <v>1667</v>
      </c>
      <c r="K1241" s="29" t="str">
        <f>IF('Paste SD Data'!O1238="","",'Paste SD Data'!O1238)</f>
        <v/>
      </c>
    </row>
    <row r="1242" spans="1:11" ht="30" customHeight="1" x14ac:dyDescent="0.25">
      <c r="A1242" s="25" t="str">
        <f>IF(Table1[[#This Row],[Name of Student]]="","",ROWS($A$1:A1238))</f>
        <v/>
      </c>
      <c r="B1242" s="26" t="str">
        <f>IF('Paste SD Data'!A1239="","",'Paste SD Data'!A1239)</f>
        <v/>
      </c>
      <c r="C1242" s="26" t="str">
        <f>IF('Paste SD Data'!B1239="","",'Paste SD Data'!B1239)</f>
        <v/>
      </c>
      <c r="D1242" s="26" t="str">
        <f>IF('Paste SD Data'!C1239="","",'Paste SD Data'!C1239)</f>
        <v/>
      </c>
      <c r="E1242" s="27" t="str">
        <f>IF('Paste SD Data'!E1239="","",UPPER('Paste SD Data'!E1239))</f>
        <v/>
      </c>
      <c r="F1242" s="27" t="str">
        <f>IF('Paste SD Data'!G1239="","",UPPER('Paste SD Data'!G1239))</f>
        <v/>
      </c>
      <c r="G1242" s="27" t="str">
        <f>IF('Paste SD Data'!H1239="","",UPPER('Paste SD Data'!H1239))</f>
        <v/>
      </c>
      <c r="H1242" s="26" t="str">
        <f>IF('Paste SD Data'!I1239="","",IF('Paste SD Data'!I1239="M","BOY","GIRL"))</f>
        <v/>
      </c>
      <c r="I1242" s="28" t="str">
        <f>IF('Paste SD Data'!J1239="","",'Paste SD Data'!J1239)</f>
        <v/>
      </c>
      <c r="J1242" s="34">
        <f t="shared" si="19"/>
        <v>1668</v>
      </c>
      <c r="K1242" s="29" t="str">
        <f>IF('Paste SD Data'!O1239="","",'Paste SD Data'!O1239)</f>
        <v/>
      </c>
    </row>
    <row r="1243" spans="1:11" ht="30" customHeight="1" x14ac:dyDescent="0.25">
      <c r="A1243" s="25" t="str">
        <f>IF(Table1[[#This Row],[Name of Student]]="","",ROWS($A$1:A1239))</f>
        <v/>
      </c>
      <c r="B1243" s="26" t="str">
        <f>IF('Paste SD Data'!A1240="","",'Paste SD Data'!A1240)</f>
        <v/>
      </c>
      <c r="C1243" s="26" t="str">
        <f>IF('Paste SD Data'!B1240="","",'Paste SD Data'!B1240)</f>
        <v/>
      </c>
      <c r="D1243" s="26" t="str">
        <f>IF('Paste SD Data'!C1240="","",'Paste SD Data'!C1240)</f>
        <v/>
      </c>
      <c r="E1243" s="27" t="str">
        <f>IF('Paste SD Data'!E1240="","",UPPER('Paste SD Data'!E1240))</f>
        <v/>
      </c>
      <c r="F1243" s="27" t="str">
        <f>IF('Paste SD Data'!G1240="","",UPPER('Paste SD Data'!G1240))</f>
        <v/>
      </c>
      <c r="G1243" s="27" t="str">
        <f>IF('Paste SD Data'!H1240="","",UPPER('Paste SD Data'!H1240))</f>
        <v/>
      </c>
      <c r="H1243" s="26" t="str">
        <f>IF('Paste SD Data'!I1240="","",IF('Paste SD Data'!I1240="M","BOY","GIRL"))</f>
        <v/>
      </c>
      <c r="I1243" s="28" t="str">
        <f>IF('Paste SD Data'!J1240="","",'Paste SD Data'!J1240)</f>
        <v/>
      </c>
      <c r="J1243" s="34">
        <f t="shared" si="19"/>
        <v>1669</v>
      </c>
      <c r="K1243" s="29" t="str">
        <f>IF('Paste SD Data'!O1240="","",'Paste SD Data'!O1240)</f>
        <v/>
      </c>
    </row>
    <row r="1244" spans="1:11" ht="30" customHeight="1" x14ac:dyDescent="0.25">
      <c r="A1244" s="25" t="str">
        <f>IF(Table1[[#This Row],[Name of Student]]="","",ROWS($A$1:A1240))</f>
        <v/>
      </c>
      <c r="B1244" s="26" t="str">
        <f>IF('Paste SD Data'!A1241="","",'Paste SD Data'!A1241)</f>
        <v/>
      </c>
      <c r="C1244" s="26" t="str">
        <f>IF('Paste SD Data'!B1241="","",'Paste SD Data'!B1241)</f>
        <v/>
      </c>
      <c r="D1244" s="26" t="str">
        <f>IF('Paste SD Data'!C1241="","",'Paste SD Data'!C1241)</f>
        <v/>
      </c>
      <c r="E1244" s="27" t="str">
        <f>IF('Paste SD Data'!E1241="","",UPPER('Paste SD Data'!E1241))</f>
        <v/>
      </c>
      <c r="F1244" s="27" t="str">
        <f>IF('Paste SD Data'!G1241="","",UPPER('Paste SD Data'!G1241))</f>
        <v/>
      </c>
      <c r="G1244" s="27" t="str">
        <f>IF('Paste SD Data'!H1241="","",UPPER('Paste SD Data'!H1241))</f>
        <v/>
      </c>
      <c r="H1244" s="26" t="str">
        <f>IF('Paste SD Data'!I1241="","",IF('Paste SD Data'!I1241="M","BOY","GIRL"))</f>
        <v/>
      </c>
      <c r="I1244" s="28" t="str">
        <f>IF('Paste SD Data'!J1241="","",'Paste SD Data'!J1241)</f>
        <v/>
      </c>
      <c r="J1244" s="34">
        <f t="shared" si="19"/>
        <v>1670</v>
      </c>
      <c r="K1244" s="29" t="str">
        <f>IF('Paste SD Data'!O1241="","",'Paste SD Data'!O1241)</f>
        <v/>
      </c>
    </row>
    <row r="1245" spans="1:11" ht="30" customHeight="1" x14ac:dyDescent="0.25">
      <c r="A1245" s="25" t="str">
        <f>IF(Table1[[#This Row],[Name of Student]]="","",ROWS($A$1:A1241))</f>
        <v/>
      </c>
      <c r="B1245" s="26" t="str">
        <f>IF('Paste SD Data'!A1242="","",'Paste SD Data'!A1242)</f>
        <v/>
      </c>
      <c r="C1245" s="26" t="str">
        <f>IF('Paste SD Data'!B1242="","",'Paste SD Data'!B1242)</f>
        <v/>
      </c>
      <c r="D1245" s="26" t="str">
        <f>IF('Paste SD Data'!C1242="","",'Paste SD Data'!C1242)</f>
        <v/>
      </c>
      <c r="E1245" s="27" t="str">
        <f>IF('Paste SD Data'!E1242="","",UPPER('Paste SD Data'!E1242))</f>
        <v/>
      </c>
      <c r="F1245" s="27" t="str">
        <f>IF('Paste SD Data'!G1242="","",UPPER('Paste SD Data'!G1242))</f>
        <v/>
      </c>
      <c r="G1245" s="27" t="str">
        <f>IF('Paste SD Data'!H1242="","",UPPER('Paste SD Data'!H1242))</f>
        <v/>
      </c>
      <c r="H1245" s="26" t="str">
        <f>IF('Paste SD Data'!I1242="","",IF('Paste SD Data'!I1242="M","BOY","GIRL"))</f>
        <v/>
      </c>
      <c r="I1245" s="28" t="str">
        <f>IF('Paste SD Data'!J1242="","",'Paste SD Data'!J1242)</f>
        <v/>
      </c>
      <c r="J1245" s="34">
        <f t="shared" si="19"/>
        <v>1671</v>
      </c>
      <c r="K1245" s="29" t="str">
        <f>IF('Paste SD Data'!O1242="","",'Paste SD Data'!O1242)</f>
        <v/>
      </c>
    </row>
    <row r="1246" spans="1:11" ht="30" customHeight="1" x14ac:dyDescent="0.25">
      <c r="A1246" s="25" t="str">
        <f>IF(Table1[[#This Row],[Name of Student]]="","",ROWS($A$1:A1242))</f>
        <v/>
      </c>
      <c r="B1246" s="26" t="str">
        <f>IF('Paste SD Data'!A1243="","",'Paste SD Data'!A1243)</f>
        <v/>
      </c>
      <c r="C1246" s="26" t="str">
        <f>IF('Paste SD Data'!B1243="","",'Paste SD Data'!B1243)</f>
        <v/>
      </c>
      <c r="D1246" s="26" t="str">
        <f>IF('Paste SD Data'!C1243="","",'Paste SD Data'!C1243)</f>
        <v/>
      </c>
      <c r="E1246" s="27" t="str">
        <f>IF('Paste SD Data'!E1243="","",UPPER('Paste SD Data'!E1243))</f>
        <v/>
      </c>
      <c r="F1246" s="27" t="str">
        <f>IF('Paste SD Data'!G1243="","",UPPER('Paste SD Data'!G1243))</f>
        <v/>
      </c>
      <c r="G1246" s="27" t="str">
        <f>IF('Paste SD Data'!H1243="","",UPPER('Paste SD Data'!H1243))</f>
        <v/>
      </c>
      <c r="H1246" s="26" t="str">
        <f>IF('Paste SD Data'!I1243="","",IF('Paste SD Data'!I1243="M","BOY","GIRL"))</f>
        <v/>
      </c>
      <c r="I1246" s="28" t="str">
        <f>IF('Paste SD Data'!J1243="","",'Paste SD Data'!J1243)</f>
        <v/>
      </c>
      <c r="J1246" s="34">
        <f t="shared" si="19"/>
        <v>1672</v>
      </c>
      <c r="K1246" s="29" t="str">
        <f>IF('Paste SD Data'!O1243="","",'Paste SD Data'!O1243)</f>
        <v/>
      </c>
    </row>
    <row r="1247" spans="1:11" ht="30" customHeight="1" x14ac:dyDescent="0.25">
      <c r="A1247" s="25" t="str">
        <f>IF(Table1[[#This Row],[Name of Student]]="","",ROWS($A$1:A1243))</f>
        <v/>
      </c>
      <c r="B1247" s="26" t="str">
        <f>IF('Paste SD Data'!A1244="","",'Paste SD Data'!A1244)</f>
        <v/>
      </c>
      <c r="C1247" s="26" t="str">
        <f>IF('Paste SD Data'!B1244="","",'Paste SD Data'!B1244)</f>
        <v/>
      </c>
      <c r="D1247" s="26" t="str">
        <f>IF('Paste SD Data'!C1244="","",'Paste SD Data'!C1244)</f>
        <v/>
      </c>
      <c r="E1247" s="27" t="str">
        <f>IF('Paste SD Data'!E1244="","",UPPER('Paste SD Data'!E1244))</f>
        <v/>
      </c>
      <c r="F1247" s="27" t="str">
        <f>IF('Paste SD Data'!G1244="","",UPPER('Paste SD Data'!G1244))</f>
        <v/>
      </c>
      <c r="G1247" s="27" t="str">
        <f>IF('Paste SD Data'!H1244="","",UPPER('Paste SD Data'!H1244))</f>
        <v/>
      </c>
      <c r="H1247" s="26" t="str">
        <f>IF('Paste SD Data'!I1244="","",IF('Paste SD Data'!I1244="M","BOY","GIRL"))</f>
        <v/>
      </c>
      <c r="I1247" s="28" t="str">
        <f>IF('Paste SD Data'!J1244="","",'Paste SD Data'!J1244)</f>
        <v/>
      </c>
      <c r="J1247" s="34">
        <f t="shared" si="19"/>
        <v>1673</v>
      </c>
      <c r="K1247" s="29" t="str">
        <f>IF('Paste SD Data'!O1244="","",'Paste SD Data'!O1244)</f>
        <v/>
      </c>
    </row>
    <row r="1248" spans="1:11" ht="30" customHeight="1" x14ac:dyDescent="0.25">
      <c r="A1248" s="25" t="str">
        <f>IF(Table1[[#This Row],[Name of Student]]="","",ROWS($A$1:A1244))</f>
        <v/>
      </c>
      <c r="B1248" s="26" t="str">
        <f>IF('Paste SD Data'!A1245="","",'Paste SD Data'!A1245)</f>
        <v/>
      </c>
      <c r="C1248" s="26" t="str">
        <f>IF('Paste SD Data'!B1245="","",'Paste SD Data'!B1245)</f>
        <v/>
      </c>
      <c r="D1248" s="26" t="str">
        <f>IF('Paste SD Data'!C1245="","",'Paste SD Data'!C1245)</f>
        <v/>
      </c>
      <c r="E1248" s="27" t="str">
        <f>IF('Paste SD Data'!E1245="","",UPPER('Paste SD Data'!E1245))</f>
        <v/>
      </c>
      <c r="F1248" s="27" t="str">
        <f>IF('Paste SD Data'!G1245="","",UPPER('Paste SD Data'!G1245))</f>
        <v/>
      </c>
      <c r="G1248" s="27" t="str">
        <f>IF('Paste SD Data'!H1245="","",UPPER('Paste SD Data'!H1245))</f>
        <v/>
      </c>
      <c r="H1248" s="26" t="str">
        <f>IF('Paste SD Data'!I1245="","",IF('Paste SD Data'!I1245="M","BOY","GIRL"))</f>
        <v/>
      </c>
      <c r="I1248" s="28" t="str">
        <f>IF('Paste SD Data'!J1245="","",'Paste SD Data'!J1245)</f>
        <v/>
      </c>
      <c r="J1248" s="34">
        <f t="shared" si="19"/>
        <v>1674</v>
      </c>
      <c r="K1248" s="29" t="str">
        <f>IF('Paste SD Data'!O1245="","",'Paste SD Data'!O1245)</f>
        <v/>
      </c>
    </row>
    <row r="1249" spans="1:11" ht="30" customHeight="1" x14ac:dyDescent="0.25">
      <c r="A1249" s="25" t="str">
        <f>IF(Table1[[#This Row],[Name of Student]]="","",ROWS($A$1:A1245))</f>
        <v/>
      </c>
      <c r="B1249" s="26" t="str">
        <f>IF('Paste SD Data'!A1246="","",'Paste SD Data'!A1246)</f>
        <v/>
      </c>
      <c r="C1249" s="26" t="str">
        <f>IF('Paste SD Data'!B1246="","",'Paste SD Data'!B1246)</f>
        <v/>
      </c>
      <c r="D1249" s="26" t="str">
        <f>IF('Paste SD Data'!C1246="","",'Paste SD Data'!C1246)</f>
        <v/>
      </c>
      <c r="E1249" s="27" t="str">
        <f>IF('Paste SD Data'!E1246="","",UPPER('Paste SD Data'!E1246))</f>
        <v/>
      </c>
      <c r="F1249" s="27" t="str">
        <f>IF('Paste SD Data'!G1246="","",UPPER('Paste SD Data'!G1246))</f>
        <v/>
      </c>
      <c r="G1249" s="27" t="str">
        <f>IF('Paste SD Data'!H1246="","",UPPER('Paste SD Data'!H1246))</f>
        <v/>
      </c>
      <c r="H1249" s="26" t="str">
        <f>IF('Paste SD Data'!I1246="","",IF('Paste SD Data'!I1246="M","BOY","GIRL"))</f>
        <v/>
      </c>
      <c r="I1249" s="28" t="str">
        <f>IF('Paste SD Data'!J1246="","",'Paste SD Data'!J1246)</f>
        <v/>
      </c>
      <c r="J1249" s="34">
        <f t="shared" si="19"/>
        <v>1675</v>
      </c>
      <c r="K1249" s="29" t="str">
        <f>IF('Paste SD Data'!O1246="","",'Paste SD Data'!O1246)</f>
        <v/>
      </c>
    </row>
    <row r="1250" spans="1:11" ht="30" customHeight="1" x14ac:dyDescent="0.25">
      <c r="A1250" s="25" t="str">
        <f>IF(Table1[[#This Row],[Name of Student]]="","",ROWS($A$1:A1246))</f>
        <v/>
      </c>
      <c r="B1250" s="26" t="str">
        <f>IF('Paste SD Data'!A1247="","",'Paste SD Data'!A1247)</f>
        <v/>
      </c>
      <c r="C1250" s="26" t="str">
        <f>IF('Paste SD Data'!B1247="","",'Paste SD Data'!B1247)</f>
        <v/>
      </c>
      <c r="D1250" s="26" t="str">
        <f>IF('Paste SD Data'!C1247="","",'Paste SD Data'!C1247)</f>
        <v/>
      </c>
      <c r="E1250" s="27" t="str">
        <f>IF('Paste SD Data'!E1247="","",UPPER('Paste SD Data'!E1247))</f>
        <v/>
      </c>
      <c r="F1250" s="27" t="str">
        <f>IF('Paste SD Data'!G1247="","",UPPER('Paste SD Data'!G1247))</f>
        <v/>
      </c>
      <c r="G1250" s="27" t="str">
        <f>IF('Paste SD Data'!H1247="","",UPPER('Paste SD Data'!H1247))</f>
        <v/>
      </c>
      <c r="H1250" s="26" t="str">
        <f>IF('Paste SD Data'!I1247="","",IF('Paste SD Data'!I1247="M","BOY","GIRL"))</f>
        <v/>
      </c>
      <c r="I1250" s="28" t="str">
        <f>IF('Paste SD Data'!J1247="","",'Paste SD Data'!J1247)</f>
        <v/>
      </c>
      <c r="J1250" s="34">
        <f t="shared" si="19"/>
        <v>1676</v>
      </c>
      <c r="K1250" s="29" t="str">
        <f>IF('Paste SD Data'!O1247="","",'Paste SD Data'!O1247)</f>
        <v/>
      </c>
    </row>
    <row r="1251" spans="1:11" ht="30" customHeight="1" x14ac:dyDescent="0.25">
      <c r="A1251" s="25" t="str">
        <f>IF(Table1[[#This Row],[Name of Student]]="","",ROWS($A$1:A1247))</f>
        <v/>
      </c>
      <c r="B1251" s="26" t="str">
        <f>IF('Paste SD Data'!A1248="","",'Paste SD Data'!A1248)</f>
        <v/>
      </c>
      <c r="C1251" s="26" t="str">
        <f>IF('Paste SD Data'!B1248="","",'Paste SD Data'!B1248)</f>
        <v/>
      </c>
      <c r="D1251" s="26" t="str">
        <f>IF('Paste SD Data'!C1248="","",'Paste SD Data'!C1248)</f>
        <v/>
      </c>
      <c r="E1251" s="27" t="str">
        <f>IF('Paste SD Data'!E1248="","",UPPER('Paste SD Data'!E1248))</f>
        <v/>
      </c>
      <c r="F1251" s="27" t="str">
        <f>IF('Paste SD Data'!G1248="","",UPPER('Paste SD Data'!G1248))</f>
        <v/>
      </c>
      <c r="G1251" s="27" t="str">
        <f>IF('Paste SD Data'!H1248="","",UPPER('Paste SD Data'!H1248))</f>
        <v/>
      </c>
      <c r="H1251" s="26" t="str">
        <f>IF('Paste SD Data'!I1248="","",IF('Paste SD Data'!I1248="M","BOY","GIRL"))</f>
        <v/>
      </c>
      <c r="I1251" s="28" t="str">
        <f>IF('Paste SD Data'!J1248="","",'Paste SD Data'!J1248)</f>
        <v/>
      </c>
      <c r="J1251" s="34">
        <f t="shared" si="19"/>
        <v>1677</v>
      </c>
      <c r="K1251" s="29" t="str">
        <f>IF('Paste SD Data'!O1248="","",'Paste SD Data'!O1248)</f>
        <v/>
      </c>
    </row>
    <row r="1252" spans="1:11" ht="30" customHeight="1" x14ac:dyDescent="0.25">
      <c r="A1252" s="25" t="str">
        <f>IF(Table1[[#This Row],[Name of Student]]="","",ROWS($A$1:A1248))</f>
        <v/>
      </c>
      <c r="B1252" s="26" t="str">
        <f>IF('Paste SD Data'!A1249="","",'Paste SD Data'!A1249)</f>
        <v/>
      </c>
      <c r="C1252" s="26" t="str">
        <f>IF('Paste SD Data'!B1249="","",'Paste SD Data'!B1249)</f>
        <v/>
      </c>
      <c r="D1252" s="26" t="str">
        <f>IF('Paste SD Data'!C1249="","",'Paste SD Data'!C1249)</f>
        <v/>
      </c>
      <c r="E1252" s="27" t="str">
        <f>IF('Paste SD Data'!E1249="","",UPPER('Paste SD Data'!E1249))</f>
        <v/>
      </c>
      <c r="F1252" s="27" t="str">
        <f>IF('Paste SD Data'!G1249="","",UPPER('Paste SD Data'!G1249))</f>
        <v/>
      </c>
      <c r="G1252" s="27" t="str">
        <f>IF('Paste SD Data'!H1249="","",UPPER('Paste SD Data'!H1249))</f>
        <v/>
      </c>
      <c r="H1252" s="26" t="str">
        <f>IF('Paste SD Data'!I1249="","",IF('Paste SD Data'!I1249="M","BOY","GIRL"))</f>
        <v/>
      </c>
      <c r="I1252" s="28" t="str">
        <f>IF('Paste SD Data'!J1249="","",'Paste SD Data'!J1249)</f>
        <v/>
      </c>
      <c r="J1252" s="34">
        <f t="shared" si="19"/>
        <v>1678</v>
      </c>
      <c r="K1252" s="29" t="str">
        <f>IF('Paste SD Data'!O1249="","",'Paste SD Data'!O1249)</f>
        <v/>
      </c>
    </row>
    <row r="1253" spans="1:11" ht="30" customHeight="1" x14ac:dyDescent="0.25">
      <c r="A1253" s="25" t="str">
        <f>IF(Table1[[#This Row],[Name of Student]]="","",ROWS($A$1:A1249))</f>
        <v/>
      </c>
      <c r="B1253" s="26" t="str">
        <f>IF('Paste SD Data'!A1250="","",'Paste SD Data'!A1250)</f>
        <v/>
      </c>
      <c r="C1253" s="26" t="str">
        <f>IF('Paste SD Data'!B1250="","",'Paste SD Data'!B1250)</f>
        <v/>
      </c>
      <c r="D1253" s="26" t="str">
        <f>IF('Paste SD Data'!C1250="","",'Paste SD Data'!C1250)</f>
        <v/>
      </c>
      <c r="E1253" s="27" t="str">
        <f>IF('Paste SD Data'!E1250="","",UPPER('Paste SD Data'!E1250))</f>
        <v/>
      </c>
      <c r="F1253" s="27" t="str">
        <f>IF('Paste SD Data'!G1250="","",UPPER('Paste SD Data'!G1250))</f>
        <v/>
      </c>
      <c r="G1253" s="27" t="str">
        <f>IF('Paste SD Data'!H1250="","",UPPER('Paste SD Data'!H1250))</f>
        <v/>
      </c>
      <c r="H1253" s="26" t="str">
        <f>IF('Paste SD Data'!I1250="","",IF('Paste SD Data'!I1250="M","BOY","GIRL"))</f>
        <v/>
      </c>
      <c r="I1253" s="28" t="str">
        <f>IF('Paste SD Data'!J1250="","",'Paste SD Data'!J1250)</f>
        <v/>
      </c>
      <c r="J1253" s="34">
        <f t="shared" si="19"/>
        <v>1679</v>
      </c>
      <c r="K1253" s="29" t="str">
        <f>IF('Paste SD Data'!O1250="","",'Paste SD Data'!O1250)</f>
        <v/>
      </c>
    </row>
    <row r="1254" spans="1:11" ht="30" customHeight="1" x14ac:dyDescent="0.25">
      <c r="A1254" s="25" t="str">
        <f>IF(Table1[[#This Row],[Name of Student]]="","",ROWS($A$1:A1250))</f>
        <v/>
      </c>
      <c r="B1254" s="26" t="str">
        <f>IF('Paste SD Data'!A1251="","",'Paste SD Data'!A1251)</f>
        <v/>
      </c>
      <c r="C1254" s="26" t="str">
        <f>IF('Paste SD Data'!B1251="","",'Paste SD Data'!B1251)</f>
        <v/>
      </c>
      <c r="D1254" s="26" t="str">
        <f>IF('Paste SD Data'!C1251="","",'Paste SD Data'!C1251)</f>
        <v/>
      </c>
      <c r="E1254" s="27" t="str">
        <f>IF('Paste SD Data'!E1251="","",UPPER('Paste SD Data'!E1251))</f>
        <v/>
      </c>
      <c r="F1254" s="27" t="str">
        <f>IF('Paste SD Data'!G1251="","",UPPER('Paste SD Data'!G1251))</f>
        <v/>
      </c>
      <c r="G1254" s="27" t="str">
        <f>IF('Paste SD Data'!H1251="","",UPPER('Paste SD Data'!H1251))</f>
        <v/>
      </c>
      <c r="H1254" s="26" t="str">
        <f>IF('Paste SD Data'!I1251="","",IF('Paste SD Data'!I1251="M","BOY","GIRL"))</f>
        <v/>
      </c>
      <c r="I1254" s="28" t="str">
        <f>IF('Paste SD Data'!J1251="","",'Paste SD Data'!J1251)</f>
        <v/>
      </c>
      <c r="J1254" s="34">
        <f t="shared" si="19"/>
        <v>1680</v>
      </c>
      <c r="K1254" s="29" t="str">
        <f>IF('Paste SD Data'!O1251="","",'Paste SD Data'!O1251)</f>
        <v/>
      </c>
    </row>
    <row r="1255" spans="1:11" ht="30" customHeight="1" x14ac:dyDescent="0.25">
      <c r="A1255" s="25" t="str">
        <f>IF(Table1[[#This Row],[Name of Student]]="","",ROWS($A$1:A1251))</f>
        <v/>
      </c>
      <c r="B1255" s="26" t="str">
        <f>IF('Paste SD Data'!A1252="","",'Paste SD Data'!A1252)</f>
        <v/>
      </c>
      <c r="C1255" s="26" t="str">
        <f>IF('Paste SD Data'!B1252="","",'Paste SD Data'!B1252)</f>
        <v/>
      </c>
      <c r="D1255" s="26" t="str">
        <f>IF('Paste SD Data'!C1252="","",'Paste SD Data'!C1252)</f>
        <v/>
      </c>
      <c r="E1255" s="27" t="str">
        <f>IF('Paste SD Data'!E1252="","",UPPER('Paste SD Data'!E1252))</f>
        <v/>
      </c>
      <c r="F1255" s="27" t="str">
        <f>IF('Paste SD Data'!G1252="","",UPPER('Paste SD Data'!G1252))</f>
        <v/>
      </c>
      <c r="G1255" s="27" t="str">
        <f>IF('Paste SD Data'!H1252="","",UPPER('Paste SD Data'!H1252))</f>
        <v/>
      </c>
      <c r="H1255" s="26" t="str">
        <f>IF('Paste SD Data'!I1252="","",IF('Paste SD Data'!I1252="M","BOY","GIRL"))</f>
        <v/>
      </c>
      <c r="I1255" s="28" t="str">
        <f>IF('Paste SD Data'!J1252="","",'Paste SD Data'!J1252)</f>
        <v/>
      </c>
      <c r="J1255" s="34">
        <f t="shared" si="19"/>
        <v>1681</v>
      </c>
      <c r="K1255" s="29" t="str">
        <f>IF('Paste SD Data'!O1252="","",'Paste SD Data'!O1252)</f>
        <v/>
      </c>
    </row>
    <row r="1256" spans="1:11" ht="30" customHeight="1" x14ac:dyDescent="0.25">
      <c r="A1256" s="25" t="str">
        <f>IF(Table1[[#This Row],[Name of Student]]="","",ROWS($A$1:A1252))</f>
        <v/>
      </c>
      <c r="B1256" s="26" t="str">
        <f>IF('Paste SD Data'!A1253="","",'Paste SD Data'!A1253)</f>
        <v/>
      </c>
      <c r="C1256" s="26" t="str">
        <f>IF('Paste SD Data'!B1253="","",'Paste SD Data'!B1253)</f>
        <v/>
      </c>
      <c r="D1256" s="26" t="str">
        <f>IF('Paste SD Data'!C1253="","",'Paste SD Data'!C1253)</f>
        <v/>
      </c>
      <c r="E1256" s="27" t="str">
        <f>IF('Paste SD Data'!E1253="","",UPPER('Paste SD Data'!E1253))</f>
        <v/>
      </c>
      <c r="F1256" s="27" t="str">
        <f>IF('Paste SD Data'!G1253="","",UPPER('Paste SD Data'!G1253))</f>
        <v/>
      </c>
      <c r="G1256" s="27" t="str">
        <f>IF('Paste SD Data'!H1253="","",UPPER('Paste SD Data'!H1253))</f>
        <v/>
      </c>
      <c r="H1256" s="26" t="str">
        <f>IF('Paste SD Data'!I1253="","",IF('Paste SD Data'!I1253="M","BOY","GIRL"))</f>
        <v/>
      </c>
      <c r="I1256" s="28" t="str">
        <f>IF('Paste SD Data'!J1253="","",'Paste SD Data'!J1253)</f>
        <v/>
      </c>
      <c r="J1256" s="34">
        <f t="shared" si="19"/>
        <v>1682</v>
      </c>
      <c r="K1256" s="29" t="str">
        <f>IF('Paste SD Data'!O1253="","",'Paste SD Data'!O1253)</f>
        <v/>
      </c>
    </row>
    <row r="1257" spans="1:11" ht="30" customHeight="1" x14ac:dyDescent="0.25">
      <c r="A1257" s="25" t="str">
        <f>IF(Table1[[#This Row],[Name of Student]]="","",ROWS($A$1:A1253))</f>
        <v/>
      </c>
      <c r="B1257" s="26" t="str">
        <f>IF('Paste SD Data'!A1254="","",'Paste SD Data'!A1254)</f>
        <v/>
      </c>
      <c r="C1257" s="26" t="str">
        <f>IF('Paste SD Data'!B1254="","",'Paste SD Data'!B1254)</f>
        <v/>
      </c>
      <c r="D1257" s="26" t="str">
        <f>IF('Paste SD Data'!C1254="","",'Paste SD Data'!C1254)</f>
        <v/>
      </c>
      <c r="E1257" s="27" t="str">
        <f>IF('Paste SD Data'!E1254="","",UPPER('Paste SD Data'!E1254))</f>
        <v/>
      </c>
      <c r="F1257" s="27" t="str">
        <f>IF('Paste SD Data'!G1254="","",UPPER('Paste SD Data'!G1254))</f>
        <v/>
      </c>
      <c r="G1257" s="27" t="str">
        <f>IF('Paste SD Data'!H1254="","",UPPER('Paste SD Data'!H1254))</f>
        <v/>
      </c>
      <c r="H1257" s="26" t="str">
        <f>IF('Paste SD Data'!I1254="","",IF('Paste SD Data'!I1254="M","BOY","GIRL"))</f>
        <v/>
      </c>
      <c r="I1257" s="28" t="str">
        <f>IF('Paste SD Data'!J1254="","",'Paste SD Data'!J1254)</f>
        <v/>
      </c>
      <c r="J1257" s="34">
        <f t="shared" si="19"/>
        <v>1683</v>
      </c>
      <c r="K1257" s="29" t="str">
        <f>IF('Paste SD Data'!O1254="","",'Paste SD Data'!O1254)</f>
        <v/>
      </c>
    </row>
    <row r="1258" spans="1:11" ht="30" customHeight="1" x14ac:dyDescent="0.25">
      <c r="A1258" s="25" t="str">
        <f>IF(Table1[[#This Row],[Name of Student]]="","",ROWS($A$1:A1254))</f>
        <v/>
      </c>
      <c r="B1258" s="26" t="str">
        <f>IF('Paste SD Data'!A1255="","",'Paste SD Data'!A1255)</f>
        <v/>
      </c>
      <c r="C1258" s="26" t="str">
        <f>IF('Paste SD Data'!B1255="","",'Paste SD Data'!B1255)</f>
        <v/>
      </c>
      <c r="D1258" s="26" t="str">
        <f>IF('Paste SD Data'!C1255="","",'Paste SD Data'!C1255)</f>
        <v/>
      </c>
      <c r="E1258" s="27" t="str">
        <f>IF('Paste SD Data'!E1255="","",UPPER('Paste SD Data'!E1255))</f>
        <v/>
      </c>
      <c r="F1258" s="27" t="str">
        <f>IF('Paste SD Data'!G1255="","",UPPER('Paste SD Data'!G1255))</f>
        <v/>
      </c>
      <c r="G1258" s="27" t="str">
        <f>IF('Paste SD Data'!H1255="","",UPPER('Paste SD Data'!H1255))</f>
        <v/>
      </c>
      <c r="H1258" s="26" t="str">
        <f>IF('Paste SD Data'!I1255="","",IF('Paste SD Data'!I1255="M","BOY","GIRL"))</f>
        <v/>
      </c>
      <c r="I1258" s="28" t="str">
        <f>IF('Paste SD Data'!J1255="","",'Paste SD Data'!J1255)</f>
        <v/>
      </c>
      <c r="J1258" s="34">
        <f t="shared" si="19"/>
        <v>1684</v>
      </c>
      <c r="K1258" s="29" t="str">
        <f>IF('Paste SD Data'!O1255="","",'Paste SD Data'!O1255)</f>
        <v/>
      </c>
    </row>
    <row r="1259" spans="1:11" ht="30" customHeight="1" x14ac:dyDescent="0.25">
      <c r="A1259" s="25" t="str">
        <f>IF(Table1[[#This Row],[Name of Student]]="","",ROWS($A$1:A1255))</f>
        <v/>
      </c>
      <c r="B1259" s="26" t="str">
        <f>IF('Paste SD Data'!A1256="","",'Paste SD Data'!A1256)</f>
        <v/>
      </c>
      <c r="C1259" s="26" t="str">
        <f>IF('Paste SD Data'!B1256="","",'Paste SD Data'!B1256)</f>
        <v/>
      </c>
      <c r="D1259" s="26" t="str">
        <f>IF('Paste SD Data'!C1256="","",'Paste SD Data'!C1256)</f>
        <v/>
      </c>
      <c r="E1259" s="27" t="str">
        <f>IF('Paste SD Data'!E1256="","",UPPER('Paste SD Data'!E1256))</f>
        <v/>
      </c>
      <c r="F1259" s="27" t="str">
        <f>IF('Paste SD Data'!G1256="","",UPPER('Paste SD Data'!G1256))</f>
        <v/>
      </c>
      <c r="G1259" s="27" t="str">
        <f>IF('Paste SD Data'!H1256="","",UPPER('Paste SD Data'!H1256))</f>
        <v/>
      </c>
      <c r="H1259" s="26" t="str">
        <f>IF('Paste SD Data'!I1256="","",IF('Paste SD Data'!I1256="M","BOY","GIRL"))</f>
        <v/>
      </c>
      <c r="I1259" s="28" t="str">
        <f>IF('Paste SD Data'!J1256="","",'Paste SD Data'!J1256)</f>
        <v/>
      </c>
      <c r="J1259" s="34">
        <f t="shared" si="19"/>
        <v>1685</v>
      </c>
      <c r="K1259" s="29" t="str">
        <f>IF('Paste SD Data'!O1256="","",'Paste SD Data'!O1256)</f>
        <v/>
      </c>
    </row>
    <row r="1260" spans="1:11" ht="30" customHeight="1" x14ac:dyDescent="0.25">
      <c r="A1260" s="25" t="str">
        <f>IF(Table1[[#This Row],[Name of Student]]="","",ROWS($A$1:A1256))</f>
        <v/>
      </c>
      <c r="B1260" s="26" t="str">
        <f>IF('Paste SD Data'!A1257="","",'Paste SD Data'!A1257)</f>
        <v/>
      </c>
      <c r="C1260" s="26" t="str">
        <f>IF('Paste SD Data'!B1257="","",'Paste SD Data'!B1257)</f>
        <v/>
      </c>
      <c r="D1260" s="26" t="str">
        <f>IF('Paste SD Data'!C1257="","",'Paste SD Data'!C1257)</f>
        <v/>
      </c>
      <c r="E1260" s="27" t="str">
        <f>IF('Paste SD Data'!E1257="","",UPPER('Paste SD Data'!E1257))</f>
        <v/>
      </c>
      <c r="F1260" s="27" t="str">
        <f>IF('Paste SD Data'!G1257="","",UPPER('Paste SD Data'!G1257))</f>
        <v/>
      </c>
      <c r="G1260" s="27" t="str">
        <f>IF('Paste SD Data'!H1257="","",UPPER('Paste SD Data'!H1257))</f>
        <v/>
      </c>
      <c r="H1260" s="26" t="str">
        <f>IF('Paste SD Data'!I1257="","",IF('Paste SD Data'!I1257="M","BOY","GIRL"))</f>
        <v/>
      </c>
      <c r="I1260" s="28" t="str">
        <f>IF('Paste SD Data'!J1257="","",'Paste SD Data'!J1257)</f>
        <v/>
      </c>
      <c r="J1260" s="34">
        <f t="shared" si="19"/>
        <v>1686</v>
      </c>
      <c r="K1260" s="29" t="str">
        <f>IF('Paste SD Data'!O1257="","",'Paste SD Data'!O1257)</f>
        <v/>
      </c>
    </row>
    <row r="1261" spans="1:11" ht="30" customHeight="1" x14ac:dyDescent="0.25">
      <c r="A1261" s="25" t="str">
        <f>IF(Table1[[#This Row],[Name of Student]]="","",ROWS($A$1:A1257))</f>
        <v/>
      </c>
      <c r="B1261" s="26" t="str">
        <f>IF('Paste SD Data'!A1258="","",'Paste SD Data'!A1258)</f>
        <v/>
      </c>
      <c r="C1261" s="26" t="str">
        <f>IF('Paste SD Data'!B1258="","",'Paste SD Data'!B1258)</f>
        <v/>
      </c>
      <c r="D1261" s="26" t="str">
        <f>IF('Paste SD Data'!C1258="","",'Paste SD Data'!C1258)</f>
        <v/>
      </c>
      <c r="E1261" s="27" t="str">
        <f>IF('Paste SD Data'!E1258="","",UPPER('Paste SD Data'!E1258))</f>
        <v/>
      </c>
      <c r="F1261" s="27" t="str">
        <f>IF('Paste SD Data'!G1258="","",UPPER('Paste SD Data'!G1258))</f>
        <v/>
      </c>
      <c r="G1261" s="27" t="str">
        <f>IF('Paste SD Data'!H1258="","",UPPER('Paste SD Data'!H1258))</f>
        <v/>
      </c>
      <c r="H1261" s="26" t="str">
        <f>IF('Paste SD Data'!I1258="","",IF('Paste SD Data'!I1258="M","BOY","GIRL"))</f>
        <v/>
      </c>
      <c r="I1261" s="28" t="str">
        <f>IF('Paste SD Data'!J1258="","",'Paste SD Data'!J1258)</f>
        <v/>
      </c>
      <c r="J1261" s="34">
        <f t="shared" si="19"/>
        <v>1687</v>
      </c>
      <c r="K1261" s="29" t="str">
        <f>IF('Paste SD Data'!O1258="","",'Paste SD Data'!O1258)</f>
        <v/>
      </c>
    </row>
    <row r="1262" spans="1:11" ht="30" customHeight="1" x14ac:dyDescent="0.25">
      <c r="A1262" s="25" t="str">
        <f>IF(Table1[[#This Row],[Name of Student]]="","",ROWS($A$1:A1258))</f>
        <v/>
      </c>
      <c r="B1262" s="26" t="str">
        <f>IF('Paste SD Data'!A1259="","",'Paste SD Data'!A1259)</f>
        <v/>
      </c>
      <c r="C1262" s="26" t="str">
        <f>IF('Paste SD Data'!B1259="","",'Paste SD Data'!B1259)</f>
        <v/>
      </c>
      <c r="D1262" s="26" t="str">
        <f>IF('Paste SD Data'!C1259="","",'Paste SD Data'!C1259)</f>
        <v/>
      </c>
      <c r="E1262" s="27" t="str">
        <f>IF('Paste SD Data'!E1259="","",UPPER('Paste SD Data'!E1259))</f>
        <v/>
      </c>
      <c r="F1262" s="27" t="str">
        <f>IF('Paste SD Data'!G1259="","",UPPER('Paste SD Data'!G1259))</f>
        <v/>
      </c>
      <c r="G1262" s="27" t="str">
        <f>IF('Paste SD Data'!H1259="","",UPPER('Paste SD Data'!H1259))</f>
        <v/>
      </c>
      <c r="H1262" s="26" t="str">
        <f>IF('Paste SD Data'!I1259="","",IF('Paste SD Data'!I1259="M","BOY","GIRL"))</f>
        <v/>
      </c>
      <c r="I1262" s="28" t="str">
        <f>IF('Paste SD Data'!J1259="","",'Paste SD Data'!J1259)</f>
        <v/>
      </c>
      <c r="J1262" s="34">
        <f t="shared" si="19"/>
        <v>1688</v>
      </c>
      <c r="K1262" s="29" t="str">
        <f>IF('Paste SD Data'!O1259="","",'Paste SD Data'!O1259)</f>
        <v/>
      </c>
    </row>
    <row r="1263" spans="1:11" ht="30" customHeight="1" x14ac:dyDescent="0.25">
      <c r="A1263" s="25" t="str">
        <f>IF(Table1[[#This Row],[Name of Student]]="","",ROWS($A$1:A1259))</f>
        <v/>
      </c>
      <c r="B1263" s="26" t="str">
        <f>IF('Paste SD Data'!A1260="","",'Paste SD Data'!A1260)</f>
        <v/>
      </c>
      <c r="C1263" s="26" t="str">
        <f>IF('Paste SD Data'!B1260="","",'Paste SD Data'!B1260)</f>
        <v/>
      </c>
      <c r="D1263" s="26" t="str">
        <f>IF('Paste SD Data'!C1260="","",'Paste SD Data'!C1260)</f>
        <v/>
      </c>
      <c r="E1263" s="27" t="str">
        <f>IF('Paste SD Data'!E1260="","",UPPER('Paste SD Data'!E1260))</f>
        <v/>
      </c>
      <c r="F1263" s="27" t="str">
        <f>IF('Paste SD Data'!G1260="","",UPPER('Paste SD Data'!G1260))</f>
        <v/>
      </c>
      <c r="G1263" s="27" t="str">
        <f>IF('Paste SD Data'!H1260="","",UPPER('Paste SD Data'!H1260))</f>
        <v/>
      </c>
      <c r="H1263" s="26" t="str">
        <f>IF('Paste SD Data'!I1260="","",IF('Paste SD Data'!I1260="M","BOY","GIRL"))</f>
        <v/>
      </c>
      <c r="I1263" s="28" t="str">
        <f>IF('Paste SD Data'!J1260="","",'Paste SD Data'!J1260)</f>
        <v/>
      </c>
      <c r="J1263" s="34">
        <f t="shared" si="19"/>
        <v>1689</v>
      </c>
      <c r="K1263" s="29" t="str">
        <f>IF('Paste SD Data'!O1260="","",'Paste SD Data'!O1260)</f>
        <v/>
      </c>
    </row>
    <row r="1264" spans="1:11" ht="30" customHeight="1" x14ac:dyDescent="0.25">
      <c r="A1264" s="25" t="str">
        <f>IF(Table1[[#This Row],[Name of Student]]="","",ROWS($A$1:A1260))</f>
        <v/>
      </c>
      <c r="B1264" s="26" t="str">
        <f>IF('Paste SD Data'!A1261="","",'Paste SD Data'!A1261)</f>
        <v/>
      </c>
      <c r="C1264" s="26" t="str">
        <f>IF('Paste SD Data'!B1261="","",'Paste SD Data'!B1261)</f>
        <v/>
      </c>
      <c r="D1264" s="26" t="str">
        <f>IF('Paste SD Data'!C1261="","",'Paste SD Data'!C1261)</f>
        <v/>
      </c>
      <c r="E1264" s="27" t="str">
        <f>IF('Paste SD Data'!E1261="","",UPPER('Paste SD Data'!E1261))</f>
        <v/>
      </c>
      <c r="F1264" s="27" t="str">
        <f>IF('Paste SD Data'!G1261="","",UPPER('Paste SD Data'!G1261))</f>
        <v/>
      </c>
      <c r="G1264" s="27" t="str">
        <f>IF('Paste SD Data'!H1261="","",UPPER('Paste SD Data'!H1261))</f>
        <v/>
      </c>
      <c r="H1264" s="26" t="str">
        <f>IF('Paste SD Data'!I1261="","",IF('Paste SD Data'!I1261="M","BOY","GIRL"))</f>
        <v/>
      </c>
      <c r="I1264" s="28" t="str">
        <f>IF('Paste SD Data'!J1261="","",'Paste SD Data'!J1261)</f>
        <v/>
      </c>
      <c r="J1264" s="34">
        <f t="shared" si="19"/>
        <v>1690</v>
      </c>
      <c r="K1264" s="29" t="str">
        <f>IF('Paste SD Data'!O1261="","",'Paste SD Data'!O1261)</f>
        <v/>
      </c>
    </row>
    <row r="1265" spans="1:11" ht="30" customHeight="1" x14ac:dyDescent="0.25">
      <c r="A1265" s="25" t="str">
        <f>IF(Table1[[#This Row],[Name of Student]]="","",ROWS($A$1:A1261))</f>
        <v/>
      </c>
      <c r="B1265" s="26" t="str">
        <f>IF('Paste SD Data'!A1262="","",'Paste SD Data'!A1262)</f>
        <v/>
      </c>
      <c r="C1265" s="26" t="str">
        <f>IF('Paste SD Data'!B1262="","",'Paste SD Data'!B1262)</f>
        <v/>
      </c>
      <c r="D1265" s="26" t="str">
        <f>IF('Paste SD Data'!C1262="","",'Paste SD Data'!C1262)</f>
        <v/>
      </c>
      <c r="E1265" s="27" t="str">
        <f>IF('Paste SD Data'!E1262="","",UPPER('Paste SD Data'!E1262))</f>
        <v/>
      </c>
      <c r="F1265" s="27" t="str">
        <f>IF('Paste SD Data'!G1262="","",UPPER('Paste SD Data'!G1262))</f>
        <v/>
      </c>
      <c r="G1265" s="27" t="str">
        <f>IF('Paste SD Data'!H1262="","",UPPER('Paste SD Data'!H1262))</f>
        <v/>
      </c>
      <c r="H1265" s="26" t="str">
        <f>IF('Paste SD Data'!I1262="","",IF('Paste SD Data'!I1262="M","BOY","GIRL"))</f>
        <v/>
      </c>
      <c r="I1265" s="28" t="str">
        <f>IF('Paste SD Data'!J1262="","",'Paste SD Data'!J1262)</f>
        <v/>
      </c>
      <c r="J1265" s="34">
        <f t="shared" si="19"/>
        <v>1691</v>
      </c>
      <c r="K1265" s="29" t="str">
        <f>IF('Paste SD Data'!O1262="","",'Paste SD Data'!O1262)</f>
        <v/>
      </c>
    </row>
    <row r="1266" spans="1:11" ht="30" customHeight="1" x14ac:dyDescent="0.25">
      <c r="A1266" s="25" t="str">
        <f>IF(Table1[[#This Row],[Name of Student]]="","",ROWS($A$1:A1262))</f>
        <v/>
      </c>
      <c r="B1266" s="26" t="str">
        <f>IF('Paste SD Data'!A1263="","",'Paste SD Data'!A1263)</f>
        <v/>
      </c>
      <c r="C1266" s="26" t="str">
        <f>IF('Paste SD Data'!B1263="","",'Paste SD Data'!B1263)</f>
        <v/>
      </c>
      <c r="D1266" s="26" t="str">
        <f>IF('Paste SD Data'!C1263="","",'Paste SD Data'!C1263)</f>
        <v/>
      </c>
      <c r="E1266" s="27" t="str">
        <f>IF('Paste SD Data'!E1263="","",UPPER('Paste SD Data'!E1263))</f>
        <v/>
      </c>
      <c r="F1266" s="27" t="str">
        <f>IF('Paste SD Data'!G1263="","",UPPER('Paste SD Data'!G1263))</f>
        <v/>
      </c>
      <c r="G1266" s="27" t="str">
        <f>IF('Paste SD Data'!H1263="","",UPPER('Paste SD Data'!H1263))</f>
        <v/>
      </c>
      <c r="H1266" s="26" t="str">
        <f>IF('Paste SD Data'!I1263="","",IF('Paste SD Data'!I1263="M","BOY","GIRL"))</f>
        <v/>
      </c>
      <c r="I1266" s="28" t="str">
        <f>IF('Paste SD Data'!J1263="","",'Paste SD Data'!J1263)</f>
        <v/>
      </c>
      <c r="J1266" s="34">
        <f t="shared" si="19"/>
        <v>1692</v>
      </c>
      <c r="K1266" s="29" t="str">
        <f>IF('Paste SD Data'!O1263="","",'Paste SD Data'!O1263)</f>
        <v/>
      </c>
    </row>
    <row r="1267" spans="1:11" ht="30" customHeight="1" x14ac:dyDescent="0.25">
      <c r="A1267" s="25" t="str">
        <f>IF(Table1[[#This Row],[Name of Student]]="","",ROWS($A$1:A1263))</f>
        <v/>
      </c>
      <c r="B1267" s="26" t="str">
        <f>IF('Paste SD Data'!A1264="","",'Paste SD Data'!A1264)</f>
        <v/>
      </c>
      <c r="C1267" s="26" t="str">
        <f>IF('Paste SD Data'!B1264="","",'Paste SD Data'!B1264)</f>
        <v/>
      </c>
      <c r="D1267" s="26" t="str">
        <f>IF('Paste SD Data'!C1264="","",'Paste SD Data'!C1264)</f>
        <v/>
      </c>
      <c r="E1267" s="27" t="str">
        <f>IF('Paste SD Data'!E1264="","",UPPER('Paste SD Data'!E1264))</f>
        <v/>
      </c>
      <c r="F1267" s="27" t="str">
        <f>IF('Paste SD Data'!G1264="","",UPPER('Paste SD Data'!G1264))</f>
        <v/>
      </c>
      <c r="G1267" s="27" t="str">
        <f>IF('Paste SD Data'!H1264="","",UPPER('Paste SD Data'!H1264))</f>
        <v/>
      </c>
      <c r="H1267" s="26" t="str">
        <f>IF('Paste SD Data'!I1264="","",IF('Paste SD Data'!I1264="M","BOY","GIRL"))</f>
        <v/>
      </c>
      <c r="I1267" s="28" t="str">
        <f>IF('Paste SD Data'!J1264="","",'Paste SD Data'!J1264)</f>
        <v/>
      </c>
      <c r="J1267" s="34">
        <f t="shared" si="19"/>
        <v>1693</v>
      </c>
      <c r="K1267" s="29" t="str">
        <f>IF('Paste SD Data'!O1264="","",'Paste SD Data'!O1264)</f>
        <v/>
      </c>
    </row>
    <row r="1268" spans="1:11" ht="30" customHeight="1" x14ac:dyDescent="0.25">
      <c r="A1268" s="25" t="str">
        <f>IF(Table1[[#This Row],[Name of Student]]="","",ROWS($A$1:A1264))</f>
        <v/>
      </c>
      <c r="B1268" s="26" t="str">
        <f>IF('Paste SD Data'!A1265="","",'Paste SD Data'!A1265)</f>
        <v/>
      </c>
      <c r="C1268" s="26" t="str">
        <f>IF('Paste SD Data'!B1265="","",'Paste SD Data'!B1265)</f>
        <v/>
      </c>
      <c r="D1268" s="26" t="str">
        <f>IF('Paste SD Data'!C1265="","",'Paste SD Data'!C1265)</f>
        <v/>
      </c>
      <c r="E1268" s="27" t="str">
        <f>IF('Paste SD Data'!E1265="","",UPPER('Paste SD Data'!E1265))</f>
        <v/>
      </c>
      <c r="F1268" s="27" t="str">
        <f>IF('Paste SD Data'!G1265="","",UPPER('Paste SD Data'!G1265))</f>
        <v/>
      </c>
      <c r="G1268" s="27" t="str">
        <f>IF('Paste SD Data'!H1265="","",UPPER('Paste SD Data'!H1265))</f>
        <v/>
      </c>
      <c r="H1268" s="26" t="str">
        <f>IF('Paste SD Data'!I1265="","",IF('Paste SD Data'!I1265="M","BOY","GIRL"))</f>
        <v/>
      </c>
      <c r="I1268" s="28" t="str">
        <f>IF('Paste SD Data'!J1265="","",'Paste SD Data'!J1265)</f>
        <v/>
      </c>
      <c r="J1268" s="34">
        <f t="shared" si="19"/>
        <v>1694</v>
      </c>
      <c r="K1268" s="29" t="str">
        <f>IF('Paste SD Data'!O1265="","",'Paste SD Data'!O1265)</f>
        <v/>
      </c>
    </row>
    <row r="1269" spans="1:11" ht="30" customHeight="1" x14ac:dyDescent="0.25">
      <c r="A1269" s="25" t="str">
        <f>IF(Table1[[#This Row],[Name of Student]]="","",ROWS($A$1:A1265))</f>
        <v/>
      </c>
      <c r="B1269" s="26" t="str">
        <f>IF('Paste SD Data'!A1266="","",'Paste SD Data'!A1266)</f>
        <v/>
      </c>
      <c r="C1269" s="26" t="str">
        <f>IF('Paste SD Data'!B1266="","",'Paste SD Data'!B1266)</f>
        <v/>
      </c>
      <c r="D1269" s="26" t="str">
        <f>IF('Paste SD Data'!C1266="","",'Paste SD Data'!C1266)</f>
        <v/>
      </c>
      <c r="E1269" s="27" t="str">
        <f>IF('Paste SD Data'!E1266="","",UPPER('Paste SD Data'!E1266))</f>
        <v/>
      </c>
      <c r="F1269" s="27" t="str">
        <f>IF('Paste SD Data'!G1266="","",UPPER('Paste SD Data'!G1266))</f>
        <v/>
      </c>
      <c r="G1269" s="27" t="str">
        <f>IF('Paste SD Data'!H1266="","",UPPER('Paste SD Data'!H1266))</f>
        <v/>
      </c>
      <c r="H1269" s="26" t="str">
        <f>IF('Paste SD Data'!I1266="","",IF('Paste SD Data'!I1266="M","BOY","GIRL"))</f>
        <v/>
      </c>
      <c r="I1269" s="28" t="str">
        <f>IF('Paste SD Data'!J1266="","",'Paste SD Data'!J1266)</f>
        <v/>
      </c>
      <c r="J1269" s="34">
        <f t="shared" si="19"/>
        <v>1695</v>
      </c>
      <c r="K1269" s="29" t="str">
        <f>IF('Paste SD Data'!O1266="","",'Paste SD Data'!O1266)</f>
        <v/>
      </c>
    </row>
    <row r="1270" spans="1:11" ht="30" customHeight="1" x14ac:dyDescent="0.25">
      <c r="A1270" s="25" t="str">
        <f>IF(Table1[[#This Row],[Name of Student]]="","",ROWS($A$1:A1266))</f>
        <v/>
      </c>
      <c r="B1270" s="26" t="str">
        <f>IF('Paste SD Data'!A1267="","",'Paste SD Data'!A1267)</f>
        <v/>
      </c>
      <c r="C1270" s="26" t="str">
        <f>IF('Paste SD Data'!B1267="","",'Paste SD Data'!B1267)</f>
        <v/>
      </c>
      <c r="D1270" s="26" t="str">
        <f>IF('Paste SD Data'!C1267="","",'Paste SD Data'!C1267)</f>
        <v/>
      </c>
      <c r="E1270" s="27" t="str">
        <f>IF('Paste SD Data'!E1267="","",UPPER('Paste SD Data'!E1267))</f>
        <v/>
      </c>
      <c r="F1270" s="27" t="str">
        <f>IF('Paste SD Data'!G1267="","",UPPER('Paste SD Data'!G1267))</f>
        <v/>
      </c>
      <c r="G1270" s="27" t="str">
        <f>IF('Paste SD Data'!H1267="","",UPPER('Paste SD Data'!H1267))</f>
        <v/>
      </c>
      <c r="H1270" s="26" t="str">
        <f>IF('Paste SD Data'!I1267="","",IF('Paste SD Data'!I1267="M","BOY","GIRL"))</f>
        <v/>
      </c>
      <c r="I1270" s="28" t="str">
        <f>IF('Paste SD Data'!J1267="","",'Paste SD Data'!J1267)</f>
        <v/>
      </c>
      <c r="J1270" s="34">
        <f t="shared" si="19"/>
        <v>1696</v>
      </c>
      <c r="K1270" s="29" t="str">
        <f>IF('Paste SD Data'!O1267="","",'Paste SD Data'!O1267)</f>
        <v/>
      </c>
    </row>
    <row r="1271" spans="1:11" ht="30" customHeight="1" x14ac:dyDescent="0.25">
      <c r="A1271" s="25" t="str">
        <f>IF(Table1[[#This Row],[Name of Student]]="","",ROWS($A$1:A1267))</f>
        <v/>
      </c>
      <c r="B1271" s="26" t="str">
        <f>IF('Paste SD Data'!A1268="","",'Paste SD Data'!A1268)</f>
        <v/>
      </c>
      <c r="C1271" s="26" t="str">
        <f>IF('Paste SD Data'!B1268="","",'Paste SD Data'!B1268)</f>
        <v/>
      </c>
      <c r="D1271" s="26" t="str">
        <f>IF('Paste SD Data'!C1268="","",'Paste SD Data'!C1268)</f>
        <v/>
      </c>
      <c r="E1271" s="27" t="str">
        <f>IF('Paste SD Data'!E1268="","",UPPER('Paste SD Data'!E1268))</f>
        <v/>
      </c>
      <c r="F1271" s="27" t="str">
        <f>IF('Paste SD Data'!G1268="","",UPPER('Paste SD Data'!G1268))</f>
        <v/>
      </c>
      <c r="G1271" s="27" t="str">
        <f>IF('Paste SD Data'!H1268="","",UPPER('Paste SD Data'!H1268))</f>
        <v/>
      </c>
      <c r="H1271" s="26" t="str">
        <f>IF('Paste SD Data'!I1268="","",IF('Paste SD Data'!I1268="M","BOY","GIRL"))</f>
        <v/>
      </c>
      <c r="I1271" s="28" t="str">
        <f>IF('Paste SD Data'!J1268="","",'Paste SD Data'!J1268)</f>
        <v/>
      </c>
      <c r="J1271" s="34">
        <f t="shared" si="19"/>
        <v>1697</v>
      </c>
      <c r="K1271" s="29" t="str">
        <f>IF('Paste SD Data'!O1268="","",'Paste SD Data'!O1268)</f>
        <v/>
      </c>
    </row>
    <row r="1272" spans="1:11" ht="30" customHeight="1" x14ac:dyDescent="0.25">
      <c r="A1272" s="25" t="str">
        <f>IF(Table1[[#This Row],[Name of Student]]="","",ROWS($A$1:A1268))</f>
        <v/>
      </c>
      <c r="B1272" s="26" t="str">
        <f>IF('Paste SD Data'!A1269="","",'Paste SD Data'!A1269)</f>
        <v/>
      </c>
      <c r="C1272" s="26" t="str">
        <f>IF('Paste SD Data'!B1269="","",'Paste SD Data'!B1269)</f>
        <v/>
      </c>
      <c r="D1272" s="26" t="str">
        <f>IF('Paste SD Data'!C1269="","",'Paste SD Data'!C1269)</f>
        <v/>
      </c>
      <c r="E1272" s="27" t="str">
        <f>IF('Paste SD Data'!E1269="","",UPPER('Paste SD Data'!E1269))</f>
        <v/>
      </c>
      <c r="F1272" s="27" t="str">
        <f>IF('Paste SD Data'!G1269="","",UPPER('Paste SD Data'!G1269))</f>
        <v/>
      </c>
      <c r="G1272" s="27" t="str">
        <f>IF('Paste SD Data'!H1269="","",UPPER('Paste SD Data'!H1269))</f>
        <v/>
      </c>
      <c r="H1272" s="26" t="str">
        <f>IF('Paste SD Data'!I1269="","",IF('Paste SD Data'!I1269="M","BOY","GIRL"))</f>
        <v/>
      </c>
      <c r="I1272" s="28" t="str">
        <f>IF('Paste SD Data'!J1269="","",'Paste SD Data'!J1269)</f>
        <v/>
      </c>
      <c r="J1272" s="34">
        <f t="shared" si="19"/>
        <v>1698</v>
      </c>
      <c r="K1272" s="29" t="str">
        <f>IF('Paste SD Data'!O1269="","",'Paste SD Data'!O1269)</f>
        <v/>
      </c>
    </row>
    <row r="1273" spans="1:11" ht="30" customHeight="1" x14ac:dyDescent="0.25">
      <c r="A1273" s="25" t="str">
        <f>IF(Table1[[#This Row],[Name of Student]]="","",ROWS($A$1:A1269))</f>
        <v/>
      </c>
      <c r="B1273" s="26" t="str">
        <f>IF('Paste SD Data'!A1270="","",'Paste SD Data'!A1270)</f>
        <v/>
      </c>
      <c r="C1273" s="26" t="str">
        <f>IF('Paste SD Data'!B1270="","",'Paste SD Data'!B1270)</f>
        <v/>
      </c>
      <c r="D1273" s="26" t="str">
        <f>IF('Paste SD Data'!C1270="","",'Paste SD Data'!C1270)</f>
        <v/>
      </c>
      <c r="E1273" s="27" t="str">
        <f>IF('Paste SD Data'!E1270="","",UPPER('Paste SD Data'!E1270))</f>
        <v/>
      </c>
      <c r="F1273" s="27" t="str">
        <f>IF('Paste SD Data'!G1270="","",UPPER('Paste SD Data'!G1270))</f>
        <v/>
      </c>
      <c r="G1273" s="27" t="str">
        <f>IF('Paste SD Data'!H1270="","",UPPER('Paste SD Data'!H1270))</f>
        <v/>
      </c>
      <c r="H1273" s="26" t="str">
        <f>IF('Paste SD Data'!I1270="","",IF('Paste SD Data'!I1270="M","BOY","GIRL"))</f>
        <v/>
      </c>
      <c r="I1273" s="28" t="str">
        <f>IF('Paste SD Data'!J1270="","",'Paste SD Data'!J1270)</f>
        <v/>
      </c>
      <c r="J1273" s="34">
        <f t="shared" si="19"/>
        <v>1699</v>
      </c>
      <c r="K1273" s="29" t="str">
        <f>IF('Paste SD Data'!O1270="","",'Paste SD Data'!O1270)</f>
        <v/>
      </c>
    </row>
    <row r="1274" spans="1:11" ht="30" customHeight="1" x14ac:dyDescent="0.25">
      <c r="A1274" s="25" t="str">
        <f>IF(Table1[[#This Row],[Name of Student]]="","",ROWS($A$1:A1270))</f>
        <v/>
      </c>
      <c r="B1274" s="26" t="str">
        <f>IF('Paste SD Data'!A1271="","",'Paste SD Data'!A1271)</f>
        <v/>
      </c>
      <c r="C1274" s="26" t="str">
        <f>IF('Paste SD Data'!B1271="","",'Paste SD Data'!B1271)</f>
        <v/>
      </c>
      <c r="D1274" s="26" t="str">
        <f>IF('Paste SD Data'!C1271="","",'Paste SD Data'!C1271)</f>
        <v/>
      </c>
      <c r="E1274" s="27" t="str">
        <f>IF('Paste SD Data'!E1271="","",UPPER('Paste SD Data'!E1271))</f>
        <v/>
      </c>
      <c r="F1274" s="27" t="str">
        <f>IF('Paste SD Data'!G1271="","",UPPER('Paste SD Data'!G1271))</f>
        <v/>
      </c>
      <c r="G1274" s="27" t="str">
        <f>IF('Paste SD Data'!H1271="","",UPPER('Paste SD Data'!H1271))</f>
        <v/>
      </c>
      <c r="H1274" s="26" t="str">
        <f>IF('Paste SD Data'!I1271="","",IF('Paste SD Data'!I1271="M","BOY","GIRL"))</f>
        <v/>
      </c>
      <c r="I1274" s="28" t="str">
        <f>IF('Paste SD Data'!J1271="","",'Paste SD Data'!J1271)</f>
        <v/>
      </c>
      <c r="J1274" s="34">
        <f t="shared" si="19"/>
        <v>1700</v>
      </c>
      <c r="K1274" s="29" t="str">
        <f>IF('Paste SD Data'!O1271="","",'Paste SD Data'!O1271)</f>
        <v/>
      </c>
    </row>
    <row r="1275" spans="1:11" ht="30" customHeight="1" x14ac:dyDescent="0.25">
      <c r="A1275" s="25" t="str">
        <f>IF(Table1[[#This Row],[Name of Student]]="","",ROWS($A$1:A1271))</f>
        <v/>
      </c>
      <c r="B1275" s="26" t="str">
        <f>IF('Paste SD Data'!A1272="","",'Paste SD Data'!A1272)</f>
        <v/>
      </c>
      <c r="C1275" s="26" t="str">
        <f>IF('Paste SD Data'!B1272="","",'Paste SD Data'!B1272)</f>
        <v/>
      </c>
      <c r="D1275" s="26" t="str">
        <f>IF('Paste SD Data'!C1272="","",'Paste SD Data'!C1272)</f>
        <v/>
      </c>
      <c r="E1275" s="27" t="str">
        <f>IF('Paste SD Data'!E1272="","",UPPER('Paste SD Data'!E1272))</f>
        <v/>
      </c>
      <c r="F1275" s="27" t="str">
        <f>IF('Paste SD Data'!G1272="","",UPPER('Paste SD Data'!G1272))</f>
        <v/>
      </c>
      <c r="G1275" s="27" t="str">
        <f>IF('Paste SD Data'!H1272="","",UPPER('Paste SD Data'!H1272))</f>
        <v/>
      </c>
      <c r="H1275" s="26" t="str">
        <f>IF('Paste SD Data'!I1272="","",IF('Paste SD Data'!I1272="M","BOY","GIRL"))</f>
        <v/>
      </c>
      <c r="I1275" s="28" t="str">
        <f>IF('Paste SD Data'!J1272="","",'Paste SD Data'!J1272)</f>
        <v/>
      </c>
      <c r="J1275" s="34">
        <f t="shared" si="19"/>
        <v>1701</v>
      </c>
      <c r="K1275" s="29" t="str">
        <f>IF('Paste SD Data'!O1272="","",'Paste SD Data'!O1272)</f>
        <v/>
      </c>
    </row>
    <row r="1276" spans="1:11" ht="30" customHeight="1" x14ac:dyDescent="0.25">
      <c r="A1276" s="25" t="str">
        <f>IF(Table1[[#This Row],[Name of Student]]="","",ROWS($A$1:A1272))</f>
        <v/>
      </c>
      <c r="B1276" s="26" t="str">
        <f>IF('Paste SD Data'!A1273="","",'Paste SD Data'!A1273)</f>
        <v/>
      </c>
      <c r="C1276" s="26" t="str">
        <f>IF('Paste SD Data'!B1273="","",'Paste SD Data'!B1273)</f>
        <v/>
      </c>
      <c r="D1276" s="26" t="str">
        <f>IF('Paste SD Data'!C1273="","",'Paste SD Data'!C1273)</f>
        <v/>
      </c>
      <c r="E1276" s="27" t="str">
        <f>IF('Paste SD Data'!E1273="","",UPPER('Paste SD Data'!E1273))</f>
        <v/>
      </c>
      <c r="F1276" s="27" t="str">
        <f>IF('Paste SD Data'!G1273="","",UPPER('Paste SD Data'!G1273))</f>
        <v/>
      </c>
      <c r="G1276" s="27" t="str">
        <f>IF('Paste SD Data'!H1273="","",UPPER('Paste SD Data'!H1273))</f>
        <v/>
      </c>
      <c r="H1276" s="26" t="str">
        <f>IF('Paste SD Data'!I1273="","",IF('Paste SD Data'!I1273="M","BOY","GIRL"))</f>
        <v/>
      </c>
      <c r="I1276" s="28" t="str">
        <f>IF('Paste SD Data'!J1273="","",'Paste SD Data'!J1273)</f>
        <v/>
      </c>
      <c r="J1276" s="34">
        <f t="shared" si="19"/>
        <v>1702</v>
      </c>
      <c r="K1276" s="29" t="str">
        <f>IF('Paste SD Data'!O1273="","",'Paste SD Data'!O1273)</f>
        <v/>
      </c>
    </row>
    <row r="1277" spans="1:11" ht="30" customHeight="1" x14ac:dyDescent="0.25">
      <c r="A1277" s="25" t="str">
        <f>IF(Table1[[#This Row],[Name of Student]]="","",ROWS($A$1:A1273))</f>
        <v/>
      </c>
      <c r="B1277" s="26" t="str">
        <f>IF('Paste SD Data'!A1274="","",'Paste SD Data'!A1274)</f>
        <v/>
      </c>
      <c r="C1277" s="26" t="str">
        <f>IF('Paste SD Data'!B1274="","",'Paste SD Data'!B1274)</f>
        <v/>
      </c>
      <c r="D1277" s="26" t="str">
        <f>IF('Paste SD Data'!C1274="","",'Paste SD Data'!C1274)</f>
        <v/>
      </c>
      <c r="E1277" s="27" t="str">
        <f>IF('Paste SD Data'!E1274="","",UPPER('Paste SD Data'!E1274))</f>
        <v/>
      </c>
      <c r="F1277" s="27" t="str">
        <f>IF('Paste SD Data'!G1274="","",UPPER('Paste SD Data'!G1274))</f>
        <v/>
      </c>
      <c r="G1277" s="27" t="str">
        <f>IF('Paste SD Data'!H1274="","",UPPER('Paste SD Data'!H1274))</f>
        <v/>
      </c>
      <c r="H1277" s="26" t="str">
        <f>IF('Paste SD Data'!I1274="","",IF('Paste SD Data'!I1274="M","BOY","GIRL"))</f>
        <v/>
      </c>
      <c r="I1277" s="28" t="str">
        <f>IF('Paste SD Data'!J1274="","",'Paste SD Data'!J1274)</f>
        <v/>
      </c>
      <c r="J1277" s="34">
        <f t="shared" si="19"/>
        <v>1703</v>
      </c>
      <c r="K1277" s="29" t="str">
        <f>IF('Paste SD Data'!O1274="","",'Paste SD Data'!O1274)</f>
        <v/>
      </c>
    </row>
    <row r="1278" spans="1:11" ht="30" customHeight="1" x14ac:dyDescent="0.25">
      <c r="A1278" s="25" t="str">
        <f>IF(Table1[[#This Row],[Name of Student]]="","",ROWS($A$1:A1274))</f>
        <v/>
      </c>
      <c r="B1278" s="26" t="str">
        <f>IF('Paste SD Data'!A1275="","",'Paste SD Data'!A1275)</f>
        <v/>
      </c>
      <c r="C1278" s="26" t="str">
        <f>IF('Paste SD Data'!B1275="","",'Paste SD Data'!B1275)</f>
        <v/>
      </c>
      <c r="D1278" s="26" t="str">
        <f>IF('Paste SD Data'!C1275="","",'Paste SD Data'!C1275)</f>
        <v/>
      </c>
      <c r="E1278" s="27" t="str">
        <f>IF('Paste SD Data'!E1275="","",UPPER('Paste SD Data'!E1275))</f>
        <v/>
      </c>
      <c r="F1278" s="27" t="str">
        <f>IF('Paste SD Data'!G1275="","",UPPER('Paste SD Data'!G1275))</f>
        <v/>
      </c>
      <c r="G1278" s="27" t="str">
        <f>IF('Paste SD Data'!H1275="","",UPPER('Paste SD Data'!H1275))</f>
        <v/>
      </c>
      <c r="H1278" s="26" t="str">
        <f>IF('Paste SD Data'!I1275="","",IF('Paste SD Data'!I1275="M","BOY","GIRL"))</f>
        <v/>
      </c>
      <c r="I1278" s="28" t="str">
        <f>IF('Paste SD Data'!J1275="","",'Paste SD Data'!J1275)</f>
        <v/>
      </c>
      <c r="J1278" s="34">
        <f t="shared" si="19"/>
        <v>1704</v>
      </c>
      <c r="K1278" s="29" t="str">
        <f>IF('Paste SD Data'!O1275="","",'Paste SD Data'!O1275)</f>
        <v/>
      </c>
    </row>
    <row r="1279" spans="1:11" ht="30" customHeight="1" x14ac:dyDescent="0.25">
      <c r="A1279" s="25" t="str">
        <f>IF(Table1[[#This Row],[Name of Student]]="","",ROWS($A$1:A1275))</f>
        <v/>
      </c>
      <c r="B1279" s="26" t="str">
        <f>IF('Paste SD Data'!A1276="","",'Paste SD Data'!A1276)</f>
        <v/>
      </c>
      <c r="C1279" s="26" t="str">
        <f>IF('Paste SD Data'!B1276="","",'Paste SD Data'!B1276)</f>
        <v/>
      </c>
      <c r="D1279" s="26" t="str">
        <f>IF('Paste SD Data'!C1276="","",'Paste SD Data'!C1276)</f>
        <v/>
      </c>
      <c r="E1279" s="27" t="str">
        <f>IF('Paste SD Data'!E1276="","",UPPER('Paste SD Data'!E1276))</f>
        <v/>
      </c>
      <c r="F1279" s="27" t="str">
        <f>IF('Paste SD Data'!G1276="","",UPPER('Paste SD Data'!G1276))</f>
        <v/>
      </c>
      <c r="G1279" s="27" t="str">
        <f>IF('Paste SD Data'!H1276="","",UPPER('Paste SD Data'!H1276))</f>
        <v/>
      </c>
      <c r="H1279" s="26" t="str">
        <f>IF('Paste SD Data'!I1276="","",IF('Paste SD Data'!I1276="M","BOY","GIRL"))</f>
        <v/>
      </c>
      <c r="I1279" s="28" t="str">
        <f>IF('Paste SD Data'!J1276="","",'Paste SD Data'!J1276)</f>
        <v/>
      </c>
      <c r="J1279" s="34">
        <f t="shared" si="19"/>
        <v>1705</v>
      </c>
      <c r="K1279" s="29" t="str">
        <f>IF('Paste SD Data'!O1276="","",'Paste SD Data'!O1276)</f>
        <v/>
      </c>
    </row>
    <row r="1280" spans="1:11" ht="30" customHeight="1" x14ac:dyDescent="0.25">
      <c r="A1280" s="25" t="str">
        <f>IF(Table1[[#This Row],[Name of Student]]="","",ROWS($A$1:A1276))</f>
        <v/>
      </c>
      <c r="B1280" s="26" t="str">
        <f>IF('Paste SD Data'!A1277="","",'Paste SD Data'!A1277)</f>
        <v/>
      </c>
      <c r="C1280" s="26" t="str">
        <f>IF('Paste SD Data'!B1277="","",'Paste SD Data'!B1277)</f>
        <v/>
      </c>
      <c r="D1280" s="26" t="str">
        <f>IF('Paste SD Data'!C1277="","",'Paste SD Data'!C1277)</f>
        <v/>
      </c>
      <c r="E1280" s="27" t="str">
        <f>IF('Paste SD Data'!E1277="","",UPPER('Paste SD Data'!E1277))</f>
        <v/>
      </c>
      <c r="F1280" s="27" t="str">
        <f>IF('Paste SD Data'!G1277="","",UPPER('Paste SD Data'!G1277))</f>
        <v/>
      </c>
      <c r="G1280" s="27" t="str">
        <f>IF('Paste SD Data'!H1277="","",UPPER('Paste SD Data'!H1277))</f>
        <v/>
      </c>
      <c r="H1280" s="26" t="str">
        <f>IF('Paste SD Data'!I1277="","",IF('Paste SD Data'!I1277="M","BOY","GIRL"))</f>
        <v/>
      </c>
      <c r="I1280" s="28" t="str">
        <f>IF('Paste SD Data'!J1277="","",'Paste SD Data'!J1277)</f>
        <v/>
      </c>
      <c r="J1280" s="34">
        <f t="shared" si="19"/>
        <v>1706</v>
      </c>
      <c r="K1280" s="29" t="str">
        <f>IF('Paste SD Data'!O1277="","",'Paste SD Data'!O1277)</f>
        <v/>
      </c>
    </row>
    <row r="1281" spans="1:11" ht="30" customHeight="1" x14ac:dyDescent="0.25">
      <c r="A1281" s="25" t="str">
        <f>IF(Table1[[#This Row],[Name of Student]]="","",ROWS($A$1:A1277))</f>
        <v/>
      </c>
      <c r="B1281" s="26" t="str">
        <f>IF('Paste SD Data'!A1278="","",'Paste SD Data'!A1278)</f>
        <v/>
      </c>
      <c r="C1281" s="26" t="str">
        <f>IF('Paste SD Data'!B1278="","",'Paste SD Data'!B1278)</f>
        <v/>
      </c>
      <c r="D1281" s="26" t="str">
        <f>IF('Paste SD Data'!C1278="","",'Paste SD Data'!C1278)</f>
        <v/>
      </c>
      <c r="E1281" s="27" t="str">
        <f>IF('Paste SD Data'!E1278="","",UPPER('Paste SD Data'!E1278))</f>
        <v/>
      </c>
      <c r="F1281" s="27" t="str">
        <f>IF('Paste SD Data'!G1278="","",UPPER('Paste SD Data'!G1278))</f>
        <v/>
      </c>
      <c r="G1281" s="27" t="str">
        <f>IF('Paste SD Data'!H1278="","",UPPER('Paste SD Data'!H1278))</f>
        <v/>
      </c>
      <c r="H1281" s="26" t="str">
        <f>IF('Paste SD Data'!I1278="","",IF('Paste SD Data'!I1278="M","BOY","GIRL"))</f>
        <v/>
      </c>
      <c r="I1281" s="28" t="str">
        <f>IF('Paste SD Data'!J1278="","",'Paste SD Data'!J1278)</f>
        <v/>
      </c>
      <c r="J1281" s="34">
        <f t="shared" si="19"/>
        <v>1707</v>
      </c>
      <c r="K1281" s="29" t="str">
        <f>IF('Paste SD Data'!O1278="","",'Paste SD Data'!O1278)</f>
        <v/>
      </c>
    </row>
    <row r="1282" spans="1:11" ht="30" customHeight="1" x14ac:dyDescent="0.25">
      <c r="A1282" s="25" t="str">
        <f>IF(Table1[[#This Row],[Name of Student]]="","",ROWS($A$1:A1278))</f>
        <v/>
      </c>
      <c r="B1282" s="26" t="str">
        <f>IF('Paste SD Data'!A1279="","",'Paste SD Data'!A1279)</f>
        <v/>
      </c>
      <c r="C1282" s="26" t="str">
        <f>IF('Paste SD Data'!B1279="","",'Paste SD Data'!B1279)</f>
        <v/>
      </c>
      <c r="D1282" s="26" t="str">
        <f>IF('Paste SD Data'!C1279="","",'Paste SD Data'!C1279)</f>
        <v/>
      </c>
      <c r="E1282" s="27" t="str">
        <f>IF('Paste SD Data'!E1279="","",UPPER('Paste SD Data'!E1279))</f>
        <v/>
      </c>
      <c r="F1282" s="27" t="str">
        <f>IF('Paste SD Data'!G1279="","",UPPER('Paste SD Data'!G1279))</f>
        <v/>
      </c>
      <c r="G1282" s="27" t="str">
        <f>IF('Paste SD Data'!H1279="","",UPPER('Paste SD Data'!H1279))</f>
        <v/>
      </c>
      <c r="H1282" s="26" t="str">
        <f>IF('Paste SD Data'!I1279="","",IF('Paste SD Data'!I1279="M","BOY","GIRL"))</f>
        <v/>
      </c>
      <c r="I1282" s="28" t="str">
        <f>IF('Paste SD Data'!J1279="","",'Paste SD Data'!J1279)</f>
        <v/>
      </c>
      <c r="J1282" s="34">
        <f t="shared" si="19"/>
        <v>1708</v>
      </c>
      <c r="K1282" s="29" t="str">
        <f>IF('Paste SD Data'!O1279="","",'Paste SD Data'!O1279)</f>
        <v/>
      </c>
    </row>
    <row r="1283" spans="1:11" ht="30" customHeight="1" x14ac:dyDescent="0.25">
      <c r="A1283" s="25" t="str">
        <f>IF(Table1[[#This Row],[Name of Student]]="","",ROWS($A$1:A1279))</f>
        <v/>
      </c>
      <c r="B1283" s="26" t="str">
        <f>IF('Paste SD Data'!A1280="","",'Paste SD Data'!A1280)</f>
        <v/>
      </c>
      <c r="C1283" s="26" t="str">
        <f>IF('Paste SD Data'!B1280="","",'Paste SD Data'!B1280)</f>
        <v/>
      </c>
      <c r="D1283" s="26" t="str">
        <f>IF('Paste SD Data'!C1280="","",'Paste SD Data'!C1280)</f>
        <v/>
      </c>
      <c r="E1283" s="27" t="str">
        <f>IF('Paste SD Data'!E1280="","",UPPER('Paste SD Data'!E1280))</f>
        <v/>
      </c>
      <c r="F1283" s="27" t="str">
        <f>IF('Paste SD Data'!G1280="","",UPPER('Paste SD Data'!G1280))</f>
        <v/>
      </c>
      <c r="G1283" s="27" t="str">
        <f>IF('Paste SD Data'!H1280="","",UPPER('Paste SD Data'!H1280))</f>
        <v/>
      </c>
      <c r="H1283" s="26" t="str">
        <f>IF('Paste SD Data'!I1280="","",IF('Paste SD Data'!I1280="M","BOY","GIRL"))</f>
        <v/>
      </c>
      <c r="I1283" s="28" t="str">
        <f>IF('Paste SD Data'!J1280="","",'Paste SD Data'!J1280)</f>
        <v/>
      </c>
      <c r="J1283" s="34">
        <f t="shared" si="19"/>
        <v>1709</v>
      </c>
      <c r="K1283" s="29" t="str">
        <f>IF('Paste SD Data'!O1280="","",'Paste SD Data'!O1280)</f>
        <v/>
      </c>
    </row>
    <row r="1284" spans="1:11" ht="30" customHeight="1" x14ac:dyDescent="0.25">
      <c r="A1284" s="25" t="str">
        <f>IF(Table1[[#This Row],[Name of Student]]="","",ROWS($A$1:A1280))</f>
        <v/>
      </c>
      <c r="B1284" s="26" t="str">
        <f>IF('Paste SD Data'!A1281="","",'Paste SD Data'!A1281)</f>
        <v/>
      </c>
      <c r="C1284" s="26" t="str">
        <f>IF('Paste SD Data'!B1281="","",'Paste SD Data'!B1281)</f>
        <v/>
      </c>
      <c r="D1284" s="26" t="str">
        <f>IF('Paste SD Data'!C1281="","",'Paste SD Data'!C1281)</f>
        <v/>
      </c>
      <c r="E1284" s="27" t="str">
        <f>IF('Paste SD Data'!E1281="","",UPPER('Paste SD Data'!E1281))</f>
        <v/>
      </c>
      <c r="F1284" s="27" t="str">
        <f>IF('Paste SD Data'!G1281="","",UPPER('Paste SD Data'!G1281))</f>
        <v/>
      </c>
      <c r="G1284" s="27" t="str">
        <f>IF('Paste SD Data'!H1281="","",UPPER('Paste SD Data'!H1281))</f>
        <v/>
      </c>
      <c r="H1284" s="26" t="str">
        <f>IF('Paste SD Data'!I1281="","",IF('Paste SD Data'!I1281="M","BOY","GIRL"))</f>
        <v/>
      </c>
      <c r="I1284" s="28" t="str">
        <f>IF('Paste SD Data'!J1281="","",'Paste SD Data'!J1281)</f>
        <v/>
      </c>
      <c r="J1284" s="34">
        <f t="shared" si="19"/>
        <v>1710</v>
      </c>
      <c r="K1284" s="29" t="str">
        <f>IF('Paste SD Data'!O1281="","",'Paste SD Data'!O1281)</f>
        <v/>
      </c>
    </row>
    <row r="1285" spans="1:11" ht="30" customHeight="1" x14ac:dyDescent="0.25">
      <c r="A1285" s="25" t="str">
        <f>IF(Table1[[#This Row],[Name of Student]]="","",ROWS($A$1:A1281))</f>
        <v/>
      </c>
      <c r="B1285" s="26" t="str">
        <f>IF('Paste SD Data'!A1282="","",'Paste SD Data'!A1282)</f>
        <v/>
      </c>
      <c r="C1285" s="26" t="str">
        <f>IF('Paste SD Data'!B1282="","",'Paste SD Data'!B1282)</f>
        <v/>
      </c>
      <c r="D1285" s="26" t="str">
        <f>IF('Paste SD Data'!C1282="","",'Paste SD Data'!C1282)</f>
        <v/>
      </c>
      <c r="E1285" s="27" t="str">
        <f>IF('Paste SD Data'!E1282="","",UPPER('Paste SD Data'!E1282))</f>
        <v/>
      </c>
      <c r="F1285" s="27" t="str">
        <f>IF('Paste SD Data'!G1282="","",UPPER('Paste SD Data'!G1282))</f>
        <v/>
      </c>
      <c r="G1285" s="27" t="str">
        <f>IF('Paste SD Data'!H1282="","",UPPER('Paste SD Data'!H1282))</f>
        <v/>
      </c>
      <c r="H1285" s="26" t="str">
        <f>IF('Paste SD Data'!I1282="","",IF('Paste SD Data'!I1282="M","BOY","GIRL"))</f>
        <v/>
      </c>
      <c r="I1285" s="28" t="str">
        <f>IF('Paste SD Data'!J1282="","",'Paste SD Data'!J1282)</f>
        <v/>
      </c>
      <c r="J1285" s="34">
        <f t="shared" si="19"/>
        <v>1711</v>
      </c>
      <c r="K1285" s="29" t="str">
        <f>IF('Paste SD Data'!O1282="","",'Paste SD Data'!O1282)</f>
        <v/>
      </c>
    </row>
    <row r="1286" spans="1:11" ht="30" customHeight="1" x14ac:dyDescent="0.25">
      <c r="A1286" s="25" t="str">
        <f>IF(Table1[[#This Row],[Name of Student]]="","",ROWS($A$1:A1282))</f>
        <v/>
      </c>
      <c r="B1286" s="26" t="str">
        <f>IF('Paste SD Data'!A1283="","",'Paste SD Data'!A1283)</f>
        <v/>
      </c>
      <c r="C1286" s="26" t="str">
        <f>IF('Paste SD Data'!B1283="","",'Paste SD Data'!B1283)</f>
        <v/>
      </c>
      <c r="D1286" s="26" t="str">
        <f>IF('Paste SD Data'!C1283="","",'Paste SD Data'!C1283)</f>
        <v/>
      </c>
      <c r="E1286" s="27" t="str">
        <f>IF('Paste SD Data'!E1283="","",UPPER('Paste SD Data'!E1283))</f>
        <v/>
      </c>
      <c r="F1286" s="27" t="str">
        <f>IF('Paste SD Data'!G1283="","",UPPER('Paste SD Data'!G1283))</f>
        <v/>
      </c>
      <c r="G1286" s="27" t="str">
        <f>IF('Paste SD Data'!H1283="","",UPPER('Paste SD Data'!H1283))</f>
        <v/>
      </c>
      <c r="H1286" s="26" t="str">
        <f>IF('Paste SD Data'!I1283="","",IF('Paste SD Data'!I1283="M","BOY","GIRL"))</f>
        <v/>
      </c>
      <c r="I1286" s="28" t="str">
        <f>IF('Paste SD Data'!J1283="","",'Paste SD Data'!J1283)</f>
        <v/>
      </c>
      <c r="J1286" s="34">
        <f t="shared" si="19"/>
        <v>1712</v>
      </c>
      <c r="K1286" s="29" t="str">
        <f>IF('Paste SD Data'!O1283="","",'Paste SD Data'!O1283)</f>
        <v/>
      </c>
    </row>
    <row r="1287" spans="1:11" ht="30" customHeight="1" x14ac:dyDescent="0.25">
      <c r="A1287" s="25" t="str">
        <f>IF(Table1[[#This Row],[Name of Student]]="","",ROWS($A$1:A1283))</f>
        <v/>
      </c>
      <c r="B1287" s="26" t="str">
        <f>IF('Paste SD Data'!A1284="","",'Paste SD Data'!A1284)</f>
        <v/>
      </c>
      <c r="C1287" s="26" t="str">
        <f>IF('Paste SD Data'!B1284="","",'Paste SD Data'!B1284)</f>
        <v/>
      </c>
      <c r="D1287" s="26" t="str">
        <f>IF('Paste SD Data'!C1284="","",'Paste SD Data'!C1284)</f>
        <v/>
      </c>
      <c r="E1287" s="27" t="str">
        <f>IF('Paste SD Data'!E1284="","",UPPER('Paste SD Data'!E1284))</f>
        <v/>
      </c>
      <c r="F1287" s="27" t="str">
        <f>IF('Paste SD Data'!G1284="","",UPPER('Paste SD Data'!G1284))</f>
        <v/>
      </c>
      <c r="G1287" s="27" t="str">
        <f>IF('Paste SD Data'!H1284="","",UPPER('Paste SD Data'!H1284))</f>
        <v/>
      </c>
      <c r="H1287" s="26" t="str">
        <f>IF('Paste SD Data'!I1284="","",IF('Paste SD Data'!I1284="M","BOY","GIRL"))</f>
        <v/>
      </c>
      <c r="I1287" s="28" t="str">
        <f>IF('Paste SD Data'!J1284="","",'Paste SD Data'!J1284)</f>
        <v/>
      </c>
      <c r="J1287" s="34">
        <f t="shared" ref="J1287:J1350" si="20">J1286+1</f>
        <v>1713</v>
      </c>
      <c r="K1287" s="29" t="str">
        <f>IF('Paste SD Data'!O1284="","",'Paste SD Data'!O1284)</f>
        <v/>
      </c>
    </row>
    <row r="1288" spans="1:11" ht="30" customHeight="1" x14ac:dyDescent="0.25">
      <c r="A1288" s="25" t="str">
        <f>IF(Table1[[#This Row],[Name of Student]]="","",ROWS($A$1:A1284))</f>
        <v/>
      </c>
      <c r="B1288" s="26" t="str">
        <f>IF('Paste SD Data'!A1285="","",'Paste SD Data'!A1285)</f>
        <v/>
      </c>
      <c r="C1288" s="26" t="str">
        <f>IF('Paste SD Data'!B1285="","",'Paste SD Data'!B1285)</f>
        <v/>
      </c>
      <c r="D1288" s="26" t="str">
        <f>IF('Paste SD Data'!C1285="","",'Paste SD Data'!C1285)</f>
        <v/>
      </c>
      <c r="E1288" s="27" t="str">
        <f>IF('Paste SD Data'!E1285="","",UPPER('Paste SD Data'!E1285))</f>
        <v/>
      </c>
      <c r="F1288" s="27" t="str">
        <f>IF('Paste SD Data'!G1285="","",UPPER('Paste SD Data'!G1285))</f>
        <v/>
      </c>
      <c r="G1288" s="27" t="str">
        <f>IF('Paste SD Data'!H1285="","",UPPER('Paste SD Data'!H1285))</f>
        <v/>
      </c>
      <c r="H1288" s="26" t="str">
        <f>IF('Paste SD Data'!I1285="","",IF('Paste SD Data'!I1285="M","BOY","GIRL"))</f>
        <v/>
      </c>
      <c r="I1288" s="28" t="str">
        <f>IF('Paste SD Data'!J1285="","",'Paste SD Data'!J1285)</f>
        <v/>
      </c>
      <c r="J1288" s="34">
        <f t="shared" si="20"/>
        <v>1714</v>
      </c>
      <c r="K1288" s="29" t="str">
        <f>IF('Paste SD Data'!O1285="","",'Paste SD Data'!O1285)</f>
        <v/>
      </c>
    </row>
    <row r="1289" spans="1:11" ht="30" customHeight="1" x14ac:dyDescent="0.25">
      <c r="A1289" s="25" t="str">
        <f>IF(Table1[[#This Row],[Name of Student]]="","",ROWS($A$1:A1285))</f>
        <v/>
      </c>
      <c r="B1289" s="26" t="str">
        <f>IF('Paste SD Data'!A1286="","",'Paste SD Data'!A1286)</f>
        <v/>
      </c>
      <c r="C1289" s="26" t="str">
        <f>IF('Paste SD Data'!B1286="","",'Paste SD Data'!B1286)</f>
        <v/>
      </c>
      <c r="D1289" s="26" t="str">
        <f>IF('Paste SD Data'!C1286="","",'Paste SD Data'!C1286)</f>
        <v/>
      </c>
      <c r="E1289" s="27" t="str">
        <f>IF('Paste SD Data'!E1286="","",UPPER('Paste SD Data'!E1286))</f>
        <v/>
      </c>
      <c r="F1289" s="27" t="str">
        <f>IF('Paste SD Data'!G1286="","",UPPER('Paste SD Data'!G1286))</f>
        <v/>
      </c>
      <c r="G1289" s="27" t="str">
        <f>IF('Paste SD Data'!H1286="","",UPPER('Paste SD Data'!H1286))</f>
        <v/>
      </c>
      <c r="H1289" s="26" t="str">
        <f>IF('Paste SD Data'!I1286="","",IF('Paste SD Data'!I1286="M","BOY","GIRL"))</f>
        <v/>
      </c>
      <c r="I1289" s="28" t="str">
        <f>IF('Paste SD Data'!J1286="","",'Paste SD Data'!J1286)</f>
        <v/>
      </c>
      <c r="J1289" s="34">
        <f t="shared" si="20"/>
        <v>1715</v>
      </c>
      <c r="K1289" s="29" t="str">
        <f>IF('Paste SD Data'!O1286="","",'Paste SD Data'!O1286)</f>
        <v/>
      </c>
    </row>
    <row r="1290" spans="1:11" ht="30" customHeight="1" x14ac:dyDescent="0.25">
      <c r="A1290" s="25" t="str">
        <f>IF(Table1[[#This Row],[Name of Student]]="","",ROWS($A$1:A1286))</f>
        <v/>
      </c>
      <c r="B1290" s="26" t="str">
        <f>IF('Paste SD Data'!A1287="","",'Paste SD Data'!A1287)</f>
        <v/>
      </c>
      <c r="C1290" s="26" t="str">
        <f>IF('Paste SD Data'!B1287="","",'Paste SD Data'!B1287)</f>
        <v/>
      </c>
      <c r="D1290" s="26" t="str">
        <f>IF('Paste SD Data'!C1287="","",'Paste SD Data'!C1287)</f>
        <v/>
      </c>
      <c r="E1290" s="27" t="str">
        <f>IF('Paste SD Data'!E1287="","",UPPER('Paste SD Data'!E1287))</f>
        <v/>
      </c>
      <c r="F1290" s="27" t="str">
        <f>IF('Paste SD Data'!G1287="","",UPPER('Paste SD Data'!G1287))</f>
        <v/>
      </c>
      <c r="G1290" s="27" t="str">
        <f>IF('Paste SD Data'!H1287="","",UPPER('Paste SD Data'!H1287))</f>
        <v/>
      </c>
      <c r="H1290" s="26" t="str">
        <f>IF('Paste SD Data'!I1287="","",IF('Paste SD Data'!I1287="M","BOY","GIRL"))</f>
        <v/>
      </c>
      <c r="I1290" s="28" t="str">
        <f>IF('Paste SD Data'!J1287="","",'Paste SD Data'!J1287)</f>
        <v/>
      </c>
      <c r="J1290" s="34">
        <f t="shared" si="20"/>
        <v>1716</v>
      </c>
      <c r="K1290" s="29" t="str">
        <f>IF('Paste SD Data'!O1287="","",'Paste SD Data'!O1287)</f>
        <v/>
      </c>
    </row>
    <row r="1291" spans="1:11" ht="30" customHeight="1" x14ac:dyDescent="0.25">
      <c r="A1291" s="25" t="str">
        <f>IF(Table1[[#This Row],[Name of Student]]="","",ROWS($A$1:A1287))</f>
        <v/>
      </c>
      <c r="B1291" s="26" t="str">
        <f>IF('Paste SD Data'!A1288="","",'Paste SD Data'!A1288)</f>
        <v/>
      </c>
      <c r="C1291" s="26" t="str">
        <f>IF('Paste SD Data'!B1288="","",'Paste SD Data'!B1288)</f>
        <v/>
      </c>
      <c r="D1291" s="26" t="str">
        <f>IF('Paste SD Data'!C1288="","",'Paste SD Data'!C1288)</f>
        <v/>
      </c>
      <c r="E1291" s="27" t="str">
        <f>IF('Paste SD Data'!E1288="","",UPPER('Paste SD Data'!E1288))</f>
        <v/>
      </c>
      <c r="F1291" s="27" t="str">
        <f>IF('Paste SD Data'!G1288="","",UPPER('Paste SD Data'!G1288))</f>
        <v/>
      </c>
      <c r="G1291" s="27" t="str">
        <f>IF('Paste SD Data'!H1288="","",UPPER('Paste SD Data'!H1288))</f>
        <v/>
      </c>
      <c r="H1291" s="26" t="str">
        <f>IF('Paste SD Data'!I1288="","",IF('Paste SD Data'!I1288="M","BOY","GIRL"))</f>
        <v/>
      </c>
      <c r="I1291" s="28" t="str">
        <f>IF('Paste SD Data'!J1288="","",'Paste SD Data'!J1288)</f>
        <v/>
      </c>
      <c r="J1291" s="34">
        <f t="shared" si="20"/>
        <v>1717</v>
      </c>
      <c r="K1291" s="29" t="str">
        <f>IF('Paste SD Data'!O1288="","",'Paste SD Data'!O1288)</f>
        <v/>
      </c>
    </row>
    <row r="1292" spans="1:11" ht="30" customHeight="1" x14ac:dyDescent="0.25">
      <c r="A1292" s="25" t="str">
        <f>IF(Table1[[#This Row],[Name of Student]]="","",ROWS($A$1:A1288))</f>
        <v/>
      </c>
      <c r="B1292" s="26" t="str">
        <f>IF('Paste SD Data'!A1289="","",'Paste SD Data'!A1289)</f>
        <v/>
      </c>
      <c r="C1292" s="26" t="str">
        <f>IF('Paste SD Data'!B1289="","",'Paste SD Data'!B1289)</f>
        <v/>
      </c>
      <c r="D1292" s="26" t="str">
        <f>IF('Paste SD Data'!C1289="","",'Paste SD Data'!C1289)</f>
        <v/>
      </c>
      <c r="E1292" s="27" t="str">
        <f>IF('Paste SD Data'!E1289="","",UPPER('Paste SD Data'!E1289))</f>
        <v/>
      </c>
      <c r="F1292" s="27" t="str">
        <f>IF('Paste SD Data'!G1289="","",UPPER('Paste SD Data'!G1289))</f>
        <v/>
      </c>
      <c r="G1292" s="27" t="str">
        <f>IF('Paste SD Data'!H1289="","",UPPER('Paste SD Data'!H1289))</f>
        <v/>
      </c>
      <c r="H1292" s="26" t="str">
        <f>IF('Paste SD Data'!I1289="","",IF('Paste SD Data'!I1289="M","BOY","GIRL"))</f>
        <v/>
      </c>
      <c r="I1292" s="28" t="str">
        <f>IF('Paste SD Data'!J1289="","",'Paste SD Data'!J1289)</f>
        <v/>
      </c>
      <c r="J1292" s="34">
        <f t="shared" si="20"/>
        <v>1718</v>
      </c>
      <c r="K1292" s="29" t="str">
        <f>IF('Paste SD Data'!O1289="","",'Paste SD Data'!O1289)</f>
        <v/>
      </c>
    </row>
    <row r="1293" spans="1:11" ht="30" customHeight="1" x14ac:dyDescent="0.25">
      <c r="A1293" s="25" t="str">
        <f>IF(Table1[[#This Row],[Name of Student]]="","",ROWS($A$1:A1289))</f>
        <v/>
      </c>
      <c r="B1293" s="26" t="str">
        <f>IF('Paste SD Data'!A1290="","",'Paste SD Data'!A1290)</f>
        <v/>
      </c>
      <c r="C1293" s="26" t="str">
        <f>IF('Paste SD Data'!B1290="","",'Paste SD Data'!B1290)</f>
        <v/>
      </c>
      <c r="D1293" s="26" t="str">
        <f>IF('Paste SD Data'!C1290="","",'Paste SD Data'!C1290)</f>
        <v/>
      </c>
      <c r="E1293" s="27" t="str">
        <f>IF('Paste SD Data'!E1290="","",UPPER('Paste SD Data'!E1290))</f>
        <v/>
      </c>
      <c r="F1293" s="27" t="str">
        <f>IF('Paste SD Data'!G1290="","",UPPER('Paste SD Data'!G1290))</f>
        <v/>
      </c>
      <c r="G1293" s="27" t="str">
        <f>IF('Paste SD Data'!H1290="","",UPPER('Paste SD Data'!H1290))</f>
        <v/>
      </c>
      <c r="H1293" s="26" t="str">
        <f>IF('Paste SD Data'!I1290="","",IF('Paste SD Data'!I1290="M","BOY","GIRL"))</f>
        <v/>
      </c>
      <c r="I1293" s="28" t="str">
        <f>IF('Paste SD Data'!J1290="","",'Paste SD Data'!J1290)</f>
        <v/>
      </c>
      <c r="J1293" s="34">
        <f t="shared" si="20"/>
        <v>1719</v>
      </c>
      <c r="K1293" s="29" t="str">
        <f>IF('Paste SD Data'!O1290="","",'Paste SD Data'!O1290)</f>
        <v/>
      </c>
    </row>
    <row r="1294" spans="1:11" ht="30" customHeight="1" x14ac:dyDescent="0.25">
      <c r="A1294" s="25" t="str">
        <f>IF(Table1[[#This Row],[Name of Student]]="","",ROWS($A$1:A1290))</f>
        <v/>
      </c>
      <c r="B1294" s="26" t="str">
        <f>IF('Paste SD Data'!A1291="","",'Paste SD Data'!A1291)</f>
        <v/>
      </c>
      <c r="C1294" s="26" t="str">
        <f>IF('Paste SD Data'!B1291="","",'Paste SD Data'!B1291)</f>
        <v/>
      </c>
      <c r="D1294" s="26" t="str">
        <f>IF('Paste SD Data'!C1291="","",'Paste SD Data'!C1291)</f>
        <v/>
      </c>
      <c r="E1294" s="27" t="str">
        <f>IF('Paste SD Data'!E1291="","",UPPER('Paste SD Data'!E1291))</f>
        <v/>
      </c>
      <c r="F1294" s="27" t="str">
        <f>IF('Paste SD Data'!G1291="","",UPPER('Paste SD Data'!G1291))</f>
        <v/>
      </c>
      <c r="G1294" s="27" t="str">
        <f>IF('Paste SD Data'!H1291="","",UPPER('Paste SD Data'!H1291))</f>
        <v/>
      </c>
      <c r="H1294" s="26" t="str">
        <f>IF('Paste SD Data'!I1291="","",IF('Paste SD Data'!I1291="M","BOY","GIRL"))</f>
        <v/>
      </c>
      <c r="I1294" s="28" t="str">
        <f>IF('Paste SD Data'!J1291="","",'Paste SD Data'!J1291)</f>
        <v/>
      </c>
      <c r="J1294" s="34">
        <f t="shared" si="20"/>
        <v>1720</v>
      </c>
      <c r="K1294" s="29" t="str">
        <f>IF('Paste SD Data'!O1291="","",'Paste SD Data'!O1291)</f>
        <v/>
      </c>
    </row>
    <row r="1295" spans="1:11" ht="30" customHeight="1" x14ac:dyDescent="0.25">
      <c r="A1295" s="25" t="str">
        <f>IF(Table1[[#This Row],[Name of Student]]="","",ROWS($A$1:A1291))</f>
        <v/>
      </c>
      <c r="B1295" s="26" t="str">
        <f>IF('Paste SD Data'!A1292="","",'Paste SD Data'!A1292)</f>
        <v/>
      </c>
      <c r="C1295" s="26" t="str">
        <f>IF('Paste SD Data'!B1292="","",'Paste SD Data'!B1292)</f>
        <v/>
      </c>
      <c r="D1295" s="26" t="str">
        <f>IF('Paste SD Data'!C1292="","",'Paste SD Data'!C1292)</f>
        <v/>
      </c>
      <c r="E1295" s="27" t="str">
        <f>IF('Paste SD Data'!E1292="","",UPPER('Paste SD Data'!E1292))</f>
        <v/>
      </c>
      <c r="F1295" s="27" t="str">
        <f>IF('Paste SD Data'!G1292="","",UPPER('Paste SD Data'!G1292))</f>
        <v/>
      </c>
      <c r="G1295" s="27" t="str">
        <f>IF('Paste SD Data'!H1292="","",UPPER('Paste SD Data'!H1292))</f>
        <v/>
      </c>
      <c r="H1295" s="26" t="str">
        <f>IF('Paste SD Data'!I1292="","",IF('Paste SD Data'!I1292="M","BOY","GIRL"))</f>
        <v/>
      </c>
      <c r="I1295" s="28" t="str">
        <f>IF('Paste SD Data'!J1292="","",'Paste SD Data'!J1292)</f>
        <v/>
      </c>
      <c r="J1295" s="34">
        <f t="shared" si="20"/>
        <v>1721</v>
      </c>
      <c r="K1295" s="29" t="str">
        <f>IF('Paste SD Data'!O1292="","",'Paste SD Data'!O1292)</f>
        <v/>
      </c>
    </row>
    <row r="1296" spans="1:11" ht="30" customHeight="1" x14ac:dyDescent="0.25">
      <c r="A1296" s="25" t="str">
        <f>IF(Table1[[#This Row],[Name of Student]]="","",ROWS($A$1:A1292))</f>
        <v/>
      </c>
      <c r="B1296" s="26" t="str">
        <f>IF('Paste SD Data'!A1293="","",'Paste SD Data'!A1293)</f>
        <v/>
      </c>
      <c r="C1296" s="26" t="str">
        <f>IF('Paste SD Data'!B1293="","",'Paste SD Data'!B1293)</f>
        <v/>
      </c>
      <c r="D1296" s="26" t="str">
        <f>IF('Paste SD Data'!C1293="","",'Paste SD Data'!C1293)</f>
        <v/>
      </c>
      <c r="E1296" s="27" t="str">
        <f>IF('Paste SD Data'!E1293="","",UPPER('Paste SD Data'!E1293))</f>
        <v/>
      </c>
      <c r="F1296" s="27" t="str">
        <f>IF('Paste SD Data'!G1293="","",UPPER('Paste SD Data'!G1293))</f>
        <v/>
      </c>
      <c r="G1296" s="27" t="str">
        <f>IF('Paste SD Data'!H1293="","",UPPER('Paste SD Data'!H1293))</f>
        <v/>
      </c>
      <c r="H1296" s="26" t="str">
        <f>IF('Paste SD Data'!I1293="","",IF('Paste SD Data'!I1293="M","BOY","GIRL"))</f>
        <v/>
      </c>
      <c r="I1296" s="28" t="str">
        <f>IF('Paste SD Data'!J1293="","",'Paste SD Data'!J1293)</f>
        <v/>
      </c>
      <c r="J1296" s="34">
        <f t="shared" si="20"/>
        <v>1722</v>
      </c>
      <c r="K1296" s="29" t="str">
        <f>IF('Paste SD Data'!O1293="","",'Paste SD Data'!O1293)</f>
        <v/>
      </c>
    </row>
    <row r="1297" spans="1:11" ht="30" customHeight="1" x14ac:dyDescent="0.25">
      <c r="A1297" s="25" t="str">
        <f>IF(Table1[[#This Row],[Name of Student]]="","",ROWS($A$1:A1293))</f>
        <v/>
      </c>
      <c r="B1297" s="26" t="str">
        <f>IF('Paste SD Data'!A1294="","",'Paste SD Data'!A1294)</f>
        <v/>
      </c>
      <c r="C1297" s="26" t="str">
        <f>IF('Paste SD Data'!B1294="","",'Paste SD Data'!B1294)</f>
        <v/>
      </c>
      <c r="D1297" s="26" t="str">
        <f>IF('Paste SD Data'!C1294="","",'Paste SD Data'!C1294)</f>
        <v/>
      </c>
      <c r="E1297" s="27" t="str">
        <f>IF('Paste SD Data'!E1294="","",UPPER('Paste SD Data'!E1294))</f>
        <v/>
      </c>
      <c r="F1297" s="27" t="str">
        <f>IF('Paste SD Data'!G1294="","",UPPER('Paste SD Data'!G1294))</f>
        <v/>
      </c>
      <c r="G1297" s="27" t="str">
        <f>IF('Paste SD Data'!H1294="","",UPPER('Paste SD Data'!H1294))</f>
        <v/>
      </c>
      <c r="H1297" s="26" t="str">
        <f>IF('Paste SD Data'!I1294="","",IF('Paste SD Data'!I1294="M","BOY","GIRL"))</f>
        <v/>
      </c>
      <c r="I1297" s="28" t="str">
        <f>IF('Paste SD Data'!J1294="","",'Paste SD Data'!J1294)</f>
        <v/>
      </c>
      <c r="J1297" s="34">
        <f t="shared" si="20"/>
        <v>1723</v>
      </c>
      <c r="K1297" s="29" t="str">
        <f>IF('Paste SD Data'!O1294="","",'Paste SD Data'!O1294)</f>
        <v/>
      </c>
    </row>
    <row r="1298" spans="1:11" ht="30" customHeight="1" x14ac:dyDescent="0.25">
      <c r="A1298" s="25" t="str">
        <f>IF(Table1[[#This Row],[Name of Student]]="","",ROWS($A$1:A1294))</f>
        <v/>
      </c>
      <c r="B1298" s="26" t="str">
        <f>IF('Paste SD Data'!A1295="","",'Paste SD Data'!A1295)</f>
        <v/>
      </c>
      <c r="C1298" s="26" t="str">
        <f>IF('Paste SD Data'!B1295="","",'Paste SD Data'!B1295)</f>
        <v/>
      </c>
      <c r="D1298" s="26" t="str">
        <f>IF('Paste SD Data'!C1295="","",'Paste SD Data'!C1295)</f>
        <v/>
      </c>
      <c r="E1298" s="27" t="str">
        <f>IF('Paste SD Data'!E1295="","",UPPER('Paste SD Data'!E1295))</f>
        <v/>
      </c>
      <c r="F1298" s="27" t="str">
        <f>IF('Paste SD Data'!G1295="","",UPPER('Paste SD Data'!G1295))</f>
        <v/>
      </c>
      <c r="G1298" s="27" t="str">
        <f>IF('Paste SD Data'!H1295="","",UPPER('Paste SD Data'!H1295))</f>
        <v/>
      </c>
      <c r="H1298" s="26" t="str">
        <f>IF('Paste SD Data'!I1295="","",IF('Paste SD Data'!I1295="M","BOY","GIRL"))</f>
        <v/>
      </c>
      <c r="I1298" s="28" t="str">
        <f>IF('Paste SD Data'!J1295="","",'Paste SD Data'!J1295)</f>
        <v/>
      </c>
      <c r="J1298" s="34">
        <f t="shared" si="20"/>
        <v>1724</v>
      </c>
      <c r="K1298" s="29" t="str">
        <f>IF('Paste SD Data'!O1295="","",'Paste SD Data'!O1295)</f>
        <v/>
      </c>
    </row>
    <row r="1299" spans="1:11" ht="30" customHeight="1" x14ac:dyDescent="0.25">
      <c r="A1299" s="25" t="str">
        <f>IF(Table1[[#This Row],[Name of Student]]="","",ROWS($A$1:A1295))</f>
        <v/>
      </c>
      <c r="B1299" s="26" t="str">
        <f>IF('Paste SD Data'!A1296="","",'Paste SD Data'!A1296)</f>
        <v/>
      </c>
      <c r="C1299" s="26" t="str">
        <f>IF('Paste SD Data'!B1296="","",'Paste SD Data'!B1296)</f>
        <v/>
      </c>
      <c r="D1299" s="26" t="str">
        <f>IF('Paste SD Data'!C1296="","",'Paste SD Data'!C1296)</f>
        <v/>
      </c>
      <c r="E1299" s="27" t="str">
        <f>IF('Paste SD Data'!E1296="","",UPPER('Paste SD Data'!E1296))</f>
        <v/>
      </c>
      <c r="F1299" s="27" t="str">
        <f>IF('Paste SD Data'!G1296="","",UPPER('Paste SD Data'!G1296))</f>
        <v/>
      </c>
      <c r="G1299" s="27" t="str">
        <f>IF('Paste SD Data'!H1296="","",UPPER('Paste SD Data'!H1296))</f>
        <v/>
      </c>
      <c r="H1299" s="26" t="str">
        <f>IF('Paste SD Data'!I1296="","",IF('Paste SD Data'!I1296="M","BOY","GIRL"))</f>
        <v/>
      </c>
      <c r="I1299" s="28" t="str">
        <f>IF('Paste SD Data'!J1296="","",'Paste SD Data'!J1296)</f>
        <v/>
      </c>
      <c r="J1299" s="34">
        <f t="shared" si="20"/>
        <v>1725</v>
      </c>
      <c r="K1299" s="29" t="str">
        <f>IF('Paste SD Data'!O1296="","",'Paste SD Data'!O1296)</f>
        <v/>
      </c>
    </row>
    <row r="1300" spans="1:11" ht="30" customHeight="1" x14ac:dyDescent="0.25">
      <c r="A1300" s="25" t="str">
        <f>IF(Table1[[#This Row],[Name of Student]]="","",ROWS($A$1:A1296))</f>
        <v/>
      </c>
      <c r="B1300" s="26" t="str">
        <f>IF('Paste SD Data'!A1297="","",'Paste SD Data'!A1297)</f>
        <v/>
      </c>
      <c r="C1300" s="26" t="str">
        <f>IF('Paste SD Data'!B1297="","",'Paste SD Data'!B1297)</f>
        <v/>
      </c>
      <c r="D1300" s="26" t="str">
        <f>IF('Paste SD Data'!C1297="","",'Paste SD Data'!C1297)</f>
        <v/>
      </c>
      <c r="E1300" s="27" t="str">
        <f>IF('Paste SD Data'!E1297="","",UPPER('Paste SD Data'!E1297))</f>
        <v/>
      </c>
      <c r="F1300" s="27" t="str">
        <f>IF('Paste SD Data'!G1297="","",UPPER('Paste SD Data'!G1297))</f>
        <v/>
      </c>
      <c r="G1300" s="27" t="str">
        <f>IF('Paste SD Data'!H1297="","",UPPER('Paste SD Data'!H1297))</f>
        <v/>
      </c>
      <c r="H1300" s="26" t="str">
        <f>IF('Paste SD Data'!I1297="","",IF('Paste SD Data'!I1297="M","BOY","GIRL"))</f>
        <v/>
      </c>
      <c r="I1300" s="28" t="str">
        <f>IF('Paste SD Data'!J1297="","",'Paste SD Data'!J1297)</f>
        <v/>
      </c>
      <c r="J1300" s="34">
        <f t="shared" si="20"/>
        <v>1726</v>
      </c>
      <c r="K1300" s="29" t="str">
        <f>IF('Paste SD Data'!O1297="","",'Paste SD Data'!O1297)</f>
        <v/>
      </c>
    </row>
    <row r="1301" spans="1:11" ht="30" customHeight="1" x14ac:dyDescent="0.25">
      <c r="A1301" s="25" t="str">
        <f>IF(Table1[[#This Row],[Name of Student]]="","",ROWS($A$1:A1297))</f>
        <v/>
      </c>
      <c r="B1301" s="26" t="str">
        <f>IF('Paste SD Data'!A1298="","",'Paste SD Data'!A1298)</f>
        <v/>
      </c>
      <c r="C1301" s="26" t="str">
        <f>IF('Paste SD Data'!B1298="","",'Paste SD Data'!B1298)</f>
        <v/>
      </c>
      <c r="D1301" s="26" t="str">
        <f>IF('Paste SD Data'!C1298="","",'Paste SD Data'!C1298)</f>
        <v/>
      </c>
      <c r="E1301" s="27" t="str">
        <f>IF('Paste SD Data'!E1298="","",UPPER('Paste SD Data'!E1298))</f>
        <v/>
      </c>
      <c r="F1301" s="27" t="str">
        <f>IF('Paste SD Data'!G1298="","",UPPER('Paste SD Data'!G1298))</f>
        <v/>
      </c>
      <c r="G1301" s="27" t="str">
        <f>IF('Paste SD Data'!H1298="","",UPPER('Paste SD Data'!H1298))</f>
        <v/>
      </c>
      <c r="H1301" s="26" t="str">
        <f>IF('Paste SD Data'!I1298="","",IF('Paste SD Data'!I1298="M","BOY","GIRL"))</f>
        <v/>
      </c>
      <c r="I1301" s="28" t="str">
        <f>IF('Paste SD Data'!J1298="","",'Paste SD Data'!J1298)</f>
        <v/>
      </c>
      <c r="J1301" s="34">
        <f t="shared" si="20"/>
        <v>1727</v>
      </c>
      <c r="K1301" s="29" t="str">
        <f>IF('Paste SD Data'!O1298="","",'Paste SD Data'!O1298)</f>
        <v/>
      </c>
    </row>
    <row r="1302" spans="1:11" ht="30" customHeight="1" x14ac:dyDescent="0.25">
      <c r="A1302" s="25" t="str">
        <f>IF(Table1[[#This Row],[Name of Student]]="","",ROWS($A$1:A1298))</f>
        <v/>
      </c>
      <c r="B1302" s="26" t="str">
        <f>IF('Paste SD Data'!A1299="","",'Paste SD Data'!A1299)</f>
        <v/>
      </c>
      <c r="C1302" s="26" t="str">
        <f>IF('Paste SD Data'!B1299="","",'Paste SD Data'!B1299)</f>
        <v/>
      </c>
      <c r="D1302" s="26" t="str">
        <f>IF('Paste SD Data'!C1299="","",'Paste SD Data'!C1299)</f>
        <v/>
      </c>
      <c r="E1302" s="27" t="str">
        <f>IF('Paste SD Data'!E1299="","",UPPER('Paste SD Data'!E1299))</f>
        <v/>
      </c>
      <c r="F1302" s="27" t="str">
        <f>IF('Paste SD Data'!G1299="","",UPPER('Paste SD Data'!G1299))</f>
        <v/>
      </c>
      <c r="G1302" s="27" t="str">
        <f>IF('Paste SD Data'!H1299="","",UPPER('Paste SD Data'!H1299))</f>
        <v/>
      </c>
      <c r="H1302" s="26" t="str">
        <f>IF('Paste SD Data'!I1299="","",IF('Paste SD Data'!I1299="M","BOY","GIRL"))</f>
        <v/>
      </c>
      <c r="I1302" s="28" t="str">
        <f>IF('Paste SD Data'!J1299="","",'Paste SD Data'!J1299)</f>
        <v/>
      </c>
      <c r="J1302" s="34">
        <f t="shared" si="20"/>
        <v>1728</v>
      </c>
      <c r="K1302" s="29" t="str">
        <f>IF('Paste SD Data'!O1299="","",'Paste SD Data'!O1299)</f>
        <v/>
      </c>
    </row>
    <row r="1303" spans="1:11" ht="30" customHeight="1" x14ac:dyDescent="0.25">
      <c r="A1303" s="25" t="str">
        <f>IF(Table1[[#This Row],[Name of Student]]="","",ROWS($A$1:A1299))</f>
        <v/>
      </c>
      <c r="B1303" s="26" t="str">
        <f>IF('Paste SD Data'!A1300="","",'Paste SD Data'!A1300)</f>
        <v/>
      </c>
      <c r="C1303" s="26" t="str">
        <f>IF('Paste SD Data'!B1300="","",'Paste SD Data'!B1300)</f>
        <v/>
      </c>
      <c r="D1303" s="26" t="str">
        <f>IF('Paste SD Data'!C1300="","",'Paste SD Data'!C1300)</f>
        <v/>
      </c>
      <c r="E1303" s="27" t="str">
        <f>IF('Paste SD Data'!E1300="","",UPPER('Paste SD Data'!E1300))</f>
        <v/>
      </c>
      <c r="F1303" s="27" t="str">
        <f>IF('Paste SD Data'!G1300="","",UPPER('Paste SD Data'!G1300))</f>
        <v/>
      </c>
      <c r="G1303" s="27" t="str">
        <f>IF('Paste SD Data'!H1300="","",UPPER('Paste SD Data'!H1300))</f>
        <v/>
      </c>
      <c r="H1303" s="26" t="str">
        <f>IF('Paste SD Data'!I1300="","",IF('Paste SD Data'!I1300="M","BOY","GIRL"))</f>
        <v/>
      </c>
      <c r="I1303" s="28" t="str">
        <f>IF('Paste SD Data'!J1300="","",'Paste SD Data'!J1300)</f>
        <v/>
      </c>
      <c r="J1303" s="34">
        <f t="shared" si="20"/>
        <v>1729</v>
      </c>
      <c r="K1303" s="29" t="str">
        <f>IF('Paste SD Data'!O1300="","",'Paste SD Data'!O1300)</f>
        <v/>
      </c>
    </row>
    <row r="1304" spans="1:11" ht="30" customHeight="1" x14ac:dyDescent="0.25">
      <c r="A1304" s="25" t="str">
        <f>IF(Table1[[#This Row],[Name of Student]]="","",ROWS($A$1:A1300))</f>
        <v/>
      </c>
      <c r="B1304" s="26" t="str">
        <f>IF('Paste SD Data'!A1301="","",'Paste SD Data'!A1301)</f>
        <v/>
      </c>
      <c r="C1304" s="26" t="str">
        <f>IF('Paste SD Data'!B1301="","",'Paste SD Data'!B1301)</f>
        <v/>
      </c>
      <c r="D1304" s="26" t="str">
        <f>IF('Paste SD Data'!C1301="","",'Paste SD Data'!C1301)</f>
        <v/>
      </c>
      <c r="E1304" s="27" t="str">
        <f>IF('Paste SD Data'!E1301="","",UPPER('Paste SD Data'!E1301))</f>
        <v/>
      </c>
      <c r="F1304" s="27" t="str">
        <f>IF('Paste SD Data'!G1301="","",UPPER('Paste SD Data'!G1301))</f>
        <v/>
      </c>
      <c r="G1304" s="27" t="str">
        <f>IF('Paste SD Data'!H1301="","",UPPER('Paste SD Data'!H1301))</f>
        <v/>
      </c>
      <c r="H1304" s="26" t="str">
        <f>IF('Paste SD Data'!I1301="","",IF('Paste SD Data'!I1301="M","BOY","GIRL"))</f>
        <v/>
      </c>
      <c r="I1304" s="28" t="str">
        <f>IF('Paste SD Data'!J1301="","",'Paste SD Data'!J1301)</f>
        <v/>
      </c>
      <c r="J1304" s="34">
        <f t="shared" si="20"/>
        <v>1730</v>
      </c>
      <c r="K1304" s="29" t="str">
        <f>IF('Paste SD Data'!O1301="","",'Paste SD Data'!O1301)</f>
        <v/>
      </c>
    </row>
    <row r="1305" spans="1:11" ht="30" customHeight="1" x14ac:dyDescent="0.25">
      <c r="A1305" s="25" t="str">
        <f>IF(Table1[[#This Row],[Name of Student]]="","",ROWS($A$1:A1301))</f>
        <v/>
      </c>
      <c r="B1305" s="26" t="str">
        <f>IF('Paste SD Data'!A1302="","",'Paste SD Data'!A1302)</f>
        <v/>
      </c>
      <c r="C1305" s="26" t="str">
        <f>IF('Paste SD Data'!B1302="","",'Paste SD Data'!B1302)</f>
        <v/>
      </c>
      <c r="D1305" s="26" t="str">
        <f>IF('Paste SD Data'!C1302="","",'Paste SD Data'!C1302)</f>
        <v/>
      </c>
      <c r="E1305" s="27" t="str">
        <f>IF('Paste SD Data'!E1302="","",UPPER('Paste SD Data'!E1302))</f>
        <v/>
      </c>
      <c r="F1305" s="27" t="str">
        <f>IF('Paste SD Data'!G1302="","",UPPER('Paste SD Data'!G1302))</f>
        <v/>
      </c>
      <c r="G1305" s="27" t="str">
        <f>IF('Paste SD Data'!H1302="","",UPPER('Paste SD Data'!H1302))</f>
        <v/>
      </c>
      <c r="H1305" s="26" t="str">
        <f>IF('Paste SD Data'!I1302="","",IF('Paste SD Data'!I1302="M","BOY","GIRL"))</f>
        <v/>
      </c>
      <c r="I1305" s="28" t="str">
        <f>IF('Paste SD Data'!J1302="","",'Paste SD Data'!J1302)</f>
        <v/>
      </c>
      <c r="J1305" s="34">
        <f t="shared" si="20"/>
        <v>1731</v>
      </c>
      <c r="K1305" s="29" t="str">
        <f>IF('Paste SD Data'!O1302="","",'Paste SD Data'!O1302)</f>
        <v/>
      </c>
    </row>
    <row r="1306" spans="1:11" ht="30" customHeight="1" x14ac:dyDescent="0.25">
      <c r="A1306" s="25" t="str">
        <f>IF(Table1[[#This Row],[Name of Student]]="","",ROWS($A$1:A1302))</f>
        <v/>
      </c>
      <c r="B1306" s="26" t="str">
        <f>IF('Paste SD Data'!A1303="","",'Paste SD Data'!A1303)</f>
        <v/>
      </c>
      <c r="C1306" s="26" t="str">
        <f>IF('Paste SD Data'!B1303="","",'Paste SD Data'!B1303)</f>
        <v/>
      </c>
      <c r="D1306" s="26" t="str">
        <f>IF('Paste SD Data'!C1303="","",'Paste SD Data'!C1303)</f>
        <v/>
      </c>
      <c r="E1306" s="27" t="str">
        <f>IF('Paste SD Data'!E1303="","",UPPER('Paste SD Data'!E1303))</f>
        <v/>
      </c>
      <c r="F1306" s="27" t="str">
        <f>IF('Paste SD Data'!G1303="","",UPPER('Paste SD Data'!G1303))</f>
        <v/>
      </c>
      <c r="G1306" s="27" t="str">
        <f>IF('Paste SD Data'!H1303="","",UPPER('Paste SD Data'!H1303))</f>
        <v/>
      </c>
      <c r="H1306" s="26" t="str">
        <f>IF('Paste SD Data'!I1303="","",IF('Paste SD Data'!I1303="M","BOY","GIRL"))</f>
        <v/>
      </c>
      <c r="I1306" s="28" t="str">
        <f>IF('Paste SD Data'!J1303="","",'Paste SD Data'!J1303)</f>
        <v/>
      </c>
      <c r="J1306" s="34">
        <f t="shared" si="20"/>
        <v>1732</v>
      </c>
      <c r="K1306" s="29" t="str">
        <f>IF('Paste SD Data'!O1303="","",'Paste SD Data'!O1303)</f>
        <v/>
      </c>
    </row>
    <row r="1307" spans="1:11" ht="30" customHeight="1" x14ac:dyDescent="0.25">
      <c r="A1307" s="25" t="str">
        <f>IF(Table1[[#This Row],[Name of Student]]="","",ROWS($A$1:A1303))</f>
        <v/>
      </c>
      <c r="B1307" s="26" t="str">
        <f>IF('Paste SD Data'!A1304="","",'Paste SD Data'!A1304)</f>
        <v/>
      </c>
      <c r="C1307" s="26" t="str">
        <f>IF('Paste SD Data'!B1304="","",'Paste SD Data'!B1304)</f>
        <v/>
      </c>
      <c r="D1307" s="26" t="str">
        <f>IF('Paste SD Data'!C1304="","",'Paste SD Data'!C1304)</f>
        <v/>
      </c>
      <c r="E1307" s="27" t="str">
        <f>IF('Paste SD Data'!E1304="","",UPPER('Paste SD Data'!E1304))</f>
        <v/>
      </c>
      <c r="F1307" s="27" t="str">
        <f>IF('Paste SD Data'!G1304="","",UPPER('Paste SD Data'!G1304))</f>
        <v/>
      </c>
      <c r="G1307" s="27" t="str">
        <f>IF('Paste SD Data'!H1304="","",UPPER('Paste SD Data'!H1304))</f>
        <v/>
      </c>
      <c r="H1307" s="26" t="str">
        <f>IF('Paste SD Data'!I1304="","",IF('Paste SD Data'!I1304="M","BOY","GIRL"))</f>
        <v/>
      </c>
      <c r="I1307" s="28" t="str">
        <f>IF('Paste SD Data'!J1304="","",'Paste SD Data'!J1304)</f>
        <v/>
      </c>
      <c r="J1307" s="34">
        <f t="shared" si="20"/>
        <v>1733</v>
      </c>
      <c r="K1307" s="29" t="str">
        <f>IF('Paste SD Data'!O1304="","",'Paste SD Data'!O1304)</f>
        <v/>
      </c>
    </row>
    <row r="1308" spans="1:11" ht="30" customHeight="1" x14ac:dyDescent="0.25">
      <c r="A1308" s="25" t="str">
        <f>IF(Table1[[#This Row],[Name of Student]]="","",ROWS($A$1:A1304))</f>
        <v/>
      </c>
      <c r="B1308" s="26" t="str">
        <f>IF('Paste SD Data'!A1305="","",'Paste SD Data'!A1305)</f>
        <v/>
      </c>
      <c r="C1308" s="26" t="str">
        <f>IF('Paste SD Data'!B1305="","",'Paste SD Data'!B1305)</f>
        <v/>
      </c>
      <c r="D1308" s="26" t="str">
        <f>IF('Paste SD Data'!C1305="","",'Paste SD Data'!C1305)</f>
        <v/>
      </c>
      <c r="E1308" s="27" t="str">
        <f>IF('Paste SD Data'!E1305="","",UPPER('Paste SD Data'!E1305))</f>
        <v/>
      </c>
      <c r="F1308" s="27" t="str">
        <f>IF('Paste SD Data'!G1305="","",UPPER('Paste SD Data'!G1305))</f>
        <v/>
      </c>
      <c r="G1308" s="27" t="str">
        <f>IF('Paste SD Data'!H1305="","",UPPER('Paste SD Data'!H1305))</f>
        <v/>
      </c>
      <c r="H1308" s="26" t="str">
        <f>IF('Paste SD Data'!I1305="","",IF('Paste SD Data'!I1305="M","BOY","GIRL"))</f>
        <v/>
      </c>
      <c r="I1308" s="28" t="str">
        <f>IF('Paste SD Data'!J1305="","",'Paste SD Data'!J1305)</f>
        <v/>
      </c>
      <c r="J1308" s="34">
        <f t="shared" si="20"/>
        <v>1734</v>
      </c>
      <c r="K1308" s="29" t="str">
        <f>IF('Paste SD Data'!O1305="","",'Paste SD Data'!O1305)</f>
        <v/>
      </c>
    </row>
    <row r="1309" spans="1:11" ht="30" customHeight="1" x14ac:dyDescent="0.25">
      <c r="A1309" s="25" t="str">
        <f>IF(Table1[[#This Row],[Name of Student]]="","",ROWS($A$1:A1305))</f>
        <v/>
      </c>
      <c r="B1309" s="26" t="str">
        <f>IF('Paste SD Data'!A1306="","",'Paste SD Data'!A1306)</f>
        <v/>
      </c>
      <c r="C1309" s="26" t="str">
        <f>IF('Paste SD Data'!B1306="","",'Paste SD Data'!B1306)</f>
        <v/>
      </c>
      <c r="D1309" s="26" t="str">
        <f>IF('Paste SD Data'!C1306="","",'Paste SD Data'!C1306)</f>
        <v/>
      </c>
      <c r="E1309" s="27" t="str">
        <f>IF('Paste SD Data'!E1306="","",UPPER('Paste SD Data'!E1306))</f>
        <v/>
      </c>
      <c r="F1309" s="27" t="str">
        <f>IF('Paste SD Data'!G1306="","",UPPER('Paste SD Data'!G1306))</f>
        <v/>
      </c>
      <c r="G1309" s="27" t="str">
        <f>IF('Paste SD Data'!H1306="","",UPPER('Paste SD Data'!H1306))</f>
        <v/>
      </c>
      <c r="H1309" s="26" t="str">
        <f>IF('Paste SD Data'!I1306="","",IF('Paste SD Data'!I1306="M","BOY","GIRL"))</f>
        <v/>
      </c>
      <c r="I1309" s="28" t="str">
        <f>IF('Paste SD Data'!J1306="","",'Paste SD Data'!J1306)</f>
        <v/>
      </c>
      <c r="J1309" s="34">
        <f t="shared" si="20"/>
        <v>1735</v>
      </c>
      <c r="K1309" s="29" t="str">
        <f>IF('Paste SD Data'!O1306="","",'Paste SD Data'!O1306)</f>
        <v/>
      </c>
    </row>
    <row r="1310" spans="1:11" ht="30" customHeight="1" x14ac:dyDescent="0.25">
      <c r="A1310" s="25" t="str">
        <f>IF(Table1[[#This Row],[Name of Student]]="","",ROWS($A$1:A1306))</f>
        <v/>
      </c>
      <c r="B1310" s="26" t="str">
        <f>IF('Paste SD Data'!A1307="","",'Paste SD Data'!A1307)</f>
        <v/>
      </c>
      <c r="C1310" s="26" t="str">
        <f>IF('Paste SD Data'!B1307="","",'Paste SD Data'!B1307)</f>
        <v/>
      </c>
      <c r="D1310" s="26" t="str">
        <f>IF('Paste SD Data'!C1307="","",'Paste SD Data'!C1307)</f>
        <v/>
      </c>
      <c r="E1310" s="27" t="str">
        <f>IF('Paste SD Data'!E1307="","",UPPER('Paste SD Data'!E1307))</f>
        <v/>
      </c>
      <c r="F1310" s="27" t="str">
        <f>IF('Paste SD Data'!G1307="","",UPPER('Paste SD Data'!G1307))</f>
        <v/>
      </c>
      <c r="G1310" s="27" t="str">
        <f>IF('Paste SD Data'!H1307="","",UPPER('Paste SD Data'!H1307))</f>
        <v/>
      </c>
      <c r="H1310" s="26" t="str">
        <f>IF('Paste SD Data'!I1307="","",IF('Paste SD Data'!I1307="M","BOY","GIRL"))</f>
        <v/>
      </c>
      <c r="I1310" s="28" t="str">
        <f>IF('Paste SD Data'!J1307="","",'Paste SD Data'!J1307)</f>
        <v/>
      </c>
      <c r="J1310" s="34">
        <f t="shared" si="20"/>
        <v>1736</v>
      </c>
      <c r="K1310" s="29" t="str">
        <f>IF('Paste SD Data'!O1307="","",'Paste SD Data'!O1307)</f>
        <v/>
      </c>
    </row>
    <row r="1311" spans="1:11" ht="30" customHeight="1" x14ac:dyDescent="0.25">
      <c r="A1311" s="25" t="str">
        <f>IF(Table1[[#This Row],[Name of Student]]="","",ROWS($A$1:A1307))</f>
        <v/>
      </c>
      <c r="B1311" s="26" t="str">
        <f>IF('Paste SD Data'!A1308="","",'Paste SD Data'!A1308)</f>
        <v/>
      </c>
      <c r="C1311" s="26" t="str">
        <f>IF('Paste SD Data'!B1308="","",'Paste SD Data'!B1308)</f>
        <v/>
      </c>
      <c r="D1311" s="26" t="str">
        <f>IF('Paste SD Data'!C1308="","",'Paste SD Data'!C1308)</f>
        <v/>
      </c>
      <c r="E1311" s="27" t="str">
        <f>IF('Paste SD Data'!E1308="","",UPPER('Paste SD Data'!E1308))</f>
        <v/>
      </c>
      <c r="F1311" s="27" t="str">
        <f>IF('Paste SD Data'!G1308="","",UPPER('Paste SD Data'!G1308))</f>
        <v/>
      </c>
      <c r="G1311" s="27" t="str">
        <f>IF('Paste SD Data'!H1308="","",UPPER('Paste SD Data'!H1308))</f>
        <v/>
      </c>
      <c r="H1311" s="26" t="str">
        <f>IF('Paste SD Data'!I1308="","",IF('Paste SD Data'!I1308="M","BOY","GIRL"))</f>
        <v/>
      </c>
      <c r="I1311" s="28" t="str">
        <f>IF('Paste SD Data'!J1308="","",'Paste SD Data'!J1308)</f>
        <v/>
      </c>
      <c r="J1311" s="34">
        <f t="shared" si="20"/>
        <v>1737</v>
      </c>
      <c r="K1311" s="29" t="str">
        <f>IF('Paste SD Data'!O1308="","",'Paste SD Data'!O1308)</f>
        <v/>
      </c>
    </row>
    <row r="1312" spans="1:11" ht="30" customHeight="1" x14ac:dyDescent="0.25">
      <c r="A1312" s="25" t="str">
        <f>IF(Table1[[#This Row],[Name of Student]]="","",ROWS($A$1:A1308))</f>
        <v/>
      </c>
      <c r="B1312" s="26" t="str">
        <f>IF('Paste SD Data'!A1309="","",'Paste SD Data'!A1309)</f>
        <v/>
      </c>
      <c r="C1312" s="26" t="str">
        <f>IF('Paste SD Data'!B1309="","",'Paste SD Data'!B1309)</f>
        <v/>
      </c>
      <c r="D1312" s="26" t="str">
        <f>IF('Paste SD Data'!C1309="","",'Paste SD Data'!C1309)</f>
        <v/>
      </c>
      <c r="E1312" s="27" t="str">
        <f>IF('Paste SD Data'!E1309="","",UPPER('Paste SD Data'!E1309))</f>
        <v/>
      </c>
      <c r="F1312" s="27" t="str">
        <f>IF('Paste SD Data'!G1309="","",UPPER('Paste SD Data'!G1309))</f>
        <v/>
      </c>
      <c r="G1312" s="27" t="str">
        <f>IF('Paste SD Data'!H1309="","",UPPER('Paste SD Data'!H1309))</f>
        <v/>
      </c>
      <c r="H1312" s="26" t="str">
        <f>IF('Paste SD Data'!I1309="","",IF('Paste SD Data'!I1309="M","BOY","GIRL"))</f>
        <v/>
      </c>
      <c r="I1312" s="28" t="str">
        <f>IF('Paste SD Data'!J1309="","",'Paste SD Data'!J1309)</f>
        <v/>
      </c>
      <c r="J1312" s="34">
        <f t="shared" si="20"/>
        <v>1738</v>
      </c>
      <c r="K1312" s="29" t="str">
        <f>IF('Paste SD Data'!O1309="","",'Paste SD Data'!O1309)</f>
        <v/>
      </c>
    </row>
    <row r="1313" spans="1:11" ht="30" customHeight="1" x14ac:dyDescent="0.25">
      <c r="A1313" s="25" t="str">
        <f>IF(Table1[[#This Row],[Name of Student]]="","",ROWS($A$1:A1309))</f>
        <v/>
      </c>
      <c r="B1313" s="26" t="str">
        <f>IF('Paste SD Data'!A1310="","",'Paste SD Data'!A1310)</f>
        <v/>
      </c>
      <c r="C1313" s="26" t="str">
        <f>IF('Paste SD Data'!B1310="","",'Paste SD Data'!B1310)</f>
        <v/>
      </c>
      <c r="D1313" s="26" t="str">
        <f>IF('Paste SD Data'!C1310="","",'Paste SD Data'!C1310)</f>
        <v/>
      </c>
      <c r="E1313" s="27" t="str">
        <f>IF('Paste SD Data'!E1310="","",UPPER('Paste SD Data'!E1310))</f>
        <v/>
      </c>
      <c r="F1313" s="27" t="str">
        <f>IF('Paste SD Data'!G1310="","",UPPER('Paste SD Data'!G1310))</f>
        <v/>
      </c>
      <c r="G1313" s="27" t="str">
        <f>IF('Paste SD Data'!H1310="","",UPPER('Paste SD Data'!H1310))</f>
        <v/>
      </c>
      <c r="H1313" s="26" t="str">
        <f>IF('Paste SD Data'!I1310="","",IF('Paste SD Data'!I1310="M","BOY","GIRL"))</f>
        <v/>
      </c>
      <c r="I1313" s="28" t="str">
        <f>IF('Paste SD Data'!J1310="","",'Paste SD Data'!J1310)</f>
        <v/>
      </c>
      <c r="J1313" s="34">
        <f t="shared" si="20"/>
        <v>1739</v>
      </c>
      <c r="K1313" s="29" t="str">
        <f>IF('Paste SD Data'!O1310="","",'Paste SD Data'!O1310)</f>
        <v/>
      </c>
    </row>
    <row r="1314" spans="1:11" ht="30" customHeight="1" x14ac:dyDescent="0.25">
      <c r="A1314" s="25" t="str">
        <f>IF(Table1[[#This Row],[Name of Student]]="","",ROWS($A$1:A1310))</f>
        <v/>
      </c>
      <c r="B1314" s="26" t="str">
        <f>IF('Paste SD Data'!A1311="","",'Paste SD Data'!A1311)</f>
        <v/>
      </c>
      <c r="C1314" s="26" t="str">
        <f>IF('Paste SD Data'!B1311="","",'Paste SD Data'!B1311)</f>
        <v/>
      </c>
      <c r="D1314" s="26" t="str">
        <f>IF('Paste SD Data'!C1311="","",'Paste SD Data'!C1311)</f>
        <v/>
      </c>
      <c r="E1314" s="27" t="str">
        <f>IF('Paste SD Data'!E1311="","",UPPER('Paste SD Data'!E1311))</f>
        <v/>
      </c>
      <c r="F1314" s="27" t="str">
        <f>IF('Paste SD Data'!G1311="","",UPPER('Paste SD Data'!G1311))</f>
        <v/>
      </c>
      <c r="G1314" s="27" t="str">
        <f>IF('Paste SD Data'!H1311="","",UPPER('Paste SD Data'!H1311))</f>
        <v/>
      </c>
      <c r="H1314" s="26" t="str">
        <f>IF('Paste SD Data'!I1311="","",IF('Paste SD Data'!I1311="M","BOY","GIRL"))</f>
        <v/>
      </c>
      <c r="I1314" s="28" t="str">
        <f>IF('Paste SD Data'!J1311="","",'Paste SD Data'!J1311)</f>
        <v/>
      </c>
      <c r="J1314" s="34">
        <f t="shared" si="20"/>
        <v>1740</v>
      </c>
      <c r="K1314" s="29" t="str">
        <f>IF('Paste SD Data'!O1311="","",'Paste SD Data'!O1311)</f>
        <v/>
      </c>
    </row>
    <row r="1315" spans="1:11" ht="30" customHeight="1" x14ac:dyDescent="0.25">
      <c r="A1315" s="25" t="str">
        <f>IF(Table1[[#This Row],[Name of Student]]="","",ROWS($A$1:A1311))</f>
        <v/>
      </c>
      <c r="B1315" s="26" t="str">
        <f>IF('Paste SD Data'!A1312="","",'Paste SD Data'!A1312)</f>
        <v/>
      </c>
      <c r="C1315" s="26" t="str">
        <f>IF('Paste SD Data'!B1312="","",'Paste SD Data'!B1312)</f>
        <v/>
      </c>
      <c r="D1315" s="26" t="str">
        <f>IF('Paste SD Data'!C1312="","",'Paste SD Data'!C1312)</f>
        <v/>
      </c>
      <c r="E1315" s="27" t="str">
        <f>IF('Paste SD Data'!E1312="","",UPPER('Paste SD Data'!E1312))</f>
        <v/>
      </c>
      <c r="F1315" s="27" t="str">
        <f>IF('Paste SD Data'!G1312="","",UPPER('Paste SD Data'!G1312))</f>
        <v/>
      </c>
      <c r="G1315" s="27" t="str">
        <f>IF('Paste SD Data'!H1312="","",UPPER('Paste SD Data'!H1312))</f>
        <v/>
      </c>
      <c r="H1315" s="26" t="str">
        <f>IF('Paste SD Data'!I1312="","",IF('Paste SD Data'!I1312="M","BOY","GIRL"))</f>
        <v/>
      </c>
      <c r="I1315" s="28" t="str">
        <f>IF('Paste SD Data'!J1312="","",'Paste SD Data'!J1312)</f>
        <v/>
      </c>
      <c r="J1315" s="34">
        <f t="shared" si="20"/>
        <v>1741</v>
      </c>
      <c r="K1315" s="29" t="str">
        <f>IF('Paste SD Data'!O1312="","",'Paste SD Data'!O1312)</f>
        <v/>
      </c>
    </row>
    <row r="1316" spans="1:11" ht="30" customHeight="1" x14ac:dyDescent="0.25">
      <c r="A1316" s="25" t="str">
        <f>IF(Table1[[#This Row],[Name of Student]]="","",ROWS($A$1:A1312))</f>
        <v/>
      </c>
      <c r="B1316" s="26" t="str">
        <f>IF('Paste SD Data'!A1313="","",'Paste SD Data'!A1313)</f>
        <v/>
      </c>
      <c r="C1316" s="26" t="str">
        <f>IF('Paste SD Data'!B1313="","",'Paste SD Data'!B1313)</f>
        <v/>
      </c>
      <c r="D1316" s="26" t="str">
        <f>IF('Paste SD Data'!C1313="","",'Paste SD Data'!C1313)</f>
        <v/>
      </c>
      <c r="E1316" s="27" t="str">
        <f>IF('Paste SD Data'!E1313="","",UPPER('Paste SD Data'!E1313))</f>
        <v/>
      </c>
      <c r="F1316" s="27" t="str">
        <f>IF('Paste SD Data'!G1313="","",UPPER('Paste SD Data'!G1313))</f>
        <v/>
      </c>
      <c r="G1316" s="27" t="str">
        <f>IF('Paste SD Data'!H1313="","",UPPER('Paste SD Data'!H1313))</f>
        <v/>
      </c>
      <c r="H1316" s="26" t="str">
        <f>IF('Paste SD Data'!I1313="","",IF('Paste SD Data'!I1313="M","BOY","GIRL"))</f>
        <v/>
      </c>
      <c r="I1316" s="28" t="str">
        <f>IF('Paste SD Data'!J1313="","",'Paste SD Data'!J1313)</f>
        <v/>
      </c>
      <c r="J1316" s="34">
        <f t="shared" si="20"/>
        <v>1742</v>
      </c>
      <c r="K1316" s="29" t="str">
        <f>IF('Paste SD Data'!O1313="","",'Paste SD Data'!O1313)</f>
        <v/>
      </c>
    </row>
    <row r="1317" spans="1:11" ht="30" customHeight="1" x14ac:dyDescent="0.25">
      <c r="A1317" s="25" t="str">
        <f>IF(Table1[[#This Row],[Name of Student]]="","",ROWS($A$1:A1313))</f>
        <v/>
      </c>
      <c r="B1317" s="26" t="str">
        <f>IF('Paste SD Data'!A1314="","",'Paste SD Data'!A1314)</f>
        <v/>
      </c>
      <c r="C1317" s="26" t="str">
        <f>IF('Paste SD Data'!B1314="","",'Paste SD Data'!B1314)</f>
        <v/>
      </c>
      <c r="D1317" s="26" t="str">
        <f>IF('Paste SD Data'!C1314="","",'Paste SD Data'!C1314)</f>
        <v/>
      </c>
      <c r="E1317" s="27" t="str">
        <f>IF('Paste SD Data'!E1314="","",UPPER('Paste SD Data'!E1314))</f>
        <v/>
      </c>
      <c r="F1317" s="27" t="str">
        <f>IF('Paste SD Data'!G1314="","",UPPER('Paste SD Data'!G1314))</f>
        <v/>
      </c>
      <c r="G1317" s="27" t="str">
        <f>IF('Paste SD Data'!H1314="","",UPPER('Paste SD Data'!H1314))</f>
        <v/>
      </c>
      <c r="H1317" s="26" t="str">
        <f>IF('Paste SD Data'!I1314="","",IF('Paste SD Data'!I1314="M","BOY","GIRL"))</f>
        <v/>
      </c>
      <c r="I1317" s="28" t="str">
        <f>IF('Paste SD Data'!J1314="","",'Paste SD Data'!J1314)</f>
        <v/>
      </c>
      <c r="J1317" s="34">
        <f t="shared" si="20"/>
        <v>1743</v>
      </c>
      <c r="K1317" s="29" t="str">
        <f>IF('Paste SD Data'!O1314="","",'Paste SD Data'!O1314)</f>
        <v/>
      </c>
    </row>
    <row r="1318" spans="1:11" ht="30" customHeight="1" x14ac:dyDescent="0.25">
      <c r="A1318" s="25" t="str">
        <f>IF(Table1[[#This Row],[Name of Student]]="","",ROWS($A$1:A1314))</f>
        <v/>
      </c>
      <c r="B1318" s="26" t="str">
        <f>IF('Paste SD Data'!A1315="","",'Paste SD Data'!A1315)</f>
        <v/>
      </c>
      <c r="C1318" s="26" t="str">
        <f>IF('Paste SD Data'!B1315="","",'Paste SD Data'!B1315)</f>
        <v/>
      </c>
      <c r="D1318" s="26" t="str">
        <f>IF('Paste SD Data'!C1315="","",'Paste SD Data'!C1315)</f>
        <v/>
      </c>
      <c r="E1318" s="27" t="str">
        <f>IF('Paste SD Data'!E1315="","",UPPER('Paste SD Data'!E1315))</f>
        <v/>
      </c>
      <c r="F1318" s="27" t="str">
        <f>IF('Paste SD Data'!G1315="","",UPPER('Paste SD Data'!G1315))</f>
        <v/>
      </c>
      <c r="G1318" s="27" t="str">
        <f>IF('Paste SD Data'!H1315="","",UPPER('Paste SD Data'!H1315))</f>
        <v/>
      </c>
      <c r="H1318" s="26" t="str">
        <f>IF('Paste SD Data'!I1315="","",IF('Paste SD Data'!I1315="M","BOY","GIRL"))</f>
        <v/>
      </c>
      <c r="I1318" s="28" t="str">
        <f>IF('Paste SD Data'!J1315="","",'Paste SD Data'!J1315)</f>
        <v/>
      </c>
      <c r="J1318" s="34">
        <f t="shared" si="20"/>
        <v>1744</v>
      </c>
      <c r="K1318" s="29" t="str">
        <f>IF('Paste SD Data'!O1315="","",'Paste SD Data'!O1315)</f>
        <v/>
      </c>
    </row>
    <row r="1319" spans="1:11" ht="30" customHeight="1" x14ac:dyDescent="0.25">
      <c r="A1319" s="25" t="str">
        <f>IF(Table1[[#This Row],[Name of Student]]="","",ROWS($A$1:A1315))</f>
        <v/>
      </c>
      <c r="B1319" s="26" t="str">
        <f>IF('Paste SD Data'!A1316="","",'Paste SD Data'!A1316)</f>
        <v/>
      </c>
      <c r="C1319" s="26" t="str">
        <f>IF('Paste SD Data'!B1316="","",'Paste SD Data'!B1316)</f>
        <v/>
      </c>
      <c r="D1319" s="26" t="str">
        <f>IF('Paste SD Data'!C1316="","",'Paste SD Data'!C1316)</f>
        <v/>
      </c>
      <c r="E1319" s="27" t="str">
        <f>IF('Paste SD Data'!E1316="","",UPPER('Paste SD Data'!E1316))</f>
        <v/>
      </c>
      <c r="F1319" s="27" t="str">
        <f>IF('Paste SD Data'!G1316="","",UPPER('Paste SD Data'!G1316))</f>
        <v/>
      </c>
      <c r="G1319" s="27" t="str">
        <f>IF('Paste SD Data'!H1316="","",UPPER('Paste SD Data'!H1316))</f>
        <v/>
      </c>
      <c r="H1319" s="26" t="str">
        <f>IF('Paste SD Data'!I1316="","",IF('Paste SD Data'!I1316="M","BOY","GIRL"))</f>
        <v/>
      </c>
      <c r="I1319" s="28" t="str">
        <f>IF('Paste SD Data'!J1316="","",'Paste SD Data'!J1316)</f>
        <v/>
      </c>
      <c r="J1319" s="34">
        <f t="shared" si="20"/>
        <v>1745</v>
      </c>
      <c r="K1319" s="29" t="str">
        <f>IF('Paste SD Data'!O1316="","",'Paste SD Data'!O1316)</f>
        <v/>
      </c>
    </row>
    <row r="1320" spans="1:11" ht="30" customHeight="1" x14ac:dyDescent="0.25">
      <c r="A1320" s="25" t="str">
        <f>IF(Table1[[#This Row],[Name of Student]]="","",ROWS($A$1:A1316))</f>
        <v/>
      </c>
      <c r="B1320" s="26" t="str">
        <f>IF('Paste SD Data'!A1317="","",'Paste SD Data'!A1317)</f>
        <v/>
      </c>
      <c r="C1320" s="26" t="str">
        <f>IF('Paste SD Data'!B1317="","",'Paste SD Data'!B1317)</f>
        <v/>
      </c>
      <c r="D1320" s="26" t="str">
        <f>IF('Paste SD Data'!C1317="","",'Paste SD Data'!C1317)</f>
        <v/>
      </c>
      <c r="E1320" s="27" t="str">
        <f>IF('Paste SD Data'!E1317="","",UPPER('Paste SD Data'!E1317))</f>
        <v/>
      </c>
      <c r="F1320" s="27" t="str">
        <f>IF('Paste SD Data'!G1317="","",UPPER('Paste SD Data'!G1317))</f>
        <v/>
      </c>
      <c r="G1320" s="27" t="str">
        <f>IF('Paste SD Data'!H1317="","",UPPER('Paste SD Data'!H1317))</f>
        <v/>
      </c>
      <c r="H1320" s="26" t="str">
        <f>IF('Paste SD Data'!I1317="","",IF('Paste SD Data'!I1317="M","BOY","GIRL"))</f>
        <v/>
      </c>
      <c r="I1320" s="28" t="str">
        <f>IF('Paste SD Data'!J1317="","",'Paste SD Data'!J1317)</f>
        <v/>
      </c>
      <c r="J1320" s="34">
        <f t="shared" si="20"/>
        <v>1746</v>
      </c>
      <c r="K1320" s="29" t="str">
        <f>IF('Paste SD Data'!O1317="","",'Paste SD Data'!O1317)</f>
        <v/>
      </c>
    </row>
    <row r="1321" spans="1:11" ht="30" customHeight="1" x14ac:dyDescent="0.25">
      <c r="A1321" s="25" t="str">
        <f>IF(Table1[[#This Row],[Name of Student]]="","",ROWS($A$1:A1317))</f>
        <v/>
      </c>
      <c r="B1321" s="26" t="str">
        <f>IF('Paste SD Data'!A1318="","",'Paste SD Data'!A1318)</f>
        <v/>
      </c>
      <c r="C1321" s="26" t="str">
        <f>IF('Paste SD Data'!B1318="","",'Paste SD Data'!B1318)</f>
        <v/>
      </c>
      <c r="D1321" s="26" t="str">
        <f>IF('Paste SD Data'!C1318="","",'Paste SD Data'!C1318)</f>
        <v/>
      </c>
      <c r="E1321" s="27" t="str">
        <f>IF('Paste SD Data'!E1318="","",UPPER('Paste SD Data'!E1318))</f>
        <v/>
      </c>
      <c r="F1321" s="27" t="str">
        <f>IF('Paste SD Data'!G1318="","",UPPER('Paste SD Data'!G1318))</f>
        <v/>
      </c>
      <c r="G1321" s="27" t="str">
        <f>IF('Paste SD Data'!H1318="","",UPPER('Paste SD Data'!H1318))</f>
        <v/>
      </c>
      <c r="H1321" s="26" t="str">
        <f>IF('Paste SD Data'!I1318="","",IF('Paste SD Data'!I1318="M","BOY","GIRL"))</f>
        <v/>
      </c>
      <c r="I1321" s="28" t="str">
        <f>IF('Paste SD Data'!J1318="","",'Paste SD Data'!J1318)</f>
        <v/>
      </c>
      <c r="J1321" s="34">
        <f t="shared" si="20"/>
        <v>1747</v>
      </c>
      <c r="K1321" s="29" t="str">
        <f>IF('Paste SD Data'!O1318="","",'Paste SD Data'!O1318)</f>
        <v/>
      </c>
    </row>
    <row r="1322" spans="1:11" ht="30" customHeight="1" x14ac:dyDescent="0.25">
      <c r="A1322" s="25" t="str">
        <f>IF(Table1[[#This Row],[Name of Student]]="","",ROWS($A$1:A1318))</f>
        <v/>
      </c>
      <c r="B1322" s="26" t="str">
        <f>IF('Paste SD Data'!A1319="","",'Paste SD Data'!A1319)</f>
        <v/>
      </c>
      <c r="C1322" s="26" t="str">
        <f>IF('Paste SD Data'!B1319="","",'Paste SD Data'!B1319)</f>
        <v/>
      </c>
      <c r="D1322" s="26" t="str">
        <f>IF('Paste SD Data'!C1319="","",'Paste SD Data'!C1319)</f>
        <v/>
      </c>
      <c r="E1322" s="27" t="str">
        <f>IF('Paste SD Data'!E1319="","",UPPER('Paste SD Data'!E1319))</f>
        <v/>
      </c>
      <c r="F1322" s="27" t="str">
        <f>IF('Paste SD Data'!G1319="","",UPPER('Paste SD Data'!G1319))</f>
        <v/>
      </c>
      <c r="G1322" s="27" t="str">
        <f>IF('Paste SD Data'!H1319="","",UPPER('Paste SD Data'!H1319))</f>
        <v/>
      </c>
      <c r="H1322" s="26" t="str">
        <f>IF('Paste SD Data'!I1319="","",IF('Paste SD Data'!I1319="M","BOY","GIRL"))</f>
        <v/>
      </c>
      <c r="I1322" s="28" t="str">
        <f>IF('Paste SD Data'!J1319="","",'Paste SD Data'!J1319)</f>
        <v/>
      </c>
      <c r="J1322" s="34">
        <f t="shared" si="20"/>
        <v>1748</v>
      </c>
      <c r="K1322" s="29" t="str">
        <f>IF('Paste SD Data'!O1319="","",'Paste SD Data'!O1319)</f>
        <v/>
      </c>
    </row>
    <row r="1323" spans="1:11" ht="30" customHeight="1" x14ac:dyDescent="0.25">
      <c r="A1323" s="25" t="str">
        <f>IF(Table1[[#This Row],[Name of Student]]="","",ROWS($A$1:A1319))</f>
        <v/>
      </c>
      <c r="B1323" s="26" t="str">
        <f>IF('Paste SD Data'!A1320="","",'Paste SD Data'!A1320)</f>
        <v/>
      </c>
      <c r="C1323" s="26" t="str">
        <f>IF('Paste SD Data'!B1320="","",'Paste SD Data'!B1320)</f>
        <v/>
      </c>
      <c r="D1323" s="26" t="str">
        <f>IF('Paste SD Data'!C1320="","",'Paste SD Data'!C1320)</f>
        <v/>
      </c>
      <c r="E1323" s="27" t="str">
        <f>IF('Paste SD Data'!E1320="","",UPPER('Paste SD Data'!E1320))</f>
        <v/>
      </c>
      <c r="F1323" s="27" t="str">
        <f>IF('Paste SD Data'!G1320="","",UPPER('Paste SD Data'!G1320))</f>
        <v/>
      </c>
      <c r="G1323" s="27" t="str">
        <f>IF('Paste SD Data'!H1320="","",UPPER('Paste SD Data'!H1320))</f>
        <v/>
      </c>
      <c r="H1323" s="26" t="str">
        <f>IF('Paste SD Data'!I1320="","",IF('Paste SD Data'!I1320="M","BOY","GIRL"))</f>
        <v/>
      </c>
      <c r="I1323" s="28" t="str">
        <f>IF('Paste SD Data'!J1320="","",'Paste SD Data'!J1320)</f>
        <v/>
      </c>
      <c r="J1323" s="34">
        <f t="shared" si="20"/>
        <v>1749</v>
      </c>
      <c r="K1323" s="29" t="str">
        <f>IF('Paste SD Data'!O1320="","",'Paste SD Data'!O1320)</f>
        <v/>
      </c>
    </row>
    <row r="1324" spans="1:11" ht="30" customHeight="1" x14ac:dyDescent="0.25">
      <c r="A1324" s="25" t="str">
        <f>IF(Table1[[#This Row],[Name of Student]]="","",ROWS($A$1:A1320))</f>
        <v/>
      </c>
      <c r="B1324" s="26" t="str">
        <f>IF('Paste SD Data'!A1321="","",'Paste SD Data'!A1321)</f>
        <v/>
      </c>
      <c r="C1324" s="26" t="str">
        <f>IF('Paste SD Data'!B1321="","",'Paste SD Data'!B1321)</f>
        <v/>
      </c>
      <c r="D1324" s="26" t="str">
        <f>IF('Paste SD Data'!C1321="","",'Paste SD Data'!C1321)</f>
        <v/>
      </c>
      <c r="E1324" s="27" t="str">
        <f>IF('Paste SD Data'!E1321="","",UPPER('Paste SD Data'!E1321))</f>
        <v/>
      </c>
      <c r="F1324" s="27" t="str">
        <f>IF('Paste SD Data'!G1321="","",UPPER('Paste SD Data'!G1321))</f>
        <v/>
      </c>
      <c r="G1324" s="27" t="str">
        <f>IF('Paste SD Data'!H1321="","",UPPER('Paste SD Data'!H1321))</f>
        <v/>
      </c>
      <c r="H1324" s="26" t="str">
        <f>IF('Paste SD Data'!I1321="","",IF('Paste SD Data'!I1321="M","BOY","GIRL"))</f>
        <v/>
      </c>
      <c r="I1324" s="28" t="str">
        <f>IF('Paste SD Data'!J1321="","",'Paste SD Data'!J1321)</f>
        <v/>
      </c>
      <c r="J1324" s="34">
        <f t="shared" si="20"/>
        <v>1750</v>
      </c>
      <c r="K1324" s="29" t="str">
        <f>IF('Paste SD Data'!O1321="","",'Paste SD Data'!O1321)</f>
        <v/>
      </c>
    </row>
    <row r="1325" spans="1:11" ht="30" customHeight="1" x14ac:dyDescent="0.25">
      <c r="A1325" s="25" t="str">
        <f>IF(Table1[[#This Row],[Name of Student]]="","",ROWS($A$1:A1321))</f>
        <v/>
      </c>
      <c r="B1325" s="26" t="str">
        <f>IF('Paste SD Data'!A1322="","",'Paste SD Data'!A1322)</f>
        <v/>
      </c>
      <c r="C1325" s="26" t="str">
        <f>IF('Paste SD Data'!B1322="","",'Paste SD Data'!B1322)</f>
        <v/>
      </c>
      <c r="D1325" s="26" t="str">
        <f>IF('Paste SD Data'!C1322="","",'Paste SD Data'!C1322)</f>
        <v/>
      </c>
      <c r="E1325" s="27" t="str">
        <f>IF('Paste SD Data'!E1322="","",UPPER('Paste SD Data'!E1322))</f>
        <v/>
      </c>
      <c r="F1325" s="27" t="str">
        <f>IF('Paste SD Data'!G1322="","",UPPER('Paste SD Data'!G1322))</f>
        <v/>
      </c>
      <c r="G1325" s="27" t="str">
        <f>IF('Paste SD Data'!H1322="","",UPPER('Paste SD Data'!H1322))</f>
        <v/>
      </c>
      <c r="H1325" s="26" t="str">
        <f>IF('Paste SD Data'!I1322="","",IF('Paste SD Data'!I1322="M","BOY","GIRL"))</f>
        <v/>
      </c>
      <c r="I1325" s="28" t="str">
        <f>IF('Paste SD Data'!J1322="","",'Paste SD Data'!J1322)</f>
        <v/>
      </c>
      <c r="J1325" s="34">
        <f t="shared" si="20"/>
        <v>1751</v>
      </c>
      <c r="K1325" s="29" t="str">
        <f>IF('Paste SD Data'!O1322="","",'Paste SD Data'!O1322)</f>
        <v/>
      </c>
    </row>
    <row r="1326" spans="1:11" ht="30" customHeight="1" x14ac:dyDescent="0.25">
      <c r="A1326" s="25" t="str">
        <f>IF(Table1[[#This Row],[Name of Student]]="","",ROWS($A$1:A1322))</f>
        <v/>
      </c>
      <c r="B1326" s="26" t="str">
        <f>IF('Paste SD Data'!A1323="","",'Paste SD Data'!A1323)</f>
        <v/>
      </c>
      <c r="C1326" s="26" t="str">
        <f>IF('Paste SD Data'!B1323="","",'Paste SD Data'!B1323)</f>
        <v/>
      </c>
      <c r="D1326" s="26" t="str">
        <f>IF('Paste SD Data'!C1323="","",'Paste SD Data'!C1323)</f>
        <v/>
      </c>
      <c r="E1326" s="27" t="str">
        <f>IF('Paste SD Data'!E1323="","",UPPER('Paste SD Data'!E1323))</f>
        <v/>
      </c>
      <c r="F1326" s="27" t="str">
        <f>IF('Paste SD Data'!G1323="","",UPPER('Paste SD Data'!G1323))</f>
        <v/>
      </c>
      <c r="G1326" s="27" t="str">
        <f>IF('Paste SD Data'!H1323="","",UPPER('Paste SD Data'!H1323))</f>
        <v/>
      </c>
      <c r="H1326" s="26" t="str">
        <f>IF('Paste SD Data'!I1323="","",IF('Paste SD Data'!I1323="M","BOY","GIRL"))</f>
        <v/>
      </c>
      <c r="I1326" s="28" t="str">
        <f>IF('Paste SD Data'!J1323="","",'Paste SD Data'!J1323)</f>
        <v/>
      </c>
      <c r="J1326" s="34">
        <f t="shared" si="20"/>
        <v>1752</v>
      </c>
      <c r="K1326" s="29" t="str">
        <f>IF('Paste SD Data'!O1323="","",'Paste SD Data'!O1323)</f>
        <v/>
      </c>
    </row>
    <row r="1327" spans="1:11" ht="30" customHeight="1" x14ac:dyDescent="0.25">
      <c r="A1327" s="25" t="str">
        <f>IF(Table1[[#This Row],[Name of Student]]="","",ROWS($A$1:A1323))</f>
        <v/>
      </c>
      <c r="B1327" s="26" t="str">
        <f>IF('Paste SD Data'!A1324="","",'Paste SD Data'!A1324)</f>
        <v/>
      </c>
      <c r="C1327" s="26" t="str">
        <f>IF('Paste SD Data'!B1324="","",'Paste SD Data'!B1324)</f>
        <v/>
      </c>
      <c r="D1327" s="26" t="str">
        <f>IF('Paste SD Data'!C1324="","",'Paste SD Data'!C1324)</f>
        <v/>
      </c>
      <c r="E1327" s="27" t="str">
        <f>IF('Paste SD Data'!E1324="","",UPPER('Paste SD Data'!E1324))</f>
        <v/>
      </c>
      <c r="F1327" s="27" t="str">
        <f>IF('Paste SD Data'!G1324="","",UPPER('Paste SD Data'!G1324))</f>
        <v/>
      </c>
      <c r="G1327" s="27" t="str">
        <f>IF('Paste SD Data'!H1324="","",UPPER('Paste SD Data'!H1324))</f>
        <v/>
      </c>
      <c r="H1327" s="26" t="str">
        <f>IF('Paste SD Data'!I1324="","",IF('Paste SD Data'!I1324="M","BOY","GIRL"))</f>
        <v/>
      </c>
      <c r="I1327" s="28" t="str">
        <f>IF('Paste SD Data'!J1324="","",'Paste SD Data'!J1324)</f>
        <v/>
      </c>
      <c r="J1327" s="34">
        <f t="shared" si="20"/>
        <v>1753</v>
      </c>
      <c r="K1327" s="29" t="str">
        <f>IF('Paste SD Data'!O1324="","",'Paste SD Data'!O1324)</f>
        <v/>
      </c>
    </row>
    <row r="1328" spans="1:11" ht="30" customHeight="1" x14ac:dyDescent="0.25">
      <c r="A1328" s="25" t="str">
        <f>IF(Table1[[#This Row],[Name of Student]]="","",ROWS($A$1:A1324))</f>
        <v/>
      </c>
      <c r="B1328" s="26" t="str">
        <f>IF('Paste SD Data'!A1325="","",'Paste SD Data'!A1325)</f>
        <v/>
      </c>
      <c r="C1328" s="26" t="str">
        <f>IF('Paste SD Data'!B1325="","",'Paste SD Data'!B1325)</f>
        <v/>
      </c>
      <c r="D1328" s="26" t="str">
        <f>IF('Paste SD Data'!C1325="","",'Paste SD Data'!C1325)</f>
        <v/>
      </c>
      <c r="E1328" s="27" t="str">
        <f>IF('Paste SD Data'!E1325="","",UPPER('Paste SD Data'!E1325))</f>
        <v/>
      </c>
      <c r="F1328" s="27" t="str">
        <f>IF('Paste SD Data'!G1325="","",UPPER('Paste SD Data'!G1325))</f>
        <v/>
      </c>
      <c r="G1328" s="27" t="str">
        <f>IF('Paste SD Data'!H1325="","",UPPER('Paste SD Data'!H1325))</f>
        <v/>
      </c>
      <c r="H1328" s="26" t="str">
        <f>IF('Paste SD Data'!I1325="","",IF('Paste SD Data'!I1325="M","BOY","GIRL"))</f>
        <v/>
      </c>
      <c r="I1328" s="28" t="str">
        <f>IF('Paste SD Data'!J1325="","",'Paste SD Data'!J1325)</f>
        <v/>
      </c>
      <c r="J1328" s="34">
        <f t="shared" si="20"/>
        <v>1754</v>
      </c>
      <c r="K1328" s="29" t="str">
        <f>IF('Paste SD Data'!O1325="","",'Paste SD Data'!O1325)</f>
        <v/>
      </c>
    </row>
    <row r="1329" spans="1:11" ht="30" customHeight="1" x14ac:dyDescent="0.25">
      <c r="A1329" s="25" t="str">
        <f>IF(Table1[[#This Row],[Name of Student]]="","",ROWS($A$1:A1325))</f>
        <v/>
      </c>
      <c r="B1329" s="26" t="str">
        <f>IF('Paste SD Data'!A1326="","",'Paste SD Data'!A1326)</f>
        <v/>
      </c>
      <c r="C1329" s="26" t="str">
        <f>IF('Paste SD Data'!B1326="","",'Paste SD Data'!B1326)</f>
        <v/>
      </c>
      <c r="D1329" s="26" t="str">
        <f>IF('Paste SD Data'!C1326="","",'Paste SD Data'!C1326)</f>
        <v/>
      </c>
      <c r="E1329" s="27" t="str">
        <f>IF('Paste SD Data'!E1326="","",UPPER('Paste SD Data'!E1326))</f>
        <v/>
      </c>
      <c r="F1329" s="27" t="str">
        <f>IF('Paste SD Data'!G1326="","",UPPER('Paste SD Data'!G1326))</f>
        <v/>
      </c>
      <c r="G1329" s="27" t="str">
        <f>IF('Paste SD Data'!H1326="","",UPPER('Paste SD Data'!H1326))</f>
        <v/>
      </c>
      <c r="H1329" s="26" t="str">
        <f>IF('Paste SD Data'!I1326="","",IF('Paste SD Data'!I1326="M","BOY","GIRL"))</f>
        <v/>
      </c>
      <c r="I1329" s="28" t="str">
        <f>IF('Paste SD Data'!J1326="","",'Paste SD Data'!J1326)</f>
        <v/>
      </c>
      <c r="J1329" s="34">
        <f t="shared" si="20"/>
        <v>1755</v>
      </c>
      <c r="K1329" s="29" t="str">
        <f>IF('Paste SD Data'!O1326="","",'Paste SD Data'!O1326)</f>
        <v/>
      </c>
    </row>
    <row r="1330" spans="1:11" ht="30" customHeight="1" x14ac:dyDescent="0.25">
      <c r="A1330" s="25" t="str">
        <f>IF(Table1[[#This Row],[Name of Student]]="","",ROWS($A$1:A1326))</f>
        <v/>
      </c>
      <c r="B1330" s="26" t="str">
        <f>IF('Paste SD Data'!A1327="","",'Paste SD Data'!A1327)</f>
        <v/>
      </c>
      <c r="C1330" s="26" t="str">
        <f>IF('Paste SD Data'!B1327="","",'Paste SD Data'!B1327)</f>
        <v/>
      </c>
      <c r="D1330" s="26" t="str">
        <f>IF('Paste SD Data'!C1327="","",'Paste SD Data'!C1327)</f>
        <v/>
      </c>
      <c r="E1330" s="27" t="str">
        <f>IF('Paste SD Data'!E1327="","",UPPER('Paste SD Data'!E1327))</f>
        <v/>
      </c>
      <c r="F1330" s="27" t="str">
        <f>IF('Paste SD Data'!G1327="","",UPPER('Paste SD Data'!G1327))</f>
        <v/>
      </c>
      <c r="G1330" s="27" t="str">
        <f>IF('Paste SD Data'!H1327="","",UPPER('Paste SD Data'!H1327))</f>
        <v/>
      </c>
      <c r="H1330" s="26" t="str">
        <f>IF('Paste SD Data'!I1327="","",IF('Paste SD Data'!I1327="M","BOY","GIRL"))</f>
        <v/>
      </c>
      <c r="I1330" s="28" t="str">
        <f>IF('Paste SD Data'!J1327="","",'Paste SD Data'!J1327)</f>
        <v/>
      </c>
      <c r="J1330" s="34">
        <f t="shared" si="20"/>
        <v>1756</v>
      </c>
      <c r="K1330" s="29" t="str">
        <f>IF('Paste SD Data'!O1327="","",'Paste SD Data'!O1327)</f>
        <v/>
      </c>
    </row>
    <row r="1331" spans="1:11" ht="30" customHeight="1" x14ac:dyDescent="0.25">
      <c r="A1331" s="25" t="str">
        <f>IF(Table1[[#This Row],[Name of Student]]="","",ROWS($A$1:A1327))</f>
        <v/>
      </c>
      <c r="B1331" s="26" t="str">
        <f>IF('Paste SD Data'!A1328="","",'Paste SD Data'!A1328)</f>
        <v/>
      </c>
      <c r="C1331" s="26" t="str">
        <f>IF('Paste SD Data'!B1328="","",'Paste SD Data'!B1328)</f>
        <v/>
      </c>
      <c r="D1331" s="26" t="str">
        <f>IF('Paste SD Data'!C1328="","",'Paste SD Data'!C1328)</f>
        <v/>
      </c>
      <c r="E1331" s="27" t="str">
        <f>IF('Paste SD Data'!E1328="","",UPPER('Paste SD Data'!E1328))</f>
        <v/>
      </c>
      <c r="F1331" s="27" t="str">
        <f>IF('Paste SD Data'!G1328="","",UPPER('Paste SD Data'!G1328))</f>
        <v/>
      </c>
      <c r="G1331" s="27" t="str">
        <f>IF('Paste SD Data'!H1328="","",UPPER('Paste SD Data'!H1328))</f>
        <v/>
      </c>
      <c r="H1331" s="26" t="str">
        <f>IF('Paste SD Data'!I1328="","",IF('Paste SD Data'!I1328="M","BOY","GIRL"))</f>
        <v/>
      </c>
      <c r="I1331" s="28" t="str">
        <f>IF('Paste SD Data'!J1328="","",'Paste SD Data'!J1328)</f>
        <v/>
      </c>
      <c r="J1331" s="34">
        <f t="shared" si="20"/>
        <v>1757</v>
      </c>
      <c r="K1331" s="29" t="str">
        <f>IF('Paste SD Data'!O1328="","",'Paste SD Data'!O1328)</f>
        <v/>
      </c>
    </row>
    <row r="1332" spans="1:11" ht="30" customHeight="1" x14ac:dyDescent="0.25">
      <c r="A1332" s="25" t="str">
        <f>IF(Table1[[#This Row],[Name of Student]]="","",ROWS($A$1:A1328))</f>
        <v/>
      </c>
      <c r="B1332" s="26" t="str">
        <f>IF('Paste SD Data'!A1329="","",'Paste SD Data'!A1329)</f>
        <v/>
      </c>
      <c r="C1332" s="26" t="str">
        <f>IF('Paste SD Data'!B1329="","",'Paste SD Data'!B1329)</f>
        <v/>
      </c>
      <c r="D1332" s="26" t="str">
        <f>IF('Paste SD Data'!C1329="","",'Paste SD Data'!C1329)</f>
        <v/>
      </c>
      <c r="E1332" s="27" t="str">
        <f>IF('Paste SD Data'!E1329="","",UPPER('Paste SD Data'!E1329))</f>
        <v/>
      </c>
      <c r="F1332" s="27" t="str">
        <f>IF('Paste SD Data'!G1329="","",UPPER('Paste SD Data'!G1329))</f>
        <v/>
      </c>
      <c r="G1332" s="27" t="str">
        <f>IF('Paste SD Data'!H1329="","",UPPER('Paste SD Data'!H1329))</f>
        <v/>
      </c>
      <c r="H1332" s="26" t="str">
        <f>IF('Paste SD Data'!I1329="","",IF('Paste SD Data'!I1329="M","BOY","GIRL"))</f>
        <v/>
      </c>
      <c r="I1332" s="28" t="str">
        <f>IF('Paste SD Data'!J1329="","",'Paste SD Data'!J1329)</f>
        <v/>
      </c>
      <c r="J1332" s="34">
        <f t="shared" si="20"/>
        <v>1758</v>
      </c>
      <c r="K1332" s="29" t="str">
        <f>IF('Paste SD Data'!O1329="","",'Paste SD Data'!O1329)</f>
        <v/>
      </c>
    </row>
    <row r="1333" spans="1:11" ht="30" customHeight="1" x14ac:dyDescent="0.25">
      <c r="A1333" s="25" t="str">
        <f>IF(Table1[[#This Row],[Name of Student]]="","",ROWS($A$1:A1329))</f>
        <v/>
      </c>
      <c r="B1333" s="26" t="str">
        <f>IF('Paste SD Data'!A1330="","",'Paste SD Data'!A1330)</f>
        <v/>
      </c>
      <c r="C1333" s="26" t="str">
        <f>IF('Paste SD Data'!B1330="","",'Paste SD Data'!B1330)</f>
        <v/>
      </c>
      <c r="D1333" s="26" t="str">
        <f>IF('Paste SD Data'!C1330="","",'Paste SD Data'!C1330)</f>
        <v/>
      </c>
      <c r="E1333" s="27" t="str">
        <f>IF('Paste SD Data'!E1330="","",UPPER('Paste SD Data'!E1330))</f>
        <v/>
      </c>
      <c r="F1333" s="27" t="str">
        <f>IF('Paste SD Data'!G1330="","",UPPER('Paste SD Data'!G1330))</f>
        <v/>
      </c>
      <c r="G1333" s="27" t="str">
        <f>IF('Paste SD Data'!H1330="","",UPPER('Paste SD Data'!H1330))</f>
        <v/>
      </c>
      <c r="H1333" s="26" t="str">
        <f>IF('Paste SD Data'!I1330="","",IF('Paste SD Data'!I1330="M","BOY","GIRL"))</f>
        <v/>
      </c>
      <c r="I1333" s="28" t="str">
        <f>IF('Paste SD Data'!J1330="","",'Paste SD Data'!J1330)</f>
        <v/>
      </c>
      <c r="J1333" s="34">
        <f t="shared" si="20"/>
        <v>1759</v>
      </c>
      <c r="K1333" s="29" t="str">
        <f>IF('Paste SD Data'!O1330="","",'Paste SD Data'!O1330)</f>
        <v/>
      </c>
    </row>
    <row r="1334" spans="1:11" ht="30" customHeight="1" x14ac:dyDescent="0.25">
      <c r="A1334" s="25" t="str">
        <f>IF(Table1[[#This Row],[Name of Student]]="","",ROWS($A$1:A1330))</f>
        <v/>
      </c>
      <c r="B1334" s="26" t="str">
        <f>IF('Paste SD Data'!A1331="","",'Paste SD Data'!A1331)</f>
        <v/>
      </c>
      <c r="C1334" s="26" t="str">
        <f>IF('Paste SD Data'!B1331="","",'Paste SD Data'!B1331)</f>
        <v/>
      </c>
      <c r="D1334" s="26" t="str">
        <f>IF('Paste SD Data'!C1331="","",'Paste SD Data'!C1331)</f>
        <v/>
      </c>
      <c r="E1334" s="27" t="str">
        <f>IF('Paste SD Data'!E1331="","",UPPER('Paste SD Data'!E1331))</f>
        <v/>
      </c>
      <c r="F1334" s="27" t="str">
        <f>IF('Paste SD Data'!G1331="","",UPPER('Paste SD Data'!G1331))</f>
        <v/>
      </c>
      <c r="G1334" s="27" t="str">
        <f>IF('Paste SD Data'!H1331="","",UPPER('Paste SD Data'!H1331))</f>
        <v/>
      </c>
      <c r="H1334" s="26" t="str">
        <f>IF('Paste SD Data'!I1331="","",IF('Paste SD Data'!I1331="M","BOY","GIRL"))</f>
        <v/>
      </c>
      <c r="I1334" s="28" t="str">
        <f>IF('Paste SD Data'!J1331="","",'Paste SD Data'!J1331)</f>
        <v/>
      </c>
      <c r="J1334" s="34">
        <f t="shared" si="20"/>
        <v>1760</v>
      </c>
      <c r="K1334" s="29" t="str">
        <f>IF('Paste SD Data'!O1331="","",'Paste SD Data'!O1331)</f>
        <v/>
      </c>
    </row>
    <row r="1335" spans="1:11" ht="30" customHeight="1" x14ac:dyDescent="0.25">
      <c r="A1335" s="25" t="str">
        <f>IF(Table1[[#This Row],[Name of Student]]="","",ROWS($A$1:A1331))</f>
        <v/>
      </c>
      <c r="B1335" s="26" t="str">
        <f>IF('Paste SD Data'!A1332="","",'Paste SD Data'!A1332)</f>
        <v/>
      </c>
      <c r="C1335" s="26" t="str">
        <f>IF('Paste SD Data'!B1332="","",'Paste SD Data'!B1332)</f>
        <v/>
      </c>
      <c r="D1335" s="26" t="str">
        <f>IF('Paste SD Data'!C1332="","",'Paste SD Data'!C1332)</f>
        <v/>
      </c>
      <c r="E1335" s="27" t="str">
        <f>IF('Paste SD Data'!E1332="","",UPPER('Paste SD Data'!E1332))</f>
        <v/>
      </c>
      <c r="F1335" s="27" t="str">
        <f>IF('Paste SD Data'!G1332="","",UPPER('Paste SD Data'!G1332))</f>
        <v/>
      </c>
      <c r="G1335" s="27" t="str">
        <f>IF('Paste SD Data'!H1332="","",UPPER('Paste SD Data'!H1332))</f>
        <v/>
      </c>
      <c r="H1335" s="26" t="str">
        <f>IF('Paste SD Data'!I1332="","",IF('Paste SD Data'!I1332="M","BOY","GIRL"))</f>
        <v/>
      </c>
      <c r="I1335" s="28" t="str">
        <f>IF('Paste SD Data'!J1332="","",'Paste SD Data'!J1332)</f>
        <v/>
      </c>
      <c r="J1335" s="34">
        <f t="shared" si="20"/>
        <v>1761</v>
      </c>
      <c r="K1335" s="29" t="str">
        <f>IF('Paste SD Data'!O1332="","",'Paste SD Data'!O1332)</f>
        <v/>
      </c>
    </row>
    <row r="1336" spans="1:11" ht="30" customHeight="1" x14ac:dyDescent="0.25">
      <c r="A1336" s="25" t="str">
        <f>IF(Table1[[#This Row],[Name of Student]]="","",ROWS($A$1:A1332))</f>
        <v/>
      </c>
      <c r="B1336" s="26" t="str">
        <f>IF('Paste SD Data'!A1333="","",'Paste SD Data'!A1333)</f>
        <v/>
      </c>
      <c r="C1336" s="26" t="str">
        <f>IF('Paste SD Data'!B1333="","",'Paste SD Data'!B1333)</f>
        <v/>
      </c>
      <c r="D1336" s="26" t="str">
        <f>IF('Paste SD Data'!C1333="","",'Paste SD Data'!C1333)</f>
        <v/>
      </c>
      <c r="E1336" s="27" t="str">
        <f>IF('Paste SD Data'!E1333="","",UPPER('Paste SD Data'!E1333))</f>
        <v/>
      </c>
      <c r="F1336" s="27" t="str">
        <f>IF('Paste SD Data'!G1333="","",UPPER('Paste SD Data'!G1333))</f>
        <v/>
      </c>
      <c r="G1336" s="27" t="str">
        <f>IF('Paste SD Data'!H1333="","",UPPER('Paste SD Data'!H1333))</f>
        <v/>
      </c>
      <c r="H1336" s="26" t="str">
        <f>IF('Paste SD Data'!I1333="","",IF('Paste SD Data'!I1333="M","BOY","GIRL"))</f>
        <v/>
      </c>
      <c r="I1336" s="28" t="str">
        <f>IF('Paste SD Data'!J1333="","",'Paste SD Data'!J1333)</f>
        <v/>
      </c>
      <c r="J1336" s="34">
        <f t="shared" si="20"/>
        <v>1762</v>
      </c>
      <c r="K1336" s="29" t="str">
        <f>IF('Paste SD Data'!O1333="","",'Paste SD Data'!O1333)</f>
        <v/>
      </c>
    </row>
    <row r="1337" spans="1:11" ht="30" customHeight="1" x14ac:dyDescent="0.25">
      <c r="A1337" s="25" t="str">
        <f>IF(Table1[[#This Row],[Name of Student]]="","",ROWS($A$1:A1333))</f>
        <v/>
      </c>
      <c r="B1337" s="26" t="str">
        <f>IF('Paste SD Data'!A1334="","",'Paste SD Data'!A1334)</f>
        <v/>
      </c>
      <c r="C1337" s="26" t="str">
        <f>IF('Paste SD Data'!B1334="","",'Paste SD Data'!B1334)</f>
        <v/>
      </c>
      <c r="D1337" s="26" t="str">
        <f>IF('Paste SD Data'!C1334="","",'Paste SD Data'!C1334)</f>
        <v/>
      </c>
      <c r="E1337" s="27" t="str">
        <f>IF('Paste SD Data'!E1334="","",UPPER('Paste SD Data'!E1334))</f>
        <v/>
      </c>
      <c r="F1337" s="27" t="str">
        <f>IF('Paste SD Data'!G1334="","",UPPER('Paste SD Data'!G1334))</f>
        <v/>
      </c>
      <c r="G1337" s="27" t="str">
        <f>IF('Paste SD Data'!H1334="","",UPPER('Paste SD Data'!H1334))</f>
        <v/>
      </c>
      <c r="H1337" s="26" t="str">
        <f>IF('Paste SD Data'!I1334="","",IF('Paste SD Data'!I1334="M","BOY","GIRL"))</f>
        <v/>
      </c>
      <c r="I1337" s="28" t="str">
        <f>IF('Paste SD Data'!J1334="","",'Paste SD Data'!J1334)</f>
        <v/>
      </c>
      <c r="J1337" s="34">
        <f t="shared" si="20"/>
        <v>1763</v>
      </c>
      <c r="K1337" s="29" t="str">
        <f>IF('Paste SD Data'!O1334="","",'Paste SD Data'!O1334)</f>
        <v/>
      </c>
    </row>
    <row r="1338" spans="1:11" ht="30" customHeight="1" x14ac:dyDescent="0.25">
      <c r="A1338" s="25" t="str">
        <f>IF(Table1[[#This Row],[Name of Student]]="","",ROWS($A$1:A1334))</f>
        <v/>
      </c>
      <c r="B1338" s="26" t="str">
        <f>IF('Paste SD Data'!A1335="","",'Paste SD Data'!A1335)</f>
        <v/>
      </c>
      <c r="C1338" s="26" t="str">
        <f>IF('Paste SD Data'!B1335="","",'Paste SD Data'!B1335)</f>
        <v/>
      </c>
      <c r="D1338" s="26" t="str">
        <f>IF('Paste SD Data'!C1335="","",'Paste SD Data'!C1335)</f>
        <v/>
      </c>
      <c r="E1338" s="27" t="str">
        <f>IF('Paste SD Data'!E1335="","",UPPER('Paste SD Data'!E1335))</f>
        <v/>
      </c>
      <c r="F1338" s="27" t="str">
        <f>IF('Paste SD Data'!G1335="","",UPPER('Paste SD Data'!G1335))</f>
        <v/>
      </c>
      <c r="G1338" s="27" t="str">
        <f>IF('Paste SD Data'!H1335="","",UPPER('Paste SD Data'!H1335))</f>
        <v/>
      </c>
      <c r="H1338" s="26" t="str">
        <f>IF('Paste SD Data'!I1335="","",IF('Paste SD Data'!I1335="M","BOY","GIRL"))</f>
        <v/>
      </c>
      <c r="I1338" s="28" t="str">
        <f>IF('Paste SD Data'!J1335="","",'Paste SD Data'!J1335)</f>
        <v/>
      </c>
      <c r="J1338" s="34">
        <f t="shared" si="20"/>
        <v>1764</v>
      </c>
      <c r="K1338" s="29" t="str">
        <f>IF('Paste SD Data'!O1335="","",'Paste SD Data'!O1335)</f>
        <v/>
      </c>
    </row>
    <row r="1339" spans="1:11" ht="30" customHeight="1" x14ac:dyDescent="0.25">
      <c r="A1339" s="25" t="str">
        <f>IF(Table1[[#This Row],[Name of Student]]="","",ROWS($A$1:A1335))</f>
        <v/>
      </c>
      <c r="B1339" s="26" t="str">
        <f>IF('Paste SD Data'!A1336="","",'Paste SD Data'!A1336)</f>
        <v/>
      </c>
      <c r="C1339" s="26" t="str">
        <f>IF('Paste SD Data'!B1336="","",'Paste SD Data'!B1336)</f>
        <v/>
      </c>
      <c r="D1339" s="26" t="str">
        <f>IF('Paste SD Data'!C1336="","",'Paste SD Data'!C1336)</f>
        <v/>
      </c>
      <c r="E1339" s="27" t="str">
        <f>IF('Paste SD Data'!E1336="","",UPPER('Paste SD Data'!E1336))</f>
        <v/>
      </c>
      <c r="F1339" s="27" t="str">
        <f>IF('Paste SD Data'!G1336="","",UPPER('Paste SD Data'!G1336))</f>
        <v/>
      </c>
      <c r="G1339" s="27" t="str">
        <f>IF('Paste SD Data'!H1336="","",UPPER('Paste SD Data'!H1336))</f>
        <v/>
      </c>
      <c r="H1339" s="26" t="str">
        <f>IF('Paste SD Data'!I1336="","",IF('Paste SD Data'!I1336="M","BOY","GIRL"))</f>
        <v/>
      </c>
      <c r="I1339" s="28" t="str">
        <f>IF('Paste SD Data'!J1336="","",'Paste SD Data'!J1336)</f>
        <v/>
      </c>
      <c r="J1339" s="34">
        <f t="shared" si="20"/>
        <v>1765</v>
      </c>
      <c r="K1339" s="29" t="str">
        <f>IF('Paste SD Data'!O1336="","",'Paste SD Data'!O1336)</f>
        <v/>
      </c>
    </row>
    <row r="1340" spans="1:11" ht="30" customHeight="1" x14ac:dyDescent="0.25">
      <c r="A1340" s="25" t="str">
        <f>IF(Table1[[#This Row],[Name of Student]]="","",ROWS($A$1:A1336))</f>
        <v/>
      </c>
      <c r="B1340" s="26" t="str">
        <f>IF('Paste SD Data'!A1337="","",'Paste SD Data'!A1337)</f>
        <v/>
      </c>
      <c r="C1340" s="26" t="str">
        <f>IF('Paste SD Data'!B1337="","",'Paste SD Data'!B1337)</f>
        <v/>
      </c>
      <c r="D1340" s="26" t="str">
        <f>IF('Paste SD Data'!C1337="","",'Paste SD Data'!C1337)</f>
        <v/>
      </c>
      <c r="E1340" s="27" t="str">
        <f>IF('Paste SD Data'!E1337="","",UPPER('Paste SD Data'!E1337))</f>
        <v/>
      </c>
      <c r="F1340" s="27" t="str">
        <f>IF('Paste SD Data'!G1337="","",UPPER('Paste SD Data'!G1337))</f>
        <v/>
      </c>
      <c r="G1340" s="27" t="str">
        <f>IF('Paste SD Data'!H1337="","",UPPER('Paste SD Data'!H1337))</f>
        <v/>
      </c>
      <c r="H1340" s="26" t="str">
        <f>IF('Paste SD Data'!I1337="","",IF('Paste SD Data'!I1337="M","BOY","GIRL"))</f>
        <v/>
      </c>
      <c r="I1340" s="28" t="str">
        <f>IF('Paste SD Data'!J1337="","",'Paste SD Data'!J1337)</f>
        <v/>
      </c>
      <c r="J1340" s="34">
        <f t="shared" si="20"/>
        <v>1766</v>
      </c>
      <c r="K1340" s="29" t="str">
        <f>IF('Paste SD Data'!O1337="","",'Paste SD Data'!O1337)</f>
        <v/>
      </c>
    </row>
    <row r="1341" spans="1:11" ht="30" customHeight="1" x14ac:dyDescent="0.25">
      <c r="A1341" s="25" t="str">
        <f>IF(Table1[[#This Row],[Name of Student]]="","",ROWS($A$1:A1337))</f>
        <v/>
      </c>
      <c r="B1341" s="26" t="str">
        <f>IF('Paste SD Data'!A1338="","",'Paste SD Data'!A1338)</f>
        <v/>
      </c>
      <c r="C1341" s="26" t="str">
        <f>IF('Paste SD Data'!B1338="","",'Paste SD Data'!B1338)</f>
        <v/>
      </c>
      <c r="D1341" s="26" t="str">
        <f>IF('Paste SD Data'!C1338="","",'Paste SD Data'!C1338)</f>
        <v/>
      </c>
      <c r="E1341" s="27" t="str">
        <f>IF('Paste SD Data'!E1338="","",UPPER('Paste SD Data'!E1338))</f>
        <v/>
      </c>
      <c r="F1341" s="27" t="str">
        <f>IF('Paste SD Data'!G1338="","",UPPER('Paste SD Data'!G1338))</f>
        <v/>
      </c>
      <c r="G1341" s="27" t="str">
        <f>IF('Paste SD Data'!H1338="","",UPPER('Paste SD Data'!H1338))</f>
        <v/>
      </c>
      <c r="H1341" s="26" t="str">
        <f>IF('Paste SD Data'!I1338="","",IF('Paste SD Data'!I1338="M","BOY","GIRL"))</f>
        <v/>
      </c>
      <c r="I1341" s="28" t="str">
        <f>IF('Paste SD Data'!J1338="","",'Paste SD Data'!J1338)</f>
        <v/>
      </c>
      <c r="J1341" s="34">
        <f t="shared" si="20"/>
        <v>1767</v>
      </c>
      <c r="K1341" s="29" t="str">
        <f>IF('Paste SD Data'!O1338="","",'Paste SD Data'!O1338)</f>
        <v/>
      </c>
    </row>
    <row r="1342" spans="1:11" ht="30" customHeight="1" x14ac:dyDescent="0.25">
      <c r="A1342" s="25" t="str">
        <f>IF(Table1[[#This Row],[Name of Student]]="","",ROWS($A$1:A1338))</f>
        <v/>
      </c>
      <c r="B1342" s="26" t="str">
        <f>IF('Paste SD Data'!A1339="","",'Paste SD Data'!A1339)</f>
        <v/>
      </c>
      <c r="C1342" s="26" t="str">
        <f>IF('Paste SD Data'!B1339="","",'Paste SD Data'!B1339)</f>
        <v/>
      </c>
      <c r="D1342" s="26" t="str">
        <f>IF('Paste SD Data'!C1339="","",'Paste SD Data'!C1339)</f>
        <v/>
      </c>
      <c r="E1342" s="27" t="str">
        <f>IF('Paste SD Data'!E1339="","",UPPER('Paste SD Data'!E1339))</f>
        <v/>
      </c>
      <c r="F1342" s="27" t="str">
        <f>IF('Paste SD Data'!G1339="","",UPPER('Paste SD Data'!G1339))</f>
        <v/>
      </c>
      <c r="G1342" s="27" t="str">
        <f>IF('Paste SD Data'!H1339="","",UPPER('Paste SD Data'!H1339))</f>
        <v/>
      </c>
      <c r="H1342" s="26" t="str">
        <f>IF('Paste SD Data'!I1339="","",IF('Paste SD Data'!I1339="M","BOY","GIRL"))</f>
        <v/>
      </c>
      <c r="I1342" s="28" t="str">
        <f>IF('Paste SD Data'!J1339="","",'Paste SD Data'!J1339)</f>
        <v/>
      </c>
      <c r="J1342" s="34">
        <f t="shared" si="20"/>
        <v>1768</v>
      </c>
      <c r="K1342" s="29" t="str">
        <f>IF('Paste SD Data'!O1339="","",'Paste SD Data'!O1339)</f>
        <v/>
      </c>
    </row>
    <row r="1343" spans="1:11" ht="30" customHeight="1" x14ac:dyDescent="0.25">
      <c r="A1343" s="25" t="str">
        <f>IF(Table1[[#This Row],[Name of Student]]="","",ROWS($A$1:A1339))</f>
        <v/>
      </c>
      <c r="B1343" s="26" t="str">
        <f>IF('Paste SD Data'!A1340="","",'Paste SD Data'!A1340)</f>
        <v/>
      </c>
      <c r="C1343" s="26" t="str">
        <f>IF('Paste SD Data'!B1340="","",'Paste SD Data'!B1340)</f>
        <v/>
      </c>
      <c r="D1343" s="26" t="str">
        <f>IF('Paste SD Data'!C1340="","",'Paste SD Data'!C1340)</f>
        <v/>
      </c>
      <c r="E1343" s="27" t="str">
        <f>IF('Paste SD Data'!E1340="","",UPPER('Paste SD Data'!E1340))</f>
        <v/>
      </c>
      <c r="F1343" s="27" t="str">
        <f>IF('Paste SD Data'!G1340="","",UPPER('Paste SD Data'!G1340))</f>
        <v/>
      </c>
      <c r="G1343" s="27" t="str">
        <f>IF('Paste SD Data'!H1340="","",UPPER('Paste SD Data'!H1340))</f>
        <v/>
      </c>
      <c r="H1343" s="26" t="str">
        <f>IF('Paste SD Data'!I1340="","",IF('Paste SD Data'!I1340="M","BOY","GIRL"))</f>
        <v/>
      </c>
      <c r="I1343" s="28" t="str">
        <f>IF('Paste SD Data'!J1340="","",'Paste SD Data'!J1340)</f>
        <v/>
      </c>
      <c r="J1343" s="34">
        <f t="shared" si="20"/>
        <v>1769</v>
      </c>
      <c r="K1343" s="29" t="str">
        <f>IF('Paste SD Data'!O1340="","",'Paste SD Data'!O1340)</f>
        <v/>
      </c>
    </row>
    <row r="1344" spans="1:11" ht="30" customHeight="1" x14ac:dyDescent="0.25">
      <c r="A1344" s="25" t="str">
        <f>IF(Table1[[#This Row],[Name of Student]]="","",ROWS($A$1:A1340))</f>
        <v/>
      </c>
      <c r="B1344" s="26" t="str">
        <f>IF('Paste SD Data'!A1341="","",'Paste SD Data'!A1341)</f>
        <v/>
      </c>
      <c r="C1344" s="26" t="str">
        <f>IF('Paste SD Data'!B1341="","",'Paste SD Data'!B1341)</f>
        <v/>
      </c>
      <c r="D1344" s="26" t="str">
        <f>IF('Paste SD Data'!C1341="","",'Paste SD Data'!C1341)</f>
        <v/>
      </c>
      <c r="E1344" s="27" t="str">
        <f>IF('Paste SD Data'!E1341="","",UPPER('Paste SD Data'!E1341))</f>
        <v/>
      </c>
      <c r="F1344" s="27" t="str">
        <f>IF('Paste SD Data'!G1341="","",UPPER('Paste SD Data'!G1341))</f>
        <v/>
      </c>
      <c r="G1344" s="27" t="str">
        <f>IF('Paste SD Data'!H1341="","",UPPER('Paste SD Data'!H1341))</f>
        <v/>
      </c>
      <c r="H1344" s="26" t="str">
        <f>IF('Paste SD Data'!I1341="","",IF('Paste SD Data'!I1341="M","BOY","GIRL"))</f>
        <v/>
      </c>
      <c r="I1344" s="28" t="str">
        <f>IF('Paste SD Data'!J1341="","",'Paste SD Data'!J1341)</f>
        <v/>
      </c>
      <c r="J1344" s="34">
        <f t="shared" si="20"/>
        <v>1770</v>
      </c>
      <c r="K1344" s="29" t="str">
        <f>IF('Paste SD Data'!O1341="","",'Paste SD Data'!O1341)</f>
        <v/>
      </c>
    </row>
    <row r="1345" spans="1:11" ht="30" customHeight="1" x14ac:dyDescent="0.25">
      <c r="A1345" s="25" t="str">
        <f>IF(Table1[[#This Row],[Name of Student]]="","",ROWS($A$1:A1341))</f>
        <v/>
      </c>
      <c r="B1345" s="26" t="str">
        <f>IF('Paste SD Data'!A1342="","",'Paste SD Data'!A1342)</f>
        <v/>
      </c>
      <c r="C1345" s="26" t="str">
        <f>IF('Paste SD Data'!B1342="","",'Paste SD Data'!B1342)</f>
        <v/>
      </c>
      <c r="D1345" s="26" t="str">
        <f>IF('Paste SD Data'!C1342="","",'Paste SD Data'!C1342)</f>
        <v/>
      </c>
      <c r="E1345" s="27" t="str">
        <f>IF('Paste SD Data'!E1342="","",UPPER('Paste SD Data'!E1342))</f>
        <v/>
      </c>
      <c r="F1345" s="27" t="str">
        <f>IF('Paste SD Data'!G1342="","",UPPER('Paste SD Data'!G1342))</f>
        <v/>
      </c>
      <c r="G1345" s="27" t="str">
        <f>IF('Paste SD Data'!H1342="","",UPPER('Paste SD Data'!H1342))</f>
        <v/>
      </c>
      <c r="H1345" s="26" t="str">
        <f>IF('Paste SD Data'!I1342="","",IF('Paste SD Data'!I1342="M","BOY","GIRL"))</f>
        <v/>
      </c>
      <c r="I1345" s="28" t="str">
        <f>IF('Paste SD Data'!J1342="","",'Paste SD Data'!J1342)</f>
        <v/>
      </c>
      <c r="J1345" s="34">
        <f t="shared" si="20"/>
        <v>1771</v>
      </c>
      <c r="K1345" s="29" t="str">
        <f>IF('Paste SD Data'!O1342="","",'Paste SD Data'!O1342)</f>
        <v/>
      </c>
    </row>
    <row r="1346" spans="1:11" ht="30" customHeight="1" x14ac:dyDescent="0.25">
      <c r="A1346" s="25" t="str">
        <f>IF(Table1[[#This Row],[Name of Student]]="","",ROWS($A$1:A1342))</f>
        <v/>
      </c>
      <c r="B1346" s="26" t="str">
        <f>IF('Paste SD Data'!A1343="","",'Paste SD Data'!A1343)</f>
        <v/>
      </c>
      <c r="C1346" s="26" t="str">
        <f>IF('Paste SD Data'!B1343="","",'Paste SD Data'!B1343)</f>
        <v/>
      </c>
      <c r="D1346" s="26" t="str">
        <f>IF('Paste SD Data'!C1343="","",'Paste SD Data'!C1343)</f>
        <v/>
      </c>
      <c r="E1346" s="27" t="str">
        <f>IF('Paste SD Data'!E1343="","",UPPER('Paste SD Data'!E1343))</f>
        <v/>
      </c>
      <c r="F1346" s="27" t="str">
        <f>IF('Paste SD Data'!G1343="","",UPPER('Paste SD Data'!G1343))</f>
        <v/>
      </c>
      <c r="G1346" s="27" t="str">
        <f>IF('Paste SD Data'!H1343="","",UPPER('Paste SD Data'!H1343))</f>
        <v/>
      </c>
      <c r="H1346" s="26" t="str">
        <f>IF('Paste SD Data'!I1343="","",IF('Paste SD Data'!I1343="M","BOY","GIRL"))</f>
        <v/>
      </c>
      <c r="I1346" s="28" t="str">
        <f>IF('Paste SD Data'!J1343="","",'Paste SD Data'!J1343)</f>
        <v/>
      </c>
      <c r="J1346" s="34">
        <f t="shared" si="20"/>
        <v>1772</v>
      </c>
      <c r="K1346" s="29" t="str">
        <f>IF('Paste SD Data'!O1343="","",'Paste SD Data'!O1343)</f>
        <v/>
      </c>
    </row>
    <row r="1347" spans="1:11" ht="30" customHeight="1" x14ac:dyDescent="0.25">
      <c r="A1347" s="25" t="str">
        <f>IF(Table1[[#This Row],[Name of Student]]="","",ROWS($A$1:A1343))</f>
        <v/>
      </c>
      <c r="B1347" s="26" t="str">
        <f>IF('Paste SD Data'!A1344="","",'Paste SD Data'!A1344)</f>
        <v/>
      </c>
      <c r="C1347" s="26" t="str">
        <f>IF('Paste SD Data'!B1344="","",'Paste SD Data'!B1344)</f>
        <v/>
      </c>
      <c r="D1347" s="26" t="str">
        <f>IF('Paste SD Data'!C1344="","",'Paste SD Data'!C1344)</f>
        <v/>
      </c>
      <c r="E1347" s="27" t="str">
        <f>IF('Paste SD Data'!E1344="","",UPPER('Paste SD Data'!E1344))</f>
        <v/>
      </c>
      <c r="F1347" s="27" t="str">
        <f>IF('Paste SD Data'!G1344="","",UPPER('Paste SD Data'!G1344))</f>
        <v/>
      </c>
      <c r="G1347" s="27" t="str">
        <f>IF('Paste SD Data'!H1344="","",UPPER('Paste SD Data'!H1344))</f>
        <v/>
      </c>
      <c r="H1347" s="26" t="str">
        <f>IF('Paste SD Data'!I1344="","",IF('Paste SD Data'!I1344="M","BOY","GIRL"))</f>
        <v/>
      </c>
      <c r="I1347" s="28" t="str">
        <f>IF('Paste SD Data'!J1344="","",'Paste SD Data'!J1344)</f>
        <v/>
      </c>
      <c r="J1347" s="34">
        <f t="shared" si="20"/>
        <v>1773</v>
      </c>
      <c r="K1347" s="29" t="str">
        <f>IF('Paste SD Data'!O1344="","",'Paste SD Data'!O1344)</f>
        <v/>
      </c>
    </row>
    <row r="1348" spans="1:11" ht="30" customHeight="1" x14ac:dyDescent="0.25">
      <c r="A1348" s="25" t="str">
        <f>IF(Table1[[#This Row],[Name of Student]]="","",ROWS($A$1:A1344))</f>
        <v/>
      </c>
      <c r="B1348" s="26" t="str">
        <f>IF('Paste SD Data'!A1345="","",'Paste SD Data'!A1345)</f>
        <v/>
      </c>
      <c r="C1348" s="26" t="str">
        <f>IF('Paste SD Data'!B1345="","",'Paste SD Data'!B1345)</f>
        <v/>
      </c>
      <c r="D1348" s="26" t="str">
        <f>IF('Paste SD Data'!C1345="","",'Paste SD Data'!C1345)</f>
        <v/>
      </c>
      <c r="E1348" s="27" t="str">
        <f>IF('Paste SD Data'!E1345="","",UPPER('Paste SD Data'!E1345))</f>
        <v/>
      </c>
      <c r="F1348" s="27" t="str">
        <f>IF('Paste SD Data'!G1345="","",UPPER('Paste SD Data'!G1345))</f>
        <v/>
      </c>
      <c r="G1348" s="27" t="str">
        <f>IF('Paste SD Data'!H1345="","",UPPER('Paste SD Data'!H1345))</f>
        <v/>
      </c>
      <c r="H1348" s="26" t="str">
        <f>IF('Paste SD Data'!I1345="","",IF('Paste SD Data'!I1345="M","BOY","GIRL"))</f>
        <v/>
      </c>
      <c r="I1348" s="28" t="str">
        <f>IF('Paste SD Data'!J1345="","",'Paste SD Data'!J1345)</f>
        <v/>
      </c>
      <c r="J1348" s="34">
        <f t="shared" si="20"/>
        <v>1774</v>
      </c>
      <c r="K1348" s="29" t="str">
        <f>IF('Paste SD Data'!O1345="","",'Paste SD Data'!O1345)</f>
        <v/>
      </c>
    </row>
    <row r="1349" spans="1:11" ht="30" customHeight="1" x14ac:dyDescent="0.25">
      <c r="A1349" s="25" t="str">
        <f>IF(Table1[[#This Row],[Name of Student]]="","",ROWS($A$1:A1345))</f>
        <v/>
      </c>
      <c r="B1349" s="26" t="str">
        <f>IF('Paste SD Data'!A1346="","",'Paste SD Data'!A1346)</f>
        <v/>
      </c>
      <c r="C1349" s="26" t="str">
        <f>IF('Paste SD Data'!B1346="","",'Paste SD Data'!B1346)</f>
        <v/>
      </c>
      <c r="D1349" s="26" t="str">
        <f>IF('Paste SD Data'!C1346="","",'Paste SD Data'!C1346)</f>
        <v/>
      </c>
      <c r="E1349" s="27" t="str">
        <f>IF('Paste SD Data'!E1346="","",UPPER('Paste SD Data'!E1346))</f>
        <v/>
      </c>
      <c r="F1349" s="27" t="str">
        <f>IF('Paste SD Data'!G1346="","",UPPER('Paste SD Data'!G1346))</f>
        <v/>
      </c>
      <c r="G1349" s="27" t="str">
        <f>IF('Paste SD Data'!H1346="","",UPPER('Paste SD Data'!H1346))</f>
        <v/>
      </c>
      <c r="H1349" s="26" t="str">
        <f>IF('Paste SD Data'!I1346="","",IF('Paste SD Data'!I1346="M","BOY","GIRL"))</f>
        <v/>
      </c>
      <c r="I1349" s="28" t="str">
        <f>IF('Paste SD Data'!J1346="","",'Paste SD Data'!J1346)</f>
        <v/>
      </c>
      <c r="J1349" s="34">
        <f t="shared" si="20"/>
        <v>1775</v>
      </c>
      <c r="K1349" s="29" t="str">
        <f>IF('Paste SD Data'!O1346="","",'Paste SD Data'!O1346)</f>
        <v/>
      </c>
    </row>
    <row r="1350" spans="1:11" ht="30" customHeight="1" x14ac:dyDescent="0.25">
      <c r="A1350" s="25" t="str">
        <f>IF(Table1[[#This Row],[Name of Student]]="","",ROWS($A$1:A1346))</f>
        <v/>
      </c>
      <c r="B1350" s="26" t="str">
        <f>IF('Paste SD Data'!A1347="","",'Paste SD Data'!A1347)</f>
        <v/>
      </c>
      <c r="C1350" s="26" t="str">
        <f>IF('Paste SD Data'!B1347="","",'Paste SD Data'!B1347)</f>
        <v/>
      </c>
      <c r="D1350" s="26" t="str">
        <f>IF('Paste SD Data'!C1347="","",'Paste SD Data'!C1347)</f>
        <v/>
      </c>
      <c r="E1350" s="27" t="str">
        <f>IF('Paste SD Data'!E1347="","",UPPER('Paste SD Data'!E1347))</f>
        <v/>
      </c>
      <c r="F1350" s="27" t="str">
        <f>IF('Paste SD Data'!G1347="","",UPPER('Paste SD Data'!G1347))</f>
        <v/>
      </c>
      <c r="G1350" s="27" t="str">
        <f>IF('Paste SD Data'!H1347="","",UPPER('Paste SD Data'!H1347))</f>
        <v/>
      </c>
      <c r="H1350" s="26" t="str">
        <f>IF('Paste SD Data'!I1347="","",IF('Paste SD Data'!I1347="M","BOY","GIRL"))</f>
        <v/>
      </c>
      <c r="I1350" s="28" t="str">
        <f>IF('Paste SD Data'!J1347="","",'Paste SD Data'!J1347)</f>
        <v/>
      </c>
      <c r="J1350" s="34">
        <f t="shared" si="20"/>
        <v>1776</v>
      </c>
      <c r="K1350" s="29" t="str">
        <f>IF('Paste SD Data'!O1347="","",'Paste SD Data'!O1347)</f>
        <v/>
      </c>
    </row>
    <row r="1351" spans="1:11" ht="30" customHeight="1" x14ac:dyDescent="0.25">
      <c r="A1351" s="25" t="str">
        <f>IF(Table1[[#This Row],[Name of Student]]="","",ROWS($A$1:A1347))</f>
        <v/>
      </c>
      <c r="B1351" s="26" t="str">
        <f>IF('Paste SD Data'!A1348="","",'Paste SD Data'!A1348)</f>
        <v/>
      </c>
      <c r="C1351" s="26" t="str">
        <f>IF('Paste SD Data'!B1348="","",'Paste SD Data'!B1348)</f>
        <v/>
      </c>
      <c r="D1351" s="26" t="str">
        <f>IF('Paste SD Data'!C1348="","",'Paste SD Data'!C1348)</f>
        <v/>
      </c>
      <c r="E1351" s="27" t="str">
        <f>IF('Paste SD Data'!E1348="","",UPPER('Paste SD Data'!E1348))</f>
        <v/>
      </c>
      <c r="F1351" s="27" t="str">
        <f>IF('Paste SD Data'!G1348="","",UPPER('Paste SD Data'!G1348))</f>
        <v/>
      </c>
      <c r="G1351" s="27" t="str">
        <f>IF('Paste SD Data'!H1348="","",UPPER('Paste SD Data'!H1348))</f>
        <v/>
      </c>
      <c r="H1351" s="26" t="str">
        <f>IF('Paste SD Data'!I1348="","",IF('Paste SD Data'!I1348="M","BOY","GIRL"))</f>
        <v/>
      </c>
      <c r="I1351" s="28" t="str">
        <f>IF('Paste SD Data'!J1348="","",'Paste SD Data'!J1348)</f>
        <v/>
      </c>
      <c r="J1351" s="34">
        <f t="shared" ref="J1351:J1414" si="21">J1350+1</f>
        <v>1777</v>
      </c>
      <c r="K1351" s="29" t="str">
        <f>IF('Paste SD Data'!O1348="","",'Paste SD Data'!O1348)</f>
        <v/>
      </c>
    </row>
    <row r="1352" spans="1:11" ht="30" customHeight="1" x14ac:dyDescent="0.25">
      <c r="A1352" s="25" t="str">
        <f>IF(Table1[[#This Row],[Name of Student]]="","",ROWS($A$1:A1348))</f>
        <v/>
      </c>
      <c r="B1352" s="26" t="str">
        <f>IF('Paste SD Data'!A1349="","",'Paste SD Data'!A1349)</f>
        <v/>
      </c>
      <c r="C1352" s="26" t="str">
        <f>IF('Paste SD Data'!B1349="","",'Paste SD Data'!B1349)</f>
        <v/>
      </c>
      <c r="D1352" s="26" t="str">
        <f>IF('Paste SD Data'!C1349="","",'Paste SD Data'!C1349)</f>
        <v/>
      </c>
      <c r="E1352" s="27" t="str">
        <f>IF('Paste SD Data'!E1349="","",UPPER('Paste SD Data'!E1349))</f>
        <v/>
      </c>
      <c r="F1352" s="27" t="str">
        <f>IF('Paste SD Data'!G1349="","",UPPER('Paste SD Data'!G1349))</f>
        <v/>
      </c>
      <c r="G1352" s="27" t="str">
        <f>IF('Paste SD Data'!H1349="","",UPPER('Paste SD Data'!H1349))</f>
        <v/>
      </c>
      <c r="H1352" s="26" t="str">
        <f>IF('Paste SD Data'!I1349="","",IF('Paste SD Data'!I1349="M","BOY","GIRL"))</f>
        <v/>
      </c>
      <c r="I1352" s="28" t="str">
        <f>IF('Paste SD Data'!J1349="","",'Paste SD Data'!J1349)</f>
        <v/>
      </c>
      <c r="J1352" s="34">
        <f t="shared" si="21"/>
        <v>1778</v>
      </c>
      <c r="K1352" s="29" t="str">
        <f>IF('Paste SD Data'!O1349="","",'Paste SD Data'!O1349)</f>
        <v/>
      </c>
    </row>
    <row r="1353" spans="1:11" ht="30" customHeight="1" x14ac:dyDescent="0.25">
      <c r="A1353" s="25" t="str">
        <f>IF(Table1[[#This Row],[Name of Student]]="","",ROWS($A$1:A1349))</f>
        <v/>
      </c>
      <c r="B1353" s="26" t="str">
        <f>IF('Paste SD Data'!A1350="","",'Paste SD Data'!A1350)</f>
        <v/>
      </c>
      <c r="C1353" s="26" t="str">
        <f>IF('Paste SD Data'!B1350="","",'Paste SD Data'!B1350)</f>
        <v/>
      </c>
      <c r="D1353" s="26" t="str">
        <f>IF('Paste SD Data'!C1350="","",'Paste SD Data'!C1350)</f>
        <v/>
      </c>
      <c r="E1353" s="27" t="str">
        <f>IF('Paste SD Data'!E1350="","",UPPER('Paste SD Data'!E1350))</f>
        <v/>
      </c>
      <c r="F1353" s="27" t="str">
        <f>IF('Paste SD Data'!G1350="","",UPPER('Paste SD Data'!G1350))</f>
        <v/>
      </c>
      <c r="G1353" s="27" t="str">
        <f>IF('Paste SD Data'!H1350="","",UPPER('Paste SD Data'!H1350))</f>
        <v/>
      </c>
      <c r="H1353" s="26" t="str">
        <f>IF('Paste SD Data'!I1350="","",IF('Paste SD Data'!I1350="M","BOY","GIRL"))</f>
        <v/>
      </c>
      <c r="I1353" s="28" t="str">
        <f>IF('Paste SD Data'!J1350="","",'Paste SD Data'!J1350)</f>
        <v/>
      </c>
      <c r="J1353" s="34">
        <f t="shared" si="21"/>
        <v>1779</v>
      </c>
      <c r="K1353" s="29" t="str">
        <f>IF('Paste SD Data'!O1350="","",'Paste SD Data'!O1350)</f>
        <v/>
      </c>
    </row>
    <row r="1354" spans="1:11" ht="30" customHeight="1" x14ac:dyDescent="0.25">
      <c r="A1354" s="25" t="str">
        <f>IF(Table1[[#This Row],[Name of Student]]="","",ROWS($A$1:A1350))</f>
        <v/>
      </c>
      <c r="B1354" s="26" t="str">
        <f>IF('Paste SD Data'!A1351="","",'Paste SD Data'!A1351)</f>
        <v/>
      </c>
      <c r="C1354" s="26" t="str">
        <f>IF('Paste SD Data'!B1351="","",'Paste SD Data'!B1351)</f>
        <v/>
      </c>
      <c r="D1354" s="26" t="str">
        <f>IF('Paste SD Data'!C1351="","",'Paste SD Data'!C1351)</f>
        <v/>
      </c>
      <c r="E1354" s="27" t="str">
        <f>IF('Paste SD Data'!E1351="","",UPPER('Paste SD Data'!E1351))</f>
        <v/>
      </c>
      <c r="F1354" s="27" t="str">
        <f>IF('Paste SD Data'!G1351="","",UPPER('Paste SD Data'!G1351))</f>
        <v/>
      </c>
      <c r="G1354" s="27" t="str">
        <f>IF('Paste SD Data'!H1351="","",UPPER('Paste SD Data'!H1351))</f>
        <v/>
      </c>
      <c r="H1354" s="26" t="str">
        <f>IF('Paste SD Data'!I1351="","",IF('Paste SD Data'!I1351="M","BOY","GIRL"))</f>
        <v/>
      </c>
      <c r="I1354" s="28" t="str">
        <f>IF('Paste SD Data'!J1351="","",'Paste SD Data'!J1351)</f>
        <v/>
      </c>
      <c r="J1354" s="34">
        <f t="shared" si="21"/>
        <v>1780</v>
      </c>
      <c r="K1354" s="29" t="str">
        <f>IF('Paste SD Data'!O1351="","",'Paste SD Data'!O1351)</f>
        <v/>
      </c>
    </row>
    <row r="1355" spans="1:11" ht="30" customHeight="1" x14ac:dyDescent="0.25">
      <c r="A1355" s="25" t="str">
        <f>IF(Table1[[#This Row],[Name of Student]]="","",ROWS($A$1:A1351))</f>
        <v/>
      </c>
      <c r="B1355" s="26" t="str">
        <f>IF('Paste SD Data'!A1352="","",'Paste SD Data'!A1352)</f>
        <v/>
      </c>
      <c r="C1355" s="26" t="str">
        <f>IF('Paste SD Data'!B1352="","",'Paste SD Data'!B1352)</f>
        <v/>
      </c>
      <c r="D1355" s="26" t="str">
        <f>IF('Paste SD Data'!C1352="","",'Paste SD Data'!C1352)</f>
        <v/>
      </c>
      <c r="E1355" s="27" t="str">
        <f>IF('Paste SD Data'!E1352="","",UPPER('Paste SD Data'!E1352))</f>
        <v/>
      </c>
      <c r="F1355" s="27" t="str">
        <f>IF('Paste SD Data'!G1352="","",UPPER('Paste SD Data'!G1352))</f>
        <v/>
      </c>
      <c r="G1355" s="27" t="str">
        <f>IF('Paste SD Data'!H1352="","",UPPER('Paste SD Data'!H1352))</f>
        <v/>
      </c>
      <c r="H1355" s="26" t="str">
        <f>IF('Paste SD Data'!I1352="","",IF('Paste SD Data'!I1352="M","BOY","GIRL"))</f>
        <v/>
      </c>
      <c r="I1355" s="28" t="str">
        <f>IF('Paste SD Data'!J1352="","",'Paste SD Data'!J1352)</f>
        <v/>
      </c>
      <c r="J1355" s="34">
        <f t="shared" si="21"/>
        <v>1781</v>
      </c>
      <c r="K1355" s="29" t="str">
        <f>IF('Paste SD Data'!O1352="","",'Paste SD Data'!O1352)</f>
        <v/>
      </c>
    </row>
    <row r="1356" spans="1:11" ht="30" customHeight="1" x14ac:dyDescent="0.25">
      <c r="A1356" s="25" t="str">
        <f>IF(Table1[[#This Row],[Name of Student]]="","",ROWS($A$1:A1352))</f>
        <v/>
      </c>
      <c r="B1356" s="26" t="str">
        <f>IF('Paste SD Data'!A1353="","",'Paste SD Data'!A1353)</f>
        <v/>
      </c>
      <c r="C1356" s="26" t="str">
        <f>IF('Paste SD Data'!B1353="","",'Paste SD Data'!B1353)</f>
        <v/>
      </c>
      <c r="D1356" s="26" t="str">
        <f>IF('Paste SD Data'!C1353="","",'Paste SD Data'!C1353)</f>
        <v/>
      </c>
      <c r="E1356" s="27" t="str">
        <f>IF('Paste SD Data'!E1353="","",UPPER('Paste SD Data'!E1353))</f>
        <v/>
      </c>
      <c r="F1356" s="27" t="str">
        <f>IF('Paste SD Data'!G1353="","",UPPER('Paste SD Data'!G1353))</f>
        <v/>
      </c>
      <c r="G1356" s="27" t="str">
        <f>IF('Paste SD Data'!H1353="","",UPPER('Paste SD Data'!H1353))</f>
        <v/>
      </c>
      <c r="H1356" s="26" t="str">
        <f>IF('Paste SD Data'!I1353="","",IF('Paste SD Data'!I1353="M","BOY","GIRL"))</f>
        <v/>
      </c>
      <c r="I1356" s="28" t="str">
        <f>IF('Paste SD Data'!J1353="","",'Paste SD Data'!J1353)</f>
        <v/>
      </c>
      <c r="J1356" s="34">
        <f t="shared" si="21"/>
        <v>1782</v>
      </c>
      <c r="K1356" s="29" t="str">
        <f>IF('Paste SD Data'!O1353="","",'Paste SD Data'!O1353)</f>
        <v/>
      </c>
    </row>
    <row r="1357" spans="1:11" ht="30" customHeight="1" x14ac:dyDescent="0.25">
      <c r="A1357" s="25" t="str">
        <f>IF(Table1[[#This Row],[Name of Student]]="","",ROWS($A$1:A1353))</f>
        <v/>
      </c>
      <c r="B1357" s="26" t="str">
        <f>IF('Paste SD Data'!A1354="","",'Paste SD Data'!A1354)</f>
        <v/>
      </c>
      <c r="C1357" s="26" t="str">
        <f>IF('Paste SD Data'!B1354="","",'Paste SD Data'!B1354)</f>
        <v/>
      </c>
      <c r="D1357" s="26" t="str">
        <f>IF('Paste SD Data'!C1354="","",'Paste SD Data'!C1354)</f>
        <v/>
      </c>
      <c r="E1357" s="27" t="str">
        <f>IF('Paste SD Data'!E1354="","",UPPER('Paste SD Data'!E1354))</f>
        <v/>
      </c>
      <c r="F1357" s="27" t="str">
        <f>IF('Paste SD Data'!G1354="","",UPPER('Paste SD Data'!G1354))</f>
        <v/>
      </c>
      <c r="G1357" s="27" t="str">
        <f>IF('Paste SD Data'!H1354="","",UPPER('Paste SD Data'!H1354))</f>
        <v/>
      </c>
      <c r="H1357" s="26" t="str">
        <f>IF('Paste SD Data'!I1354="","",IF('Paste SD Data'!I1354="M","BOY","GIRL"))</f>
        <v/>
      </c>
      <c r="I1357" s="28" t="str">
        <f>IF('Paste SD Data'!J1354="","",'Paste SD Data'!J1354)</f>
        <v/>
      </c>
      <c r="J1357" s="34">
        <f t="shared" si="21"/>
        <v>1783</v>
      </c>
      <c r="K1357" s="29" t="str">
        <f>IF('Paste SD Data'!O1354="","",'Paste SD Data'!O1354)</f>
        <v/>
      </c>
    </row>
    <row r="1358" spans="1:11" ht="30" customHeight="1" x14ac:dyDescent="0.25">
      <c r="A1358" s="25" t="str">
        <f>IF(Table1[[#This Row],[Name of Student]]="","",ROWS($A$1:A1354))</f>
        <v/>
      </c>
      <c r="B1358" s="26" t="str">
        <f>IF('Paste SD Data'!A1355="","",'Paste SD Data'!A1355)</f>
        <v/>
      </c>
      <c r="C1358" s="26" t="str">
        <f>IF('Paste SD Data'!B1355="","",'Paste SD Data'!B1355)</f>
        <v/>
      </c>
      <c r="D1358" s="26" t="str">
        <f>IF('Paste SD Data'!C1355="","",'Paste SD Data'!C1355)</f>
        <v/>
      </c>
      <c r="E1358" s="27" t="str">
        <f>IF('Paste SD Data'!E1355="","",UPPER('Paste SD Data'!E1355))</f>
        <v/>
      </c>
      <c r="F1358" s="27" t="str">
        <f>IF('Paste SD Data'!G1355="","",UPPER('Paste SD Data'!G1355))</f>
        <v/>
      </c>
      <c r="G1358" s="27" t="str">
        <f>IF('Paste SD Data'!H1355="","",UPPER('Paste SD Data'!H1355))</f>
        <v/>
      </c>
      <c r="H1358" s="26" t="str">
        <f>IF('Paste SD Data'!I1355="","",IF('Paste SD Data'!I1355="M","BOY","GIRL"))</f>
        <v/>
      </c>
      <c r="I1358" s="28" t="str">
        <f>IF('Paste SD Data'!J1355="","",'Paste SD Data'!J1355)</f>
        <v/>
      </c>
      <c r="J1358" s="34">
        <f t="shared" si="21"/>
        <v>1784</v>
      </c>
      <c r="K1358" s="29" t="str">
        <f>IF('Paste SD Data'!O1355="","",'Paste SD Data'!O1355)</f>
        <v/>
      </c>
    </row>
    <row r="1359" spans="1:11" ht="30" customHeight="1" x14ac:dyDescent="0.25">
      <c r="A1359" s="25" t="str">
        <f>IF(Table1[[#This Row],[Name of Student]]="","",ROWS($A$1:A1355))</f>
        <v/>
      </c>
      <c r="B1359" s="26" t="str">
        <f>IF('Paste SD Data'!A1356="","",'Paste SD Data'!A1356)</f>
        <v/>
      </c>
      <c r="C1359" s="26" t="str">
        <f>IF('Paste SD Data'!B1356="","",'Paste SD Data'!B1356)</f>
        <v/>
      </c>
      <c r="D1359" s="26" t="str">
        <f>IF('Paste SD Data'!C1356="","",'Paste SD Data'!C1356)</f>
        <v/>
      </c>
      <c r="E1359" s="27" t="str">
        <f>IF('Paste SD Data'!E1356="","",UPPER('Paste SD Data'!E1356))</f>
        <v/>
      </c>
      <c r="F1359" s="27" t="str">
        <f>IF('Paste SD Data'!G1356="","",UPPER('Paste SD Data'!G1356))</f>
        <v/>
      </c>
      <c r="G1359" s="27" t="str">
        <f>IF('Paste SD Data'!H1356="","",UPPER('Paste SD Data'!H1356))</f>
        <v/>
      </c>
      <c r="H1359" s="26" t="str">
        <f>IF('Paste SD Data'!I1356="","",IF('Paste SD Data'!I1356="M","BOY","GIRL"))</f>
        <v/>
      </c>
      <c r="I1359" s="28" t="str">
        <f>IF('Paste SD Data'!J1356="","",'Paste SD Data'!J1356)</f>
        <v/>
      </c>
      <c r="J1359" s="34">
        <f t="shared" si="21"/>
        <v>1785</v>
      </c>
      <c r="K1359" s="29" t="str">
        <f>IF('Paste SD Data'!O1356="","",'Paste SD Data'!O1356)</f>
        <v/>
      </c>
    </row>
    <row r="1360" spans="1:11" ht="30" customHeight="1" x14ac:dyDescent="0.25">
      <c r="A1360" s="25" t="str">
        <f>IF(Table1[[#This Row],[Name of Student]]="","",ROWS($A$1:A1356))</f>
        <v/>
      </c>
      <c r="B1360" s="26" t="str">
        <f>IF('Paste SD Data'!A1357="","",'Paste SD Data'!A1357)</f>
        <v/>
      </c>
      <c r="C1360" s="26" t="str">
        <f>IF('Paste SD Data'!B1357="","",'Paste SD Data'!B1357)</f>
        <v/>
      </c>
      <c r="D1360" s="26" t="str">
        <f>IF('Paste SD Data'!C1357="","",'Paste SD Data'!C1357)</f>
        <v/>
      </c>
      <c r="E1360" s="27" t="str">
        <f>IF('Paste SD Data'!E1357="","",UPPER('Paste SD Data'!E1357))</f>
        <v/>
      </c>
      <c r="F1360" s="27" t="str">
        <f>IF('Paste SD Data'!G1357="","",UPPER('Paste SD Data'!G1357))</f>
        <v/>
      </c>
      <c r="G1360" s="27" t="str">
        <f>IF('Paste SD Data'!H1357="","",UPPER('Paste SD Data'!H1357))</f>
        <v/>
      </c>
      <c r="H1360" s="26" t="str">
        <f>IF('Paste SD Data'!I1357="","",IF('Paste SD Data'!I1357="M","BOY","GIRL"))</f>
        <v/>
      </c>
      <c r="I1360" s="28" t="str">
        <f>IF('Paste SD Data'!J1357="","",'Paste SD Data'!J1357)</f>
        <v/>
      </c>
      <c r="J1360" s="34">
        <f t="shared" si="21"/>
        <v>1786</v>
      </c>
      <c r="K1360" s="29" t="str">
        <f>IF('Paste SD Data'!O1357="","",'Paste SD Data'!O1357)</f>
        <v/>
      </c>
    </row>
    <row r="1361" spans="1:11" ht="30" customHeight="1" x14ac:dyDescent="0.25">
      <c r="A1361" s="25" t="str">
        <f>IF(Table1[[#This Row],[Name of Student]]="","",ROWS($A$1:A1357))</f>
        <v/>
      </c>
      <c r="B1361" s="26" t="str">
        <f>IF('Paste SD Data'!A1358="","",'Paste SD Data'!A1358)</f>
        <v/>
      </c>
      <c r="C1361" s="26" t="str">
        <f>IF('Paste SD Data'!B1358="","",'Paste SD Data'!B1358)</f>
        <v/>
      </c>
      <c r="D1361" s="26" t="str">
        <f>IF('Paste SD Data'!C1358="","",'Paste SD Data'!C1358)</f>
        <v/>
      </c>
      <c r="E1361" s="27" t="str">
        <f>IF('Paste SD Data'!E1358="","",UPPER('Paste SD Data'!E1358))</f>
        <v/>
      </c>
      <c r="F1361" s="27" t="str">
        <f>IF('Paste SD Data'!G1358="","",UPPER('Paste SD Data'!G1358))</f>
        <v/>
      </c>
      <c r="G1361" s="27" t="str">
        <f>IF('Paste SD Data'!H1358="","",UPPER('Paste SD Data'!H1358))</f>
        <v/>
      </c>
      <c r="H1361" s="26" t="str">
        <f>IF('Paste SD Data'!I1358="","",IF('Paste SD Data'!I1358="M","BOY","GIRL"))</f>
        <v/>
      </c>
      <c r="I1361" s="28" t="str">
        <f>IF('Paste SD Data'!J1358="","",'Paste SD Data'!J1358)</f>
        <v/>
      </c>
      <c r="J1361" s="34">
        <f t="shared" si="21"/>
        <v>1787</v>
      </c>
      <c r="K1361" s="29" t="str">
        <f>IF('Paste SD Data'!O1358="","",'Paste SD Data'!O1358)</f>
        <v/>
      </c>
    </row>
    <row r="1362" spans="1:11" ht="30" customHeight="1" x14ac:dyDescent="0.25">
      <c r="A1362" s="25" t="str">
        <f>IF(Table1[[#This Row],[Name of Student]]="","",ROWS($A$1:A1358))</f>
        <v/>
      </c>
      <c r="B1362" s="26" t="str">
        <f>IF('Paste SD Data'!A1359="","",'Paste SD Data'!A1359)</f>
        <v/>
      </c>
      <c r="C1362" s="26" t="str">
        <f>IF('Paste SD Data'!B1359="","",'Paste SD Data'!B1359)</f>
        <v/>
      </c>
      <c r="D1362" s="26" t="str">
        <f>IF('Paste SD Data'!C1359="","",'Paste SD Data'!C1359)</f>
        <v/>
      </c>
      <c r="E1362" s="27" t="str">
        <f>IF('Paste SD Data'!E1359="","",UPPER('Paste SD Data'!E1359))</f>
        <v/>
      </c>
      <c r="F1362" s="27" t="str">
        <f>IF('Paste SD Data'!G1359="","",UPPER('Paste SD Data'!G1359))</f>
        <v/>
      </c>
      <c r="G1362" s="27" t="str">
        <f>IF('Paste SD Data'!H1359="","",UPPER('Paste SD Data'!H1359))</f>
        <v/>
      </c>
      <c r="H1362" s="26" t="str">
        <f>IF('Paste SD Data'!I1359="","",IF('Paste SD Data'!I1359="M","BOY","GIRL"))</f>
        <v/>
      </c>
      <c r="I1362" s="28" t="str">
        <f>IF('Paste SD Data'!J1359="","",'Paste SD Data'!J1359)</f>
        <v/>
      </c>
      <c r="J1362" s="34">
        <f t="shared" si="21"/>
        <v>1788</v>
      </c>
      <c r="K1362" s="29" t="str">
        <f>IF('Paste SD Data'!O1359="","",'Paste SD Data'!O1359)</f>
        <v/>
      </c>
    </row>
    <row r="1363" spans="1:11" ht="30" customHeight="1" x14ac:dyDescent="0.25">
      <c r="A1363" s="25" t="str">
        <f>IF(Table1[[#This Row],[Name of Student]]="","",ROWS($A$1:A1359))</f>
        <v/>
      </c>
      <c r="B1363" s="26" t="str">
        <f>IF('Paste SD Data'!A1360="","",'Paste SD Data'!A1360)</f>
        <v/>
      </c>
      <c r="C1363" s="26" t="str">
        <f>IF('Paste SD Data'!B1360="","",'Paste SD Data'!B1360)</f>
        <v/>
      </c>
      <c r="D1363" s="26" t="str">
        <f>IF('Paste SD Data'!C1360="","",'Paste SD Data'!C1360)</f>
        <v/>
      </c>
      <c r="E1363" s="27" t="str">
        <f>IF('Paste SD Data'!E1360="","",UPPER('Paste SD Data'!E1360))</f>
        <v/>
      </c>
      <c r="F1363" s="27" t="str">
        <f>IF('Paste SD Data'!G1360="","",UPPER('Paste SD Data'!G1360))</f>
        <v/>
      </c>
      <c r="G1363" s="27" t="str">
        <f>IF('Paste SD Data'!H1360="","",UPPER('Paste SD Data'!H1360))</f>
        <v/>
      </c>
      <c r="H1363" s="26" t="str">
        <f>IF('Paste SD Data'!I1360="","",IF('Paste SD Data'!I1360="M","BOY","GIRL"))</f>
        <v/>
      </c>
      <c r="I1363" s="28" t="str">
        <f>IF('Paste SD Data'!J1360="","",'Paste SD Data'!J1360)</f>
        <v/>
      </c>
      <c r="J1363" s="34">
        <f t="shared" si="21"/>
        <v>1789</v>
      </c>
      <c r="K1363" s="29" t="str">
        <f>IF('Paste SD Data'!O1360="","",'Paste SD Data'!O1360)</f>
        <v/>
      </c>
    </row>
    <row r="1364" spans="1:11" ht="30" customHeight="1" x14ac:dyDescent="0.25">
      <c r="A1364" s="25" t="str">
        <f>IF(Table1[[#This Row],[Name of Student]]="","",ROWS($A$1:A1360))</f>
        <v/>
      </c>
      <c r="B1364" s="26" t="str">
        <f>IF('Paste SD Data'!A1361="","",'Paste SD Data'!A1361)</f>
        <v/>
      </c>
      <c r="C1364" s="26" t="str">
        <f>IF('Paste SD Data'!B1361="","",'Paste SD Data'!B1361)</f>
        <v/>
      </c>
      <c r="D1364" s="26" t="str">
        <f>IF('Paste SD Data'!C1361="","",'Paste SD Data'!C1361)</f>
        <v/>
      </c>
      <c r="E1364" s="27" t="str">
        <f>IF('Paste SD Data'!E1361="","",UPPER('Paste SD Data'!E1361))</f>
        <v/>
      </c>
      <c r="F1364" s="27" t="str">
        <f>IF('Paste SD Data'!G1361="","",UPPER('Paste SD Data'!G1361))</f>
        <v/>
      </c>
      <c r="G1364" s="27" t="str">
        <f>IF('Paste SD Data'!H1361="","",UPPER('Paste SD Data'!H1361))</f>
        <v/>
      </c>
      <c r="H1364" s="26" t="str">
        <f>IF('Paste SD Data'!I1361="","",IF('Paste SD Data'!I1361="M","BOY","GIRL"))</f>
        <v/>
      </c>
      <c r="I1364" s="28" t="str">
        <f>IF('Paste SD Data'!J1361="","",'Paste SD Data'!J1361)</f>
        <v/>
      </c>
      <c r="J1364" s="34">
        <f t="shared" si="21"/>
        <v>1790</v>
      </c>
      <c r="K1364" s="29" t="str">
        <f>IF('Paste SD Data'!O1361="","",'Paste SD Data'!O1361)</f>
        <v/>
      </c>
    </row>
    <row r="1365" spans="1:11" ht="30" customHeight="1" x14ac:dyDescent="0.25">
      <c r="A1365" s="25" t="str">
        <f>IF(Table1[[#This Row],[Name of Student]]="","",ROWS($A$1:A1361))</f>
        <v/>
      </c>
      <c r="B1365" s="26" t="str">
        <f>IF('Paste SD Data'!A1362="","",'Paste SD Data'!A1362)</f>
        <v/>
      </c>
      <c r="C1365" s="26" t="str">
        <f>IF('Paste SD Data'!B1362="","",'Paste SD Data'!B1362)</f>
        <v/>
      </c>
      <c r="D1365" s="26" t="str">
        <f>IF('Paste SD Data'!C1362="","",'Paste SD Data'!C1362)</f>
        <v/>
      </c>
      <c r="E1365" s="27" t="str">
        <f>IF('Paste SD Data'!E1362="","",UPPER('Paste SD Data'!E1362))</f>
        <v/>
      </c>
      <c r="F1365" s="27" t="str">
        <f>IF('Paste SD Data'!G1362="","",UPPER('Paste SD Data'!G1362))</f>
        <v/>
      </c>
      <c r="G1365" s="27" t="str">
        <f>IF('Paste SD Data'!H1362="","",UPPER('Paste SD Data'!H1362))</f>
        <v/>
      </c>
      <c r="H1365" s="26" t="str">
        <f>IF('Paste SD Data'!I1362="","",IF('Paste SD Data'!I1362="M","BOY","GIRL"))</f>
        <v/>
      </c>
      <c r="I1365" s="28" t="str">
        <f>IF('Paste SD Data'!J1362="","",'Paste SD Data'!J1362)</f>
        <v/>
      </c>
      <c r="J1365" s="34">
        <f t="shared" si="21"/>
        <v>1791</v>
      </c>
      <c r="K1365" s="29" t="str">
        <f>IF('Paste SD Data'!O1362="","",'Paste SD Data'!O1362)</f>
        <v/>
      </c>
    </row>
    <row r="1366" spans="1:11" ht="30" customHeight="1" x14ac:dyDescent="0.25">
      <c r="A1366" s="25" t="str">
        <f>IF(Table1[[#This Row],[Name of Student]]="","",ROWS($A$1:A1362))</f>
        <v/>
      </c>
      <c r="B1366" s="26" t="str">
        <f>IF('Paste SD Data'!A1363="","",'Paste SD Data'!A1363)</f>
        <v/>
      </c>
      <c r="C1366" s="26" t="str">
        <f>IF('Paste SD Data'!B1363="","",'Paste SD Data'!B1363)</f>
        <v/>
      </c>
      <c r="D1366" s="26" t="str">
        <f>IF('Paste SD Data'!C1363="","",'Paste SD Data'!C1363)</f>
        <v/>
      </c>
      <c r="E1366" s="27" t="str">
        <f>IF('Paste SD Data'!E1363="","",UPPER('Paste SD Data'!E1363))</f>
        <v/>
      </c>
      <c r="F1366" s="27" t="str">
        <f>IF('Paste SD Data'!G1363="","",UPPER('Paste SD Data'!G1363))</f>
        <v/>
      </c>
      <c r="G1366" s="27" t="str">
        <f>IF('Paste SD Data'!H1363="","",UPPER('Paste SD Data'!H1363))</f>
        <v/>
      </c>
      <c r="H1366" s="26" t="str">
        <f>IF('Paste SD Data'!I1363="","",IF('Paste SD Data'!I1363="M","BOY","GIRL"))</f>
        <v/>
      </c>
      <c r="I1366" s="28" t="str">
        <f>IF('Paste SD Data'!J1363="","",'Paste SD Data'!J1363)</f>
        <v/>
      </c>
      <c r="J1366" s="34">
        <f t="shared" si="21"/>
        <v>1792</v>
      </c>
      <c r="K1366" s="29" t="str">
        <f>IF('Paste SD Data'!O1363="","",'Paste SD Data'!O1363)</f>
        <v/>
      </c>
    </row>
    <row r="1367" spans="1:11" ht="30" customHeight="1" x14ac:dyDescent="0.25">
      <c r="A1367" s="25" t="str">
        <f>IF(Table1[[#This Row],[Name of Student]]="","",ROWS($A$1:A1363))</f>
        <v/>
      </c>
      <c r="B1367" s="26" t="str">
        <f>IF('Paste SD Data'!A1364="","",'Paste SD Data'!A1364)</f>
        <v/>
      </c>
      <c r="C1367" s="26" t="str">
        <f>IF('Paste SD Data'!B1364="","",'Paste SD Data'!B1364)</f>
        <v/>
      </c>
      <c r="D1367" s="26" t="str">
        <f>IF('Paste SD Data'!C1364="","",'Paste SD Data'!C1364)</f>
        <v/>
      </c>
      <c r="E1367" s="27" t="str">
        <f>IF('Paste SD Data'!E1364="","",UPPER('Paste SD Data'!E1364))</f>
        <v/>
      </c>
      <c r="F1367" s="27" t="str">
        <f>IF('Paste SD Data'!G1364="","",UPPER('Paste SD Data'!G1364))</f>
        <v/>
      </c>
      <c r="G1367" s="27" t="str">
        <f>IF('Paste SD Data'!H1364="","",UPPER('Paste SD Data'!H1364))</f>
        <v/>
      </c>
      <c r="H1367" s="26" t="str">
        <f>IF('Paste SD Data'!I1364="","",IF('Paste SD Data'!I1364="M","BOY","GIRL"))</f>
        <v/>
      </c>
      <c r="I1367" s="28" t="str">
        <f>IF('Paste SD Data'!J1364="","",'Paste SD Data'!J1364)</f>
        <v/>
      </c>
      <c r="J1367" s="34">
        <f t="shared" si="21"/>
        <v>1793</v>
      </c>
      <c r="K1367" s="29" t="str">
        <f>IF('Paste SD Data'!O1364="","",'Paste SD Data'!O1364)</f>
        <v/>
      </c>
    </row>
    <row r="1368" spans="1:11" ht="30" customHeight="1" x14ac:dyDescent="0.25">
      <c r="A1368" s="25" t="str">
        <f>IF(Table1[[#This Row],[Name of Student]]="","",ROWS($A$1:A1364))</f>
        <v/>
      </c>
      <c r="B1368" s="26" t="str">
        <f>IF('Paste SD Data'!A1365="","",'Paste SD Data'!A1365)</f>
        <v/>
      </c>
      <c r="C1368" s="26" t="str">
        <f>IF('Paste SD Data'!B1365="","",'Paste SD Data'!B1365)</f>
        <v/>
      </c>
      <c r="D1368" s="26" t="str">
        <f>IF('Paste SD Data'!C1365="","",'Paste SD Data'!C1365)</f>
        <v/>
      </c>
      <c r="E1368" s="27" t="str">
        <f>IF('Paste SD Data'!E1365="","",UPPER('Paste SD Data'!E1365))</f>
        <v/>
      </c>
      <c r="F1368" s="27" t="str">
        <f>IF('Paste SD Data'!G1365="","",UPPER('Paste SD Data'!G1365))</f>
        <v/>
      </c>
      <c r="G1368" s="27" t="str">
        <f>IF('Paste SD Data'!H1365="","",UPPER('Paste SD Data'!H1365))</f>
        <v/>
      </c>
      <c r="H1368" s="26" t="str">
        <f>IF('Paste SD Data'!I1365="","",IF('Paste SD Data'!I1365="M","BOY","GIRL"))</f>
        <v/>
      </c>
      <c r="I1368" s="28" t="str">
        <f>IF('Paste SD Data'!J1365="","",'Paste SD Data'!J1365)</f>
        <v/>
      </c>
      <c r="J1368" s="34">
        <f t="shared" si="21"/>
        <v>1794</v>
      </c>
      <c r="K1368" s="29" t="str">
        <f>IF('Paste SD Data'!O1365="","",'Paste SD Data'!O1365)</f>
        <v/>
      </c>
    </row>
    <row r="1369" spans="1:11" ht="30" customHeight="1" x14ac:dyDescent="0.25">
      <c r="A1369" s="25" t="str">
        <f>IF(Table1[[#This Row],[Name of Student]]="","",ROWS($A$1:A1365))</f>
        <v/>
      </c>
      <c r="B1369" s="26" t="str">
        <f>IF('Paste SD Data'!A1366="","",'Paste SD Data'!A1366)</f>
        <v/>
      </c>
      <c r="C1369" s="26" t="str">
        <f>IF('Paste SD Data'!B1366="","",'Paste SD Data'!B1366)</f>
        <v/>
      </c>
      <c r="D1369" s="26" t="str">
        <f>IF('Paste SD Data'!C1366="","",'Paste SD Data'!C1366)</f>
        <v/>
      </c>
      <c r="E1369" s="27" t="str">
        <f>IF('Paste SD Data'!E1366="","",UPPER('Paste SD Data'!E1366))</f>
        <v/>
      </c>
      <c r="F1369" s="27" t="str">
        <f>IF('Paste SD Data'!G1366="","",UPPER('Paste SD Data'!G1366))</f>
        <v/>
      </c>
      <c r="G1369" s="27" t="str">
        <f>IF('Paste SD Data'!H1366="","",UPPER('Paste SD Data'!H1366))</f>
        <v/>
      </c>
      <c r="H1369" s="26" t="str">
        <f>IF('Paste SD Data'!I1366="","",IF('Paste SD Data'!I1366="M","BOY","GIRL"))</f>
        <v/>
      </c>
      <c r="I1369" s="28" t="str">
        <f>IF('Paste SD Data'!J1366="","",'Paste SD Data'!J1366)</f>
        <v/>
      </c>
      <c r="J1369" s="34">
        <f t="shared" si="21"/>
        <v>1795</v>
      </c>
      <c r="K1369" s="29" t="str">
        <f>IF('Paste SD Data'!O1366="","",'Paste SD Data'!O1366)</f>
        <v/>
      </c>
    </row>
    <row r="1370" spans="1:11" ht="30" customHeight="1" x14ac:dyDescent="0.25">
      <c r="A1370" s="25" t="str">
        <f>IF(Table1[[#This Row],[Name of Student]]="","",ROWS($A$1:A1366))</f>
        <v/>
      </c>
      <c r="B1370" s="26" t="str">
        <f>IF('Paste SD Data'!A1367="","",'Paste SD Data'!A1367)</f>
        <v/>
      </c>
      <c r="C1370" s="26" t="str">
        <f>IF('Paste SD Data'!B1367="","",'Paste SD Data'!B1367)</f>
        <v/>
      </c>
      <c r="D1370" s="26" t="str">
        <f>IF('Paste SD Data'!C1367="","",'Paste SD Data'!C1367)</f>
        <v/>
      </c>
      <c r="E1370" s="27" t="str">
        <f>IF('Paste SD Data'!E1367="","",UPPER('Paste SD Data'!E1367))</f>
        <v/>
      </c>
      <c r="F1370" s="27" t="str">
        <f>IF('Paste SD Data'!G1367="","",UPPER('Paste SD Data'!G1367))</f>
        <v/>
      </c>
      <c r="G1370" s="27" t="str">
        <f>IF('Paste SD Data'!H1367="","",UPPER('Paste SD Data'!H1367))</f>
        <v/>
      </c>
      <c r="H1370" s="26" t="str">
        <f>IF('Paste SD Data'!I1367="","",IF('Paste SD Data'!I1367="M","BOY","GIRL"))</f>
        <v/>
      </c>
      <c r="I1370" s="28" t="str">
        <f>IF('Paste SD Data'!J1367="","",'Paste SD Data'!J1367)</f>
        <v/>
      </c>
      <c r="J1370" s="34">
        <f t="shared" si="21"/>
        <v>1796</v>
      </c>
      <c r="K1370" s="29" t="str">
        <f>IF('Paste SD Data'!O1367="","",'Paste SD Data'!O1367)</f>
        <v/>
      </c>
    </row>
    <row r="1371" spans="1:11" ht="30" customHeight="1" x14ac:dyDescent="0.25">
      <c r="A1371" s="25" t="str">
        <f>IF(Table1[[#This Row],[Name of Student]]="","",ROWS($A$1:A1367))</f>
        <v/>
      </c>
      <c r="B1371" s="26" t="str">
        <f>IF('Paste SD Data'!A1368="","",'Paste SD Data'!A1368)</f>
        <v/>
      </c>
      <c r="C1371" s="26" t="str">
        <f>IF('Paste SD Data'!B1368="","",'Paste SD Data'!B1368)</f>
        <v/>
      </c>
      <c r="D1371" s="26" t="str">
        <f>IF('Paste SD Data'!C1368="","",'Paste SD Data'!C1368)</f>
        <v/>
      </c>
      <c r="E1371" s="27" t="str">
        <f>IF('Paste SD Data'!E1368="","",UPPER('Paste SD Data'!E1368))</f>
        <v/>
      </c>
      <c r="F1371" s="27" t="str">
        <f>IF('Paste SD Data'!G1368="","",UPPER('Paste SD Data'!G1368))</f>
        <v/>
      </c>
      <c r="G1371" s="27" t="str">
        <f>IF('Paste SD Data'!H1368="","",UPPER('Paste SD Data'!H1368))</f>
        <v/>
      </c>
      <c r="H1371" s="26" t="str">
        <f>IF('Paste SD Data'!I1368="","",IF('Paste SD Data'!I1368="M","BOY","GIRL"))</f>
        <v/>
      </c>
      <c r="I1371" s="28" t="str">
        <f>IF('Paste SD Data'!J1368="","",'Paste SD Data'!J1368)</f>
        <v/>
      </c>
      <c r="J1371" s="34">
        <f t="shared" si="21"/>
        <v>1797</v>
      </c>
      <c r="K1371" s="29" t="str">
        <f>IF('Paste SD Data'!O1368="","",'Paste SD Data'!O1368)</f>
        <v/>
      </c>
    </row>
    <row r="1372" spans="1:11" ht="30" customHeight="1" x14ac:dyDescent="0.25">
      <c r="A1372" s="25" t="str">
        <f>IF(Table1[[#This Row],[Name of Student]]="","",ROWS($A$1:A1368))</f>
        <v/>
      </c>
      <c r="B1372" s="26" t="str">
        <f>IF('Paste SD Data'!A1369="","",'Paste SD Data'!A1369)</f>
        <v/>
      </c>
      <c r="C1372" s="26" t="str">
        <f>IF('Paste SD Data'!B1369="","",'Paste SD Data'!B1369)</f>
        <v/>
      </c>
      <c r="D1372" s="26" t="str">
        <f>IF('Paste SD Data'!C1369="","",'Paste SD Data'!C1369)</f>
        <v/>
      </c>
      <c r="E1372" s="27" t="str">
        <f>IF('Paste SD Data'!E1369="","",UPPER('Paste SD Data'!E1369))</f>
        <v/>
      </c>
      <c r="F1372" s="27" t="str">
        <f>IF('Paste SD Data'!G1369="","",UPPER('Paste SD Data'!G1369))</f>
        <v/>
      </c>
      <c r="G1372" s="27" t="str">
        <f>IF('Paste SD Data'!H1369="","",UPPER('Paste SD Data'!H1369))</f>
        <v/>
      </c>
      <c r="H1372" s="26" t="str">
        <f>IF('Paste SD Data'!I1369="","",IF('Paste SD Data'!I1369="M","BOY","GIRL"))</f>
        <v/>
      </c>
      <c r="I1372" s="28" t="str">
        <f>IF('Paste SD Data'!J1369="","",'Paste SD Data'!J1369)</f>
        <v/>
      </c>
      <c r="J1372" s="34">
        <f t="shared" si="21"/>
        <v>1798</v>
      </c>
      <c r="K1372" s="29" t="str">
        <f>IF('Paste SD Data'!O1369="","",'Paste SD Data'!O1369)</f>
        <v/>
      </c>
    </row>
    <row r="1373" spans="1:11" ht="30" customHeight="1" x14ac:dyDescent="0.25">
      <c r="A1373" s="25" t="str">
        <f>IF(Table1[[#This Row],[Name of Student]]="","",ROWS($A$1:A1369))</f>
        <v/>
      </c>
      <c r="B1373" s="26" t="str">
        <f>IF('Paste SD Data'!A1370="","",'Paste SD Data'!A1370)</f>
        <v/>
      </c>
      <c r="C1373" s="26" t="str">
        <f>IF('Paste SD Data'!B1370="","",'Paste SD Data'!B1370)</f>
        <v/>
      </c>
      <c r="D1373" s="26" t="str">
        <f>IF('Paste SD Data'!C1370="","",'Paste SD Data'!C1370)</f>
        <v/>
      </c>
      <c r="E1373" s="27" t="str">
        <f>IF('Paste SD Data'!E1370="","",UPPER('Paste SD Data'!E1370))</f>
        <v/>
      </c>
      <c r="F1373" s="27" t="str">
        <f>IF('Paste SD Data'!G1370="","",UPPER('Paste SD Data'!G1370))</f>
        <v/>
      </c>
      <c r="G1373" s="27" t="str">
        <f>IF('Paste SD Data'!H1370="","",UPPER('Paste SD Data'!H1370))</f>
        <v/>
      </c>
      <c r="H1373" s="26" t="str">
        <f>IF('Paste SD Data'!I1370="","",IF('Paste SD Data'!I1370="M","BOY","GIRL"))</f>
        <v/>
      </c>
      <c r="I1373" s="28" t="str">
        <f>IF('Paste SD Data'!J1370="","",'Paste SD Data'!J1370)</f>
        <v/>
      </c>
      <c r="J1373" s="34">
        <f t="shared" si="21"/>
        <v>1799</v>
      </c>
      <c r="K1373" s="29" t="str">
        <f>IF('Paste SD Data'!O1370="","",'Paste SD Data'!O1370)</f>
        <v/>
      </c>
    </row>
    <row r="1374" spans="1:11" ht="30" customHeight="1" x14ac:dyDescent="0.25">
      <c r="A1374" s="25" t="str">
        <f>IF(Table1[[#This Row],[Name of Student]]="","",ROWS($A$1:A1370))</f>
        <v/>
      </c>
      <c r="B1374" s="26" t="str">
        <f>IF('Paste SD Data'!A1371="","",'Paste SD Data'!A1371)</f>
        <v/>
      </c>
      <c r="C1374" s="26" t="str">
        <f>IF('Paste SD Data'!B1371="","",'Paste SD Data'!B1371)</f>
        <v/>
      </c>
      <c r="D1374" s="26" t="str">
        <f>IF('Paste SD Data'!C1371="","",'Paste SD Data'!C1371)</f>
        <v/>
      </c>
      <c r="E1374" s="27" t="str">
        <f>IF('Paste SD Data'!E1371="","",UPPER('Paste SD Data'!E1371))</f>
        <v/>
      </c>
      <c r="F1374" s="27" t="str">
        <f>IF('Paste SD Data'!G1371="","",UPPER('Paste SD Data'!G1371))</f>
        <v/>
      </c>
      <c r="G1374" s="27" t="str">
        <f>IF('Paste SD Data'!H1371="","",UPPER('Paste SD Data'!H1371))</f>
        <v/>
      </c>
      <c r="H1374" s="26" t="str">
        <f>IF('Paste SD Data'!I1371="","",IF('Paste SD Data'!I1371="M","BOY","GIRL"))</f>
        <v/>
      </c>
      <c r="I1374" s="28" t="str">
        <f>IF('Paste SD Data'!J1371="","",'Paste SD Data'!J1371)</f>
        <v/>
      </c>
      <c r="J1374" s="34">
        <f t="shared" si="21"/>
        <v>1800</v>
      </c>
      <c r="K1374" s="29" t="str">
        <f>IF('Paste SD Data'!O1371="","",'Paste SD Data'!O1371)</f>
        <v/>
      </c>
    </row>
    <row r="1375" spans="1:11" ht="30" customHeight="1" x14ac:dyDescent="0.25">
      <c r="A1375" s="25" t="str">
        <f>IF(Table1[[#This Row],[Name of Student]]="","",ROWS($A$1:A1371))</f>
        <v/>
      </c>
      <c r="B1375" s="26" t="str">
        <f>IF('Paste SD Data'!A1372="","",'Paste SD Data'!A1372)</f>
        <v/>
      </c>
      <c r="C1375" s="26" t="str">
        <f>IF('Paste SD Data'!B1372="","",'Paste SD Data'!B1372)</f>
        <v/>
      </c>
      <c r="D1375" s="26" t="str">
        <f>IF('Paste SD Data'!C1372="","",'Paste SD Data'!C1372)</f>
        <v/>
      </c>
      <c r="E1375" s="27" t="str">
        <f>IF('Paste SD Data'!E1372="","",UPPER('Paste SD Data'!E1372))</f>
        <v/>
      </c>
      <c r="F1375" s="27" t="str">
        <f>IF('Paste SD Data'!G1372="","",UPPER('Paste SD Data'!G1372))</f>
        <v/>
      </c>
      <c r="G1375" s="27" t="str">
        <f>IF('Paste SD Data'!H1372="","",UPPER('Paste SD Data'!H1372))</f>
        <v/>
      </c>
      <c r="H1375" s="26" t="str">
        <f>IF('Paste SD Data'!I1372="","",IF('Paste SD Data'!I1372="M","BOY","GIRL"))</f>
        <v/>
      </c>
      <c r="I1375" s="28" t="str">
        <f>IF('Paste SD Data'!J1372="","",'Paste SD Data'!J1372)</f>
        <v/>
      </c>
      <c r="J1375" s="34">
        <f t="shared" si="21"/>
        <v>1801</v>
      </c>
      <c r="K1375" s="29" t="str">
        <f>IF('Paste SD Data'!O1372="","",'Paste SD Data'!O1372)</f>
        <v/>
      </c>
    </row>
    <row r="1376" spans="1:11" ht="30" customHeight="1" x14ac:dyDescent="0.25">
      <c r="A1376" s="25" t="str">
        <f>IF(Table1[[#This Row],[Name of Student]]="","",ROWS($A$1:A1372))</f>
        <v/>
      </c>
      <c r="B1376" s="26" t="str">
        <f>IF('Paste SD Data'!A1373="","",'Paste SD Data'!A1373)</f>
        <v/>
      </c>
      <c r="C1376" s="26" t="str">
        <f>IF('Paste SD Data'!B1373="","",'Paste SD Data'!B1373)</f>
        <v/>
      </c>
      <c r="D1376" s="26" t="str">
        <f>IF('Paste SD Data'!C1373="","",'Paste SD Data'!C1373)</f>
        <v/>
      </c>
      <c r="E1376" s="27" t="str">
        <f>IF('Paste SD Data'!E1373="","",UPPER('Paste SD Data'!E1373))</f>
        <v/>
      </c>
      <c r="F1376" s="27" t="str">
        <f>IF('Paste SD Data'!G1373="","",UPPER('Paste SD Data'!G1373))</f>
        <v/>
      </c>
      <c r="G1376" s="27" t="str">
        <f>IF('Paste SD Data'!H1373="","",UPPER('Paste SD Data'!H1373))</f>
        <v/>
      </c>
      <c r="H1376" s="26" t="str">
        <f>IF('Paste SD Data'!I1373="","",IF('Paste SD Data'!I1373="M","BOY","GIRL"))</f>
        <v/>
      </c>
      <c r="I1376" s="28" t="str">
        <f>IF('Paste SD Data'!J1373="","",'Paste SD Data'!J1373)</f>
        <v/>
      </c>
      <c r="J1376" s="34">
        <f t="shared" si="21"/>
        <v>1802</v>
      </c>
      <c r="K1376" s="29" t="str">
        <f>IF('Paste SD Data'!O1373="","",'Paste SD Data'!O1373)</f>
        <v/>
      </c>
    </row>
    <row r="1377" spans="1:11" ht="30" customHeight="1" x14ac:dyDescent="0.25">
      <c r="A1377" s="25" t="str">
        <f>IF(Table1[[#This Row],[Name of Student]]="","",ROWS($A$1:A1373))</f>
        <v/>
      </c>
      <c r="B1377" s="26" t="str">
        <f>IF('Paste SD Data'!A1374="","",'Paste SD Data'!A1374)</f>
        <v/>
      </c>
      <c r="C1377" s="26" t="str">
        <f>IF('Paste SD Data'!B1374="","",'Paste SD Data'!B1374)</f>
        <v/>
      </c>
      <c r="D1377" s="26" t="str">
        <f>IF('Paste SD Data'!C1374="","",'Paste SD Data'!C1374)</f>
        <v/>
      </c>
      <c r="E1377" s="27" t="str">
        <f>IF('Paste SD Data'!E1374="","",UPPER('Paste SD Data'!E1374))</f>
        <v/>
      </c>
      <c r="F1377" s="27" t="str">
        <f>IF('Paste SD Data'!G1374="","",UPPER('Paste SD Data'!G1374))</f>
        <v/>
      </c>
      <c r="G1377" s="27" t="str">
        <f>IF('Paste SD Data'!H1374="","",UPPER('Paste SD Data'!H1374))</f>
        <v/>
      </c>
      <c r="H1377" s="26" t="str">
        <f>IF('Paste SD Data'!I1374="","",IF('Paste SD Data'!I1374="M","BOY","GIRL"))</f>
        <v/>
      </c>
      <c r="I1377" s="28" t="str">
        <f>IF('Paste SD Data'!J1374="","",'Paste SD Data'!J1374)</f>
        <v/>
      </c>
      <c r="J1377" s="34">
        <f t="shared" si="21"/>
        <v>1803</v>
      </c>
      <c r="K1377" s="29" t="str">
        <f>IF('Paste SD Data'!O1374="","",'Paste SD Data'!O1374)</f>
        <v/>
      </c>
    </row>
    <row r="1378" spans="1:11" ht="30" customHeight="1" x14ac:dyDescent="0.25">
      <c r="A1378" s="25" t="str">
        <f>IF(Table1[[#This Row],[Name of Student]]="","",ROWS($A$1:A1374))</f>
        <v/>
      </c>
      <c r="B1378" s="26" t="str">
        <f>IF('Paste SD Data'!A1375="","",'Paste SD Data'!A1375)</f>
        <v/>
      </c>
      <c r="C1378" s="26" t="str">
        <f>IF('Paste SD Data'!B1375="","",'Paste SD Data'!B1375)</f>
        <v/>
      </c>
      <c r="D1378" s="26" t="str">
        <f>IF('Paste SD Data'!C1375="","",'Paste SD Data'!C1375)</f>
        <v/>
      </c>
      <c r="E1378" s="27" t="str">
        <f>IF('Paste SD Data'!E1375="","",UPPER('Paste SD Data'!E1375))</f>
        <v/>
      </c>
      <c r="F1378" s="27" t="str">
        <f>IF('Paste SD Data'!G1375="","",UPPER('Paste SD Data'!G1375))</f>
        <v/>
      </c>
      <c r="G1378" s="27" t="str">
        <f>IF('Paste SD Data'!H1375="","",UPPER('Paste SD Data'!H1375))</f>
        <v/>
      </c>
      <c r="H1378" s="26" t="str">
        <f>IF('Paste SD Data'!I1375="","",IF('Paste SD Data'!I1375="M","BOY","GIRL"))</f>
        <v/>
      </c>
      <c r="I1378" s="28" t="str">
        <f>IF('Paste SD Data'!J1375="","",'Paste SD Data'!J1375)</f>
        <v/>
      </c>
      <c r="J1378" s="34">
        <f t="shared" si="21"/>
        <v>1804</v>
      </c>
      <c r="K1378" s="29" t="str">
        <f>IF('Paste SD Data'!O1375="","",'Paste SD Data'!O1375)</f>
        <v/>
      </c>
    </row>
    <row r="1379" spans="1:11" ht="30" customHeight="1" x14ac:dyDescent="0.25">
      <c r="A1379" s="25" t="str">
        <f>IF(Table1[[#This Row],[Name of Student]]="","",ROWS($A$1:A1375))</f>
        <v/>
      </c>
      <c r="B1379" s="26" t="str">
        <f>IF('Paste SD Data'!A1376="","",'Paste SD Data'!A1376)</f>
        <v/>
      </c>
      <c r="C1379" s="26" t="str">
        <f>IF('Paste SD Data'!B1376="","",'Paste SD Data'!B1376)</f>
        <v/>
      </c>
      <c r="D1379" s="26" t="str">
        <f>IF('Paste SD Data'!C1376="","",'Paste SD Data'!C1376)</f>
        <v/>
      </c>
      <c r="E1379" s="27" t="str">
        <f>IF('Paste SD Data'!E1376="","",UPPER('Paste SD Data'!E1376))</f>
        <v/>
      </c>
      <c r="F1379" s="27" t="str">
        <f>IF('Paste SD Data'!G1376="","",UPPER('Paste SD Data'!G1376))</f>
        <v/>
      </c>
      <c r="G1379" s="27" t="str">
        <f>IF('Paste SD Data'!H1376="","",UPPER('Paste SD Data'!H1376))</f>
        <v/>
      </c>
      <c r="H1379" s="26" t="str">
        <f>IF('Paste SD Data'!I1376="","",IF('Paste SD Data'!I1376="M","BOY","GIRL"))</f>
        <v/>
      </c>
      <c r="I1379" s="28" t="str">
        <f>IF('Paste SD Data'!J1376="","",'Paste SD Data'!J1376)</f>
        <v/>
      </c>
      <c r="J1379" s="34">
        <f t="shared" si="21"/>
        <v>1805</v>
      </c>
      <c r="K1379" s="29" t="str">
        <f>IF('Paste SD Data'!O1376="","",'Paste SD Data'!O1376)</f>
        <v/>
      </c>
    </row>
    <row r="1380" spans="1:11" ht="30" customHeight="1" x14ac:dyDescent="0.25">
      <c r="A1380" s="25" t="str">
        <f>IF(Table1[[#This Row],[Name of Student]]="","",ROWS($A$1:A1376))</f>
        <v/>
      </c>
      <c r="B1380" s="26" t="str">
        <f>IF('Paste SD Data'!A1377="","",'Paste SD Data'!A1377)</f>
        <v/>
      </c>
      <c r="C1380" s="26" t="str">
        <f>IF('Paste SD Data'!B1377="","",'Paste SD Data'!B1377)</f>
        <v/>
      </c>
      <c r="D1380" s="26" t="str">
        <f>IF('Paste SD Data'!C1377="","",'Paste SD Data'!C1377)</f>
        <v/>
      </c>
      <c r="E1380" s="27" t="str">
        <f>IF('Paste SD Data'!E1377="","",UPPER('Paste SD Data'!E1377))</f>
        <v/>
      </c>
      <c r="F1380" s="27" t="str">
        <f>IF('Paste SD Data'!G1377="","",UPPER('Paste SD Data'!G1377))</f>
        <v/>
      </c>
      <c r="G1380" s="27" t="str">
        <f>IF('Paste SD Data'!H1377="","",UPPER('Paste SD Data'!H1377))</f>
        <v/>
      </c>
      <c r="H1380" s="26" t="str">
        <f>IF('Paste SD Data'!I1377="","",IF('Paste SD Data'!I1377="M","BOY","GIRL"))</f>
        <v/>
      </c>
      <c r="I1380" s="28" t="str">
        <f>IF('Paste SD Data'!J1377="","",'Paste SD Data'!J1377)</f>
        <v/>
      </c>
      <c r="J1380" s="34">
        <f t="shared" si="21"/>
        <v>1806</v>
      </c>
      <c r="K1380" s="29" t="str">
        <f>IF('Paste SD Data'!O1377="","",'Paste SD Data'!O1377)</f>
        <v/>
      </c>
    </row>
    <row r="1381" spans="1:11" ht="30" customHeight="1" x14ac:dyDescent="0.25">
      <c r="A1381" s="25" t="str">
        <f>IF(Table1[[#This Row],[Name of Student]]="","",ROWS($A$1:A1377))</f>
        <v/>
      </c>
      <c r="B1381" s="26" t="str">
        <f>IF('Paste SD Data'!A1378="","",'Paste SD Data'!A1378)</f>
        <v/>
      </c>
      <c r="C1381" s="26" t="str">
        <f>IF('Paste SD Data'!B1378="","",'Paste SD Data'!B1378)</f>
        <v/>
      </c>
      <c r="D1381" s="26" t="str">
        <f>IF('Paste SD Data'!C1378="","",'Paste SD Data'!C1378)</f>
        <v/>
      </c>
      <c r="E1381" s="27" t="str">
        <f>IF('Paste SD Data'!E1378="","",UPPER('Paste SD Data'!E1378))</f>
        <v/>
      </c>
      <c r="F1381" s="27" t="str">
        <f>IF('Paste SD Data'!G1378="","",UPPER('Paste SD Data'!G1378))</f>
        <v/>
      </c>
      <c r="G1381" s="27" t="str">
        <f>IF('Paste SD Data'!H1378="","",UPPER('Paste SD Data'!H1378))</f>
        <v/>
      </c>
      <c r="H1381" s="26" t="str">
        <f>IF('Paste SD Data'!I1378="","",IF('Paste SD Data'!I1378="M","BOY","GIRL"))</f>
        <v/>
      </c>
      <c r="I1381" s="28" t="str">
        <f>IF('Paste SD Data'!J1378="","",'Paste SD Data'!J1378)</f>
        <v/>
      </c>
      <c r="J1381" s="34">
        <f t="shared" si="21"/>
        <v>1807</v>
      </c>
      <c r="K1381" s="29" t="str">
        <f>IF('Paste SD Data'!O1378="","",'Paste SD Data'!O1378)</f>
        <v/>
      </c>
    </row>
    <row r="1382" spans="1:11" ht="30" customHeight="1" x14ac:dyDescent="0.25">
      <c r="A1382" s="25" t="str">
        <f>IF(Table1[[#This Row],[Name of Student]]="","",ROWS($A$1:A1378))</f>
        <v/>
      </c>
      <c r="B1382" s="26" t="str">
        <f>IF('Paste SD Data'!A1379="","",'Paste SD Data'!A1379)</f>
        <v/>
      </c>
      <c r="C1382" s="26" t="str">
        <f>IF('Paste SD Data'!B1379="","",'Paste SD Data'!B1379)</f>
        <v/>
      </c>
      <c r="D1382" s="26" t="str">
        <f>IF('Paste SD Data'!C1379="","",'Paste SD Data'!C1379)</f>
        <v/>
      </c>
      <c r="E1382" s="27" t="str">
        <f>IF('Paste SD Data'!E1379="","",UPPER('Paste SD Data'!E1379))</f>
        <v/>
      </c>
      <c r="F1382" s="27" t="str">
        <f>IF('Paste SD Data'!G1379="","",UPPER('Paste SD Data'!G1379))</f>
        <v/>
      </c>
      <c r="G1382" s="27" t="str">
        <f>IF('Paste SD Data'!H1379="","",UPPER('Paste SD Data'!H1379))</f>
        <v/>
      </c>
      <c r="H1382" s="26" t="str">
        <f>IF('Paste SD Data'!I1379="","",IF('Paste SD Data'!I1379="M","BOY","GIRL"))</f>
        <v/>
      </c>
      <c r="I1382" s="28" t="str">
        <f>IF('Paste SD Data'!J1379="","",'Paste SD Data'!J1379)</f>
        <v/>
      </c>
      <c r="J1382" s="34">
        <f t="shared" si="21"/>
        <v>1808</v>
      </c>
      <c r="K1382" s="29" t="str">
        <f>IF('Paste SD Data'!O1379="","",'Paste SD Data'!O1379)</f>
        <v/>
      </c>
    </row>
    <row r="1383" spans="1:11" ht="30" customHeight="1" x14ac:dyDescent="0.25">
      <c r="A1383" s="25" t="str">
        <f>IF(Table1[[#This Row],[Name of Student]]="","",ROWS($A$1:A1379))</f>
        <v/>
      </c>
      <c r="B1383" s="26" t="str">
        <f>IF('Paste SD Data'!A1380="","",'Paste SD Data'!A1380)</f>
        <v/>
      </c>
      <c r="C1383" s="26" t="str">
        <f>IF('Paste SD Data'!B1380="","",'Paste SD Data'!B1380)</f>
        <v/>
      </c>
      <c r="D1383" s="26" t="str">
        <f>IF('Paste SD Data'!C1380="","",'Paste SD Data'!C1380)</f>
        <v/>
      </c>
      <c r="E1383" s="27" t="str">
        <f>IF('Paste SD Data'!E1380="","",UPPER('Paste SD Data'!E1380))</f>
        <v/>
      </c>
      <c r="F1383" s="27" t="str">
        <f>IF('Paste SD Data'!G1380="","",UPPER('Paste SD Data'!G1380))</f>
        <v/>
      </c>
      <c r="G1383" s="27" t="str">
        <f>IF('Paste SD Data'!H1380="","",UPPER('Paste SD Data'!H1380))</f>
        <v/>
      </c>
      <c r="H1383" s="26" t="str">
        <f>IF('Paste SD Data'!I1380="","",IF('Paste SD Data'!I1380="M","BOY","GIRL"))</f>
        <v/>
      </c>
      <c r="I1383" s="28" t="str">
        <f>IF('Paste SD Data'!J1380="","",'Paste SD Data'!J1380)</f>
        <v/>
      </c>
      <c r="J1383" s="34">
        <f t="shared" si="21"/>
        <v>1809</v>
      </c>
      <c r="K1383" s="29" t="str">
        <f>IF('Paste SD Data'!O1380="","",'Paste SD Data'!O1380)</f>
        <v/>
      </c>
    </row>
    <row r="1384" spans="1:11" ht="30" customHeight="1" x14ac:dyDescent="0.25">
      <c r="A1384" s="25" t="str">
        <f>IF(Table1[[#This Row],[Name of Student]]="","",ROWS($A$1:A1380))</f>
        <v/>
      </c>
      <c r="B1384" s="26" t="str">
        <f>IF('Paste SD Data'!A1381="","",'Paste SD Data'!A1381)</f>
        <v/>
      </c>
      <c r="C1384" s="26" t="str">
        <f>IF('Paste SD Data'!B1381="","",'Paste SD Data'!B1381)</f>
        <v/>
      </c>
      <c r="D1384" s="26" t="str">
        <f>IF('Paste SD Data'!C1381="","",'Paste SD Data'!C1381)</f>
        <v/>
      </c>
      <c r="E1384" s="27" t="str">
        <f>IF('Paste SD Data'!E1381="","",UPPER('Paste SD Data'!E1381))</f>
        <v/>
      </c>
      <c r="F1384" s="27" t="str">
        <f>IF('Paste SD Data'!G1381="","",UPPER('Paste SD Data'!G1381))</f>
        <v/>
      </c>
      <c r="G1384" s="27" t="str">
        <f>IF('Paste SD Data'!H1381="","",UPPER('Paste SD Data'!H1381))</f>
        <v/>
      </c>
      <c r="H1384" s="26" t="str">
        <f>IF('Paste SD Data'!I1381="","",IF('Paste SD Data'!I1381="M","BOY","GIRL"))</f>
        <v/>
      </c>
      <c r="I1384" s="28" t="str">
        <f>IF('Paste SD Data'!J1381="","",'Paste SD Data'!J1381)</f>
        <v/>
      </c>
      <c r="J1384" s="34">
        <f t="shared" si="21"/>
        <v>1810</v>
      </c>
      <c r="K1384" s="29" t="str">
        <f>IF('Paste SD Data'!O1381="","",'Paste SD Data'!O1381)</f>
        <v/>
      </c>
    </row>
    <row r="1385" spans="1:11" ht="30" customHeight="1" x14ac:dyDescent="0.25">
      <c r="A1385" s="25" t="str">
        <f>IF(Table1[[#This Row],[Name of Student]]="","",ROWS($A$1:A1381))</f>
        <v/>
      </c>
      <c r="B1385" s="26" t="str">
        <f>IF('Paste SD Data'!A1382="","",'Paste SD Data'!A1382)</f>
        <v/>
      </c>
      <c r="C1385" s="26" t="str">
        <f>IF('Paste SD Data'!B1382="","",'Paste SD Data'!B1382)</f>
        <v/>
      </c>
      <c r="D1385" s="26" t="str">
        <f>IF('Paste SD Data'!C1382="","",'Paste SD Data'!C1382)</f>
        <v/>
      </c>
      <c r="E1385" s="27" t="str">
        <f>IF('Paste SD Data'!E1382="","",UPPER('Paste SD Data'!E1382))</f>
        <v/>
      </c>
      <c r="F1385" s="27" t="str">
        <f>IF('Paste SD Data'!G1382="","",UPPER('Paste SD Data'!G1382))</f>
        <v/>
      </c>
      <c r="G1385" s="27" t="str">
        <f>IF('Paste SD Data'!H1382="","",UPPER('Paste SD Data'!H1382))</f>
        <v/>
      </c>
      <c r="H1385" s="26" t="str">
        <f>IF('Paste SD Data'!I1382="","",IF('Paste SD Data'!I1382="M","BOY","GIRL"))</f>
        <v/>
      </c>
      <c r="I1385" s="28" t="str">
        <f>IF('Paste SD Data'!J1382="","",'Paste SD Data'!J1382)</f>
        <v/>
      </c>
      <c r="J1385" s="34">
        <f t="shared" si="21"/>
        <v>1811</v>
      </c>
      <c r="K1385" s="29" t="str">
        <f>IF('Paste SD Data'!O1382="","",'Paste SD Data'!O1382)</f>
        <v/>
      </c>
    </row>
    <row r="1386" spans="1:11" ht="30" customHeight="1" x14ac:dyDescent="0.25">
      <c r="A1386" s="25" t="str">
        <f>IF(Table1[[#This Row],[Name of Student]]="","",ROWS($A$1:A1382))</f>
        <v/>
      </c>
      <c r="B1386" s="26" t="str">
        <f>IF('Paste SD Data'!A1383="","",'Paste SD Data'!A1383)</f>
        <v/>
      </c>
      <c r="C1386" s="26" t="str">
        <f>IF('Paste SD Data'!B1383="","",'Paste SD Data'!B1383)</f>
        <v/>
      </c>
      <c r="D1386" s="26" t="str">
        <f>IF('Paste SD Data'!C1383="","",'Paste SD Data'!C1383)</f>
        <v/>
      </c>
      <c r="E1386" s="27" t="str">
        <f>IF('Paste SD Data'!E1383="","",UPPER('Paste SD Data'!E1383))</f>
        <v/>
      </c>
      <c r="F1386" s="27" t="str">
        <f>IF('Paste SD Data'!G1383="","",UPPER('Paste SD Data'!G1383))</f>
        <v/>
      </c>
      <c r="G1386" s="27" t="str">
        <f>IF('Paste SD Data'!H1383="","",UPPER('Paste SD Data'!H1383))</f>
        <v/>
      </c>
      <c r="H1386" s="26" t="str">
        <f>IF('Paste SD Data'!I1383="","",IF('Paste SD Data'!I1383="M","BOY","GIRL"))</f>
        <v/>
      </c>
      <c r="I1386" s="28" t="str">
        <f>IF('Paste SD Data'!J1383="","",'Paste SD Data'!J1383)</f>
        <v/>
      </c>
      <c r="J1386" s="34">
        <f t="shared" si="21"/>
        <v>1812</v>
      </c>
      <c r="K1386" s="29" t="str">
        <f>IF('Paste SD Data'!O1383="","",'Paste SD Data'!O1383)</f>
        <v/>
      </c>
    </row>
    <row r="1387" spans="1:11" ht="30" customHeight="1" x14ac:dyDescent="0.25">
      <c r="A1387" s="25" t="str">
        <f>IF(Table1[[#This Row],[Name of Student]]="","",ROWS($A$1:A1383))</f>
        <v/>
      </c>
      <c r="B1387" s="26" t="str">
        <f>IF('Paste SD Data'!A1384="","",'Paste SD Data'!A1384)</f>
        <v/>
      </c>
      <c r="C1387" s="26" t="str">
        <f>IF('Paste SD Data'!B1384="","",'Paste SD Data'!B1384)</f>
        <v/>
      </c>
      <c r="D1387" s="26" t="str">
        <f>IF('Paste SD Data'!C1384="","",'Paste SD Data'!C1384)</f>
        <v/>
      </c>
      <c r="E1387" s="27" t="str">
        <f>IF('Paste SD Data'!E1384="","",UPPER('Paste SD Data'!E1384))</f>
        <v/>
      </c>
      <c r="F1387" s="27" t="str">
        <f>IF('Paste SD Data'!G1384="","",UPPER('Paste SD Data'!G1384))</f>
        <v/>
      </c>
      <c r="G1387" s="27" t="str">
        <f>IF('Paste SD Data'!H1384="","",UPPER('Paste SD Data'!H1384))</f>
        <v/>
      </c>
      <c r="H1387" s="26" t="str">
        <f>IF('Paste SD Data'!I1384="","",IF('Paste SD Data'!I1384="M","BOY","GIRL"))</f>
        <v/>
      </c>
      <c r="I1387" s="28" t="str">
        <f>IF('Paste SD Data'!J1384="","",'Paste SD Data'!J1384)</f>
        <v/>
      </c>
      <c r="J1387" s="34">
        <f t="shared" si="21"/>
        <v>1813</v>
      </c>
      <c r="K1387" s="29" t="str">
        <f>IF('Paste SD Data'!O1384="","",'Paste SD Data'!O1384)</f>
        <v/>
      </c>
    </row>
    <row r="1388" spans="1:11" ht="30" customHeight="1" x14ac:dyDescent="0.25">
      <c r="A1388" s="25" t="str">
        <f>IF(Table1[[#This Row],[Name of Student]]="","",ROWS($A$1:A1384))</f>
        <v/>
      </c>
      <c r="B1388" s="26" t="str">
        <f>IF('Paste SD Data'!A1385="","",'Paste SD Data'!A1385)</f>
        <v/>
      </c>
      <c r="C1388" s="26" t="str">
        <f>IF('Paste SD Data'!B1385="","",'Paste SD Data'!B1385)</f>
        <v/>
      </c>
      <c r="D1388" s="26" t="str">
        <f>IF('Paste SD Data'!C1385="","",'Paste SD Data'!C1385)</f>
        <v/>
      </c>
      <c r="E1388" s="27" t="str">
        <f>IF('Paste SD Data'!E1385="","",UPPER('Paste SD Data'!E1385))</f>
        <v/>
      </c>
      <c r="F1388" s="27" t="str">
        <f>IF('Paste SD Data'!G1385="","",UPPER('Paste SD Data'!G1385))</f>
        <v/>
      </c>
      <c r="G1388" s="27" t="str">
        <f>IF('Paste SD Data'!H1385="","",UPPER('Paste SD Data'!H1385))</f>
        <v/>
      </c>
      <c r="H1388" s="26" t="str">
        <f>IF('Paste SD Data'!I1385="","",IF('Paste SD Data'!I1385="M","BOY","GIRL"))</f>
        <v/>
      </c>
      <c r="I1388" s="28" t="str">
        <f>IF('Paste SD Data'!J1385="","",'Paste SD Data'!J1385)</f>
        <v/>
      </c>
      <c r="J1388" s="34">
        <f t="shared" si="21"/>
        <v>1814</v>
      </c>
      <c r="K1388" s="29" t="str">
        <f>IF('Paste SD Data'!O1385="","",'Paste SD Data'!O1385)</f>
        <v/>
      </c>
    </row>
    <row r="1389" spans="1:11" ht="30" customHeight="1" x14ac:dyDescent="0.25">
      <c r="A1389" s="25" t="str">
        <f>IF(Table1[[#This Row],[Name of Student]]="","",ROWS($A$1:A1385))</f>
        <v/>
      </c>
      <c r="B1389" s="26" t="str">
        <f>IF('Paste SD Data'!A1386="","",'Paste SD Data'!A1386)</f>
        <v/>
      </c>
      <c r="C1389" s="26" t="str">
        <f>IF('Paste SD Data'!B1386="","",'Paste SD Data'!B1386)</f>
        <v/>
      </c>
      <c r="D1389" s="26" t="str">
        <f>IF('Paste SD Data'!C1386="","",'Paste SD Data'!C1386)</f>
        <v/>
      </c>
      <c r="E1389" s="27" t="str">
        <f>IF('Paste SD Data'!E1386="","",UPPER('Paste SD Data'!E1386))</f>
        <v/>
      </c>
      <c r="F1389" s="27" t="str">
        <f>IF('Paste SD Data'!G1386="","",UPPER('Paste SD Data'!G1386))</f>
        <v/>
      </c>
      <c r="G1389" s="27" t="str">
        <f>IF('Paste SD Data'!H1386="","",UPPER('Paste SD Data'!H1386))</f>
        <v/>
      </c>
      <c r="H1389" s="26" t="str">
        <f>IF('Paste SD Data'!I1386="","",IF('Paste SD Data'!I1386="M","BOY","GIRL"))</f>
        <v/>
      </c>
      <c r="I1389" s="28" t="str">
        <f>IF('Paste SD Data'!J1386="","",'Paste SD Data'!J1386)</f>
        <v/>
      </c>
      <c r="J1389" s="34">
        <f t="shared" si="21"/>
        <v>1815</v>
      </c>
      <c r="K1389" s="29" t="str">
        <f>IF('Paste SD Data'!O1386="","",'Paste SD Data'!O1386)</f>
        <v/>
      </c>
    </row>
    <row r="1390" spans="1:11" ht="30" customHeight="1" x14ac:dyDescent="0.25">
      <c r="A1390" s="25" t="str">
        <f>IF(Table1[[#This Row],[Name of Student]]="","",ROWS($A$1:A1386))</f>
        <v/>
      </c>
      <c r="B1390" s="26" t="str">
        <f>IF('Paste SD Data'!A1387="","",'Paste SD Data'!A1387)</f>
        <v/>
      </c>
      <c r="C1390" s="26" t="str">
        <f>IF('Paste SD Data'!B1387="","",'Paste SD Data'!B1387)</f>
        <v/>
      </c>
      <c r="D1390" s="26" t="str">
        <f>IF('Paste SD Data'!C1387="","",'Paste SD Data'!C1387)</f>
        <v/>
      </c>
      <c r="E1390" s="27" t="str">
        <f>IF('Paste SD Data'!E1387="","",UPPER('Paste SD Data'!E1387))</f>
        <v/>
      </c>
      <c r="F1390" s="27" t="str">
        <f>IF('Paste SD Data'!G1387="","",UPPER('Paste SD Data'!G1387))</f>
        <v/>
      </c>
      <c r="G1390" s="27" t="str">
        <f>IF('Paste SD Data'!H1387="","",UPPER('Paste SD Data'!H1387))</f>
        <v/>
      </c>
      <c r="H1390" s="26" t="str">
        <f>IF('Paste SD Data'!I1387="","",IF('Paste SD Data'!I1387="M","BOY","GIRL"))</f>
        <v/>
      </c>
      <c r="I1390" s="28" t="str">
        <f>IF('Paste SD Data'!J1387="","",'Paste SD Data'!J1387)</f>
        <v/>
      </c>
      <c r="J1390" s="34">
        <f t="shared" si="21"/>
        <v>1816</v>
      </c>
      <c r="K1390" s="29" t="str">
        <f>IF('Paste SD Data'!O1387="","",'Paste SD Data'!O1387)</f>
        <v/>
      </c>
    </row>
    <row r="1391" spans="1:11" ht="30" customHeight="1" x14ac:dyDescent="0.25">
      <c r="A1391" s="25" t="str">
        <f>IF(Table1[[#This Row],[Name of Student]]="","",ROWS($A$1:A1387))</f>
        <v/>
      </c>
      <c r="B1391" s="26" t="str">
        <f>IF('Paste SD Data'!A1388="","",'Paste SD Data'!A1388)</f>
        <v/>
      </c>
      <c r="C1391" s="26" t="str">
        <f>IF('Paste SD Data'!B1388="","",'Paste SD Data'!B1388)</f>
        <v/>
      </c>
      <c r="D1391" s="26" t="str">
        <f>IF('Paste SD Data'!C1388="","",'Paste SD Data'!C1388)</f>
        <v/>
      </c>
      <c r="E1391" s="27" t="str">
        <f>IF('Paste SD Data'!E1388="","",UPPER('Paste SD Data'!E1388))</f>
        <v/>
      </c>
      <c r="F1391" s="27" t="str">
        <f>IF('Paste SD Data'!G1388="","",UPPER('Paste SD Data'!G1388))</f>
        <v/>
      </c>
      <c r="G1391" s="27" t="str">
        <f>IF('Paste SD Data'!H1388="","",UPPER('Paste SD Data'!H1388))</f>
        <v/>
      </c>
      <c r="H1391" s="26" t="str">
        <f>IF('Paste SD Data'!I1388="","",IF('Paste SD Data'!I1388="M","BOY","GIRL"))</f>
        <v/>
      </c>
      <c r="I1391" s="28" t="str">
        <f>IF('Paste SD Data'!J1388="","",'Paste SD Data'!J1388)</f>
        <v/>
      </c>
      <c r="J1391" s="34">
        <f t="shared" si="21"/>
        <v>1817</v>
      </c>
      <c r="K1391" s="29" t="str">
        <f>IF('Paste SD Data'!O1388="","",'Paste SD Data'!O1388)</f>
        <v/>
      </c>
    </row>
    <row r="1392" spans="1:11" ht="30" customHeight="1" x14ac:dyDescent="0.25">
      <c r="A1392" s="25" t="str">
        <f>IF(Table1[[#This Row],[Name of Student]]="","",ROWS($A$1:A1388))</f>
        <v/>
      </c>
      <c r="B1392" s="26" t="str">
        <f>IF('Paste SD Data'!A1389="","",'Paste SD Data'!A1389)</f>
        <v/>
      </c>
      <c r="C1392" s="26" t="str">
        <f>IF('Paste SD Data'!B1389="","",'Paste SD Data'!B1389)</f>
        <v/>
      </c>
      <c r="D1392" s="26" t="str">
        <f>IF('Paste SD Data'!C1389="","",'Paste SD Data'!C1389)</f>
        <v/>
      </c>
      <c r="E1392" s="27" t="str">
        <f>IF('Paste SD Data'!E1389="","",UPPER('Paste SD Data'!E1389))</f>
        <v/>
      </c>
      <c r="F1392" s="27" t="str">
        <f>IF('Paste SD Data'!G1389="","",UPPER('Paste SD Data'!G1389))</f>
        <v/>
      </c>
      <c r="G1392" s="27" t="str">
        <f>IF('Paste SD Data'!H1389="","",UPPER('Paste SD Data'!H1389))</f>
        <v/>
      </c>
      <c r="H1392" s="26" t="str">
        <f>IF('Paste SD Data'!I1389="","",IF('Paste SD Data'!I1389="M","BOY","GIRL"))</f>
        <v/>
      </c>
      <c r="I1392" s="28" t="str">
        <f>IF('Paste SD Data'!J1389="","",'Paste SD Data'!J1389)</f>
        <v/>
      </c>
      <c r="J1392" s="34">
        <f t="shared" si="21"/>
        <v>1818</v>
      </c>
      <c r="K1392" s="29" t="str">
        <f>IF('Paste SD Data'!O1389="","",'Paste SD Data'!O1389)</f>
        <v/>
      </c>
    </row>
    <row r="1393" spans="1:11" ht="30" customHeight="1" x14ac:dyDescent="0.25">
      <c r="A1393" s="25" t="str">
        <f>IF(Table1[[#This Row],[Name of Student]]="","",ROWS($A$1:A1389))</f>
        <v/>
      </c>
      <c r="B1393" s="26" t="str">
        <f>IF('Paste SD Data'!A1390="","",'Paste SD Data'!A1390)</f>
        <v/>
      </c>
      <c r="C1393" s="26" t="str">
        <f>IF('Paste SD Data'!B1390="","",'Paste SD Data'!B1390)</f>
        <v/>
      </c>
      <c r="D1393" s="26" t="str">
        <f>IF('Paste SD Data'!C1390="","",'Paste SD Data'!C1390)</f>
        <v/>
      </c>
      <c r="E1393" s="27" t="str">
        <f>IF('Paste SD Data'!E1390="","",UPPER('Paste SD Data'!E1390))</f>
        <v/>
      </c>
      <c r="F1393" s="27" t="str">
        <f>IF('Paste SD Data'!G1390="","",UPPER('Paste SD Data'!G1390))</f>
        <v/>
      </c>
      <c r="G1393" s="27" t="str">
        <f>IF('Paste SD Data'!H1390="","",UPPER('Paste SD Data'!H1390))</f>
        <v/>
      </c>
      <c r="H1393" s="26" t="str">
        <f>IF('Paste SD Data'!I1390="","",IF('Paste SD Data'!I1390="M","BOY","GIRL"))</f>
        <v/>
      </c>
      <c r="I1393" s="28" t="str">
        <f>IF('Paste SD Data'!J1390="","",'Paste SD Data'!J1390)</f>
        <v/>
      </c>
      <c r="J1393" s="34">
        <f t="shared" si="21"/>
        <v>1819</v>
      </c>
      <c r="K1393" s="29" t="str">
        <f>IF('Paste SD Data'!O1390="","",'Paste SD Data'!O1390)</f>
        <v/>
      </c>
    </row>
    <row r="1394" spans="1:11" ht="30" customHeight="1" x14ac:dyDescent="0.25">
      <c r="A1394" s="25" t="str">
        <f>IF(Table1[[#This Row],[Name of Student]]="","",ROWS($A$1:A1390))</f>
        <v/>
      </c>
      <c r="B1394" s="26" t="str">
        <f>IF('Paste SD Data'!A1391="","",'Paste SD Data'!A1391)</f>
        <v/>
      </c>
      <c r="C1394" s="26" t="str">
        <f>IF('Paste SD Data'!B1391="","",'Paste SD Data'!B1391)</f>
        <v/>
      </c>
      <c r="D1394" s="26" t="str">
        <f>IF('Paste SD Data'!C1391="","",'Paste SD Data'!C1391)</f>
        <v/>
      </c>
      <c r="E1394" s="27" t="str">
        <f>IF('Paste SD Data'!E1391="","",UPPER('Paste SD Data'!E1391))</f>
        <v/>
      </c>
      <c r="F1394" s="27" t="str">
        <f>IF('Paste SD Data'!G1391="","",UPPER('Paste SD Data'!G1391))</f>
        <v/>
      </c>
      <c r="G1394" s="27" t="str">
        <f>IF('Paste SD Data'!H1391="","",UPPER('Paste SD Data'!H1391))</f>
        <v/>
      </c>
      <c r="H1394" s="26" t="str">
        <f>IF('Paste SD Data'!I1391="","",IF('Paste SD Data'!I1391="M","BOY","GIRL"))</f>
        <v/>
      </c>
      <c r="I1394" s="28" t="str">
        <f>IF('Paste SD Data'!J1391="","",'Paste SD Data'!J1391)</f>
        <v/>
      </c>
      <c r="J1394" s="34">
        <f t="shared" si="21"/>
        <v>1820</v>
      </c>
      <c r="K1394" s="29" t="str">
        <f>IF('Paste SD Data'!O1391="","",'Paste SD Data'!O1391)</f>
        <v/>
      </c>
    </row>
    <row r="1395" spans="1:11" ht="30" customHeight="1" x14ac:dyDescent="0.25">
      <c r="A1395" s="25" t="str">
        <f>IF(Table1[[#This Row],[Name of Student]]="","",ROWS($A$1:A1391))</f>
        <v/>
      </c>
      <c r="B1395" s="26" t="str">
        <f>IF('Paste SD Data'!A1392="","",'Paste SD Data'!A1392)</f>
        <v/>
      </c>
      <c r="C1395" s="26" t="str">
        <f>IF('Paste SD Data'!B1392="","",'Paste SD Data'!B1392)</f>
        <v/>
      </c>
      <c r="D1395" s="26" t="str">
        <f>IF('Paste SD Data'!C1392="","",'Paste SD Data'!C1392)</f>
        <v/>
      </c>
      <c r="E1395" s="27" t="str">
        <f>IF('Paste SD Data'!E1392="","",UPPER('Paste SD Data'!E1392))</f>
        <v/>
      </c>
      <c r="F1395" s="27" t="str">
        <f>IF('Paste SD Data'!G1392="","",UPPER('Paste SD Data'!G1392))</f>
        <v/>
      </c>
      <c r="G1395" s="27" t="str">
        <f>IF('Paste SD Data'!H1392="","",UPPER('Paste SD Data'!H1392))</f>
        <v/>
      </c>
      <c r="H1395" s="26" t="str">
        <f>IF('Paste SD Data'!I1392="","",IF('Paste SD Data'!I1392="M","BOY","GIRL"))</f>
        <v/>
      </c>
      <c r="I1395" s="28" t="str">
        <f>IF('Paste SD Data'!J1392="","",'Paste SD Data'!J1392)</f>
        <v/>
      </c>
      <c r="J1395" s="34">
        <f t="shared" si="21"/>
        <v>1821</v>
      </c>
      <c r="K1395" s="29" t="str">
        <f>IF('Paste SD Data'!O1392="","",'Paste SD Data'!O1392)</f>
        <v/>
      </c>
    </row>
    <row r="1396" spans="1:11" ht="30" customHeight="1" x14ac:dyDescent="0.25">
      <c r="A1396" s="25" t="str">
        <f>IF(Table1[[#This Row],[Name of Student]]="","",ROWS($A$1:A1392))</f>
        <v/>
      </c>
      <c r="B1396" s="26" t="str">
        <f>IF('Paste SD Data'!A1393="","",'Paste SD Data'!A1393)</f>
        <v/>
      </c>
      <c r="C1396" s="26" t="str">
        <f>IF('Paste SD Data'!B1393="","",'Paste SD Data'!B1393)</f>
        <v/>
      </c>
      <c r="D1396" s="26" t="str">
        <f>IF('Paste SD Data'!C1393="","",'Paste SD Data'!C1393)</f>
        <v/>
      </c>
      <c r="E1396" s="27" t="str">
        <f>IF('Paste SD Data'!E1393="","",UPPER('Paste SD Data'!E1393))</f>
        <v/>
      </c>
      <c r="F1396" s="27" t="str">
        <f>IF('Paste SD Data'!G1393="","",UPPER('Paste SD Data'!G1393))</f>
        <v/>
      </c>
      <c r="G1396" s="27" t="str">
        <f>IF('Paste SD Data'!H1393="","",UPPER('Paste SD Data'!H1393))</f>
        <v/>
      </c>
      <c r="H1396" s="26" t="str">
        <f>IF('Paste SD Data'!I1393="","",IF('Paste SD Data'!I1393="M","BOY","GIRL"))</f>
        <v/>
      </c>
      <c r="I1396" s="28" t="str">
        <f>IF('Paste SD Data'!J1393="","",'Paste SD Data'!J1393)</f>
        <v/>
      </c>
      <c r="J1396" s="34">
        <f t="shared" si="21"/>
        <v>1822</v>
      </c>
      <c r="K1396" s="29" t="str">
        <f>IF('Paste SD Data'!O1393="","",'Paste SD Data'!O1393)</f>
        <v/>
      </c>
    </row>
    <row r="1397" spans="1:11" ht="30" customHeight="1" x14ac:dyDescent="0.25">
      <c r="A1397" s="25" t="str">
        <f>IF(Table1[[#This Row],[Name of Student]]="","",ROWS($A$1:A1393))</f>
        <v/>
      </c>
      <c r="B1397" s="26" t="str">
        <f>IF('Paste SD Data'!A1394="","",'Paste SD Data'!A1394)</f>
        <v/>
      </c>
      <c r="C1397" s="26" t="str">
        <f>IF('Paste SD Data'!B1394="","",'Paste SD Data'!B1394)</f>
        <v/>
      </c>
      <c r="D1397" s="26" t="str">
        <f>IF('Paste SD Data'!C1394="","",'Paste SD Data'!C1394)</f>
        <v/>
      </c>
      <c r="E1397" s="27" t="str">
        <f>IF('Paste SD Data'!E1394="","",UPPER('Paste SD Data'!E1394))</f>
        <v/>
      </c>
      <c r="F1397" s="27" t="str">
        <f>IF('Paste SD Data'!G1394="","",UPPER('Paste SD Data'!G1394))</f>
        <v/>
      </c>
      <c r="G1397" s="27" t="str">
        <f>IF('Paste SD Data'!H1394="","",UPPER('Paste SD Data'!H1394))</f>
        <v/>
      </c>
      <c r="H1397" s="26" t="str">
        <f>IF('Paste SD Data'!I1394="","",IF('Paste SD Data'!I1394="M","BOY","GIRL"))</f>
        <v/>
      </c>
      <c r="I1397" s="28" t="str">
        <f>IF('Paste SD Data'!J1394="","",'Paste SD Data'!J1394)</f>
        <v/>
      </c>
      <c r="J1397" s="34">
        <f t="shared" si="21"/>
        <v>1823</v>
      </c>
      <c r="K1397" s="29" t="str">
        <f>IF('Paste SD Data'!O1394="","",'Paste SD Data'!O1394)</f>
        <v/>
      </c>
    </row>
    <row r="1398" spans="1:11" ht="30" customHeight="1" x14ac:dyDescent="0.25">
      <c r="A1398" s="25" t="str">
        <f>IF(Table1[[#This Row],[Name of Student]]="","",ROWS($A$1:A1394))</f>
        <v/>
      </c>
      <c r="B1398" s="26" t="str">
        <f>IF('Paste SD Data'!A1395="","",'Paste SD Data'!A1395)</f>
        <v/>
      </c>
      <c r="C1398" s="26" t="str">
        <f>IF('Paste SD Data'!B1395="","",'Paste SD Data'!B1395)</f>
        <v/>
      </c>
      <c r="D1398" s="26" t="str">
        <f>IF('Paste SD Data'!C1395="","",'Paste SD Data'!C1395)</f>
        <v/>
      </c>
      <c r="E1398" s="27" t="str">
        <f>IF('Paste SD Data'!E1395="","",UPPER('Paste SD Data'!E1395))</f>
        <v/>
      </c>
      <c r="F1398" s="27" t="str">
        <f>IF('Paste SD Data'!G1395="","",UPPER('Paste SD Data'!G1395))</f>
        <v/>
      </c>
      <c r="G1398" s="27" t="str">
        <f>IF('Paste SD Data'!H1395="","",UPPER('Paste SD Data'!H1395))</f>
        <v/>
      </c>
      <c r="H1398" s="26" t="str">
        <f>IF('Paste SD Data'!I1395="","",IF('Paste SD Data'!I1395="M","BOY","GIRL"))</f>
        <v/>
      </c>
      <c r="I1398" s="28" t="str">
        <f>IF('Paste SD Data'!J1395="","",'Paste SD Data'!J1395)</f>
        <v/>
      </c>
      <c r="J1398" s="34">
        <f t="shared" si="21"/>
        <v>1824</v>
      </c>
      <c r="K1398" s="29" t="str">
        <f>IF('Paste SD Data'!O1395="","",'Paste SD Data'!O1395)</f>
        <v/>
      </c>
    </row>
    <row r="1399" spans="1:11" ht="30" customHeight="1" x14ac:dyDescent="0.25">
      <c r="A1399" s="25" t="str">
        <f>IF(Table1[[#This Row],[Name of Student]]="","",ROWS($A$1:A1395))</f>
        <v/>
      </c>
      <c r="B1399" s="26" t="str">
        <f>IF('Paste SD Data'!A1396="","",'Paste SD Data'!A1396)</f>
        <v/>
      </c>
      <c r="C1399" s="26" t="str">
        <f>IF('Paste SD Data'!B1396="","",'Paste SD Data'!B1396)</f>
        <v/>
      </c>
      <c r="D1399" s="26" t="str">
        <f>IF('Paste SD Data'!C1396="","",'Paste SD Data'!C1396)</f>
        <v/>
      </c>
      <c r="E1399" s="27" t="str">
        <f>IF('Paste SD Data'!E1396="","",UPPER('Paste SD Data'!E1396))</f>
        <v/>
      </c>
      <c r="F1399" s="27" t="str">
        <f>IF('Paste SD Data'!G1396="","",UPPER('Paste SD Data'!G1396))</f>
        <v/>
      </c>
      <c r="G1399" s="27" t="str">
        <f>IF('Paste SD Data'!H1396="","",UPPER('Paste SD Data'!H1396))</f>
        <v/>
      </c>
      <c r="H1399" s="26" t="str">
        <f>IF('Paste SD Data'!I1396="","",IF('Paste SD Data'!I1396="M","BOY","GIRL"))</f>
        <v/>
      </c>
      <c r="I1399" s="28" t="str">
        <f>IF('Paste SD Data'!J1396="","",'Paste SD Data'!J1396)</f>
        <v/>
      </c>
      <c r="J1399" s="34">
        <f t="shared" si="21"/>
        <v>1825</v>
      </c>
      <c r="K1399" s="29" t="str">
        <f>IF('Paste SD Data'!O1396="","",'Paste SD Data'!O1396)</f>
        <v/>
      </c>
    </row>
    <row r="1400" spans="1:11" ht="30" customHeight="1" x14ac:dyDescent="0.25">
      <c r="A1400" s="25" t="str">
        <f>IF(Table1[[#This Row],[Name of Student]]="","",ROWS($A$1:A1396))</f>
        <v/>
      </c>
      <c r="B1400" s="26" t="str">
        <f>IF('Paste SD Data'!A1397="","",'Paste SD Data'!A1397)</f>
        <v/>
      </c>
      <c r="C1400" s="26" t="str">
        <f>IF('Paste SD Data'!B1397="","",'Paste SD Data'!B1397)</f>
        <v/>
      </c>
      <c r="D1400" s="26" t="str">
        <f>IF('Paste SD Data'!C1397="","",'Paste SD Data'!C1397)</f>
        <v/>
      </c>
      <c r="E1400" s="27" t="str">
        <f>IF('Paste SD Data'!E1397="","",UPPER('Paste SD Data'!E1397))</f>
        <v/>
      </c>
      <c r="F1400" s="27" t="str">
        <f>IF('Paste SD Data'!G1397="","",UPPER('Paste SD Data'!G1397))</f>
        <v/>
      </c>
      <c r="G1400" s="27" t="str">
        <f>IF('Paste SD Data'!H1397="","",UPPER('Paste SD Data'!H1397))</f>
        <v/>
      </c>
      <c r="H1400" s="26" t="str">
        <f>IF('Paste SD Data'!I1397="","",IF('Paste SD Data'!I1397="M","BOY","GIRL"))</f>
        <v/>
      </c>
      <c r="I1400" s="28" t="str">
        <f>IF('Paste SD Data'!J1397="","",'Paste SD Data'!J1397)</f>
        <v/>
      </c>
      <c r="J1400" s="34">
        <f t="shared" si="21"/>
        <v>1826</v>
      </c>
      <c r="K1400" s="29" t="str">
        <f>IF('Paste SD Data'!O1397="","",'Paste SD Data'!O1397)</f>
        <v/>
      </c>
    </row>
    <row r="1401" spans="1:11" ht="30" customHeight="1" x14ac:dyDescent="0.25">
      <c r="A1401" s="25" t="str">
        <f>IF(Table1[[#This Row],[Name of Student]]="","",ROWS($A$1:A1397))</f>
        <v/>
      </c>
      <c r="B1401" s="26" t="str">
        <f>IF('Paste SD Data'!A1398="","",'Paste SD Data'!A1398)</f>
        <v/>
      </c>
      <c r="C1401" s="26" t="str">
        <f>IF('Paste SD Data'!B1398="","",'Paste SD Data'!B1398)</f>
        <v/>
      </c>
      <c r="D1401" s="26" t="str">
        <f>IF('Paste SD Data'!C1398="","",'Paste SD Data'!C1398)</f>
        <v/>
      </c>
      <c r="E1401" s="27" t="str">
        <f>IF('Paste SD Data'!E1398="","",UPPER('Paste SD Data'!E1398))</f>
        <v/>
      </c>
      <c r="F1401" s="27" t="str">
        <f>IF('Paste SD Data'!G1398="","",UPPER('Paste SD Data'!G1398))</f>
        <v/>
      </c>
      <c r="G1401" s="27" t="str">
        <f>IF('Paste SD Data'!H1398="","",UPPER('Paste SD Data'!H1398))</f>
        <v/>
      </c>
      <c r="H1401" s="26" t="str">
        <f>IF('Paste SD Data'!I1398="","",IF('Paste SD Data'!I1398="M","BOY","GIRL"))</f>
        <v/>
      </c>
      <c r="I1401" s="28" t="str">
        <f>IF('Paste SD Data'!J1398="","",'Paste SD Data'!J1398)</f>
        <v/>
      </c>
      <c r="J1401" s="34">
        <f t="shared" si="21"/>
        <v>1827</v>
      </c>
      <c r="K1401" s="29" t="str">
        <f>IF('Paste SD Data'!O1398="","",'Paste SD Data'!O1398)</f>
        <v/>
      </c>
    </row>
    <row r="1402" spans="1:11" ht="30" customHeight="1" x14ac:dyDescent="0.25">
      <c r="A1402" s="25" t="str">
        <f>IF(Table1[[#This Row],[Name of Student]]="","",ROWS($A$1:A1398))</f>
        <v/>
      </c>
      <c r="B1402" s="26" t="str">
        <f>IF('Paste SD Data'!A1399="","",'Paste SD Data'!A1399)</f>
        <v/>
      </c>
      <c r="C1402" s="26" t="str">
        <f>IF('Paste SD Data'!B1399="","",'Paste SD Data'!B1399)</f>
        <v/>
      </c>
      <c r="D1402" s="26" t="str">
        <f>IF('Paste SD Data'!C1399="","",'Paste SD Data'!C1399)</f>
        <v/>
      </c>
      <c r="E1402" s="27" t="str">
        <f>IF('Paste SD Data'!E1399="","",UPPER('Paste SD Data'!E1399))</f>
        <v/>
      </c>
      <c r="F1402" s="27" t="str">
        <f>IF('Paste SD Data'!G1399="","",UPPER('Paste SD Data'!G1399))</f>
        <v/>
      </c>
      <c r="G1402" s="27" t="str">
        <f>IF('Paste SD Data'!H1399="","",UPPER('Paste SD Data'!H1399))</f>
        <v/>
      </c>
      <c r="H1402" s="26" t="str">
        <f>IF('Paste SD Data'!I1399="","",IF('Paste SD Data'!I1399="M","BOY","GIRL"))</f>
        <v/>
      </c>
      <c r="I1402" s="28" t="str">
        <f>IF('Paste SD Data'!J1399="","",'Paste SD Data'!J1399)</f>
        <v/>
      </c>
      <c r="J1402" s="34">
        <f t="shared" si="21"/>
        <v>1828</v>
      </c>
      <c r="K1402" s="29" t="str">
        <f>IF('Paste SD Data'!O1399="","",'Paste SD Data'!O1399)</f>
        <v/>
      </c>
    </row>
    <row r="1403" spans="1:11" ht="30" customHeight="1" x14ac:dyDescent="0.25">
      <c r="A1403" s="25" t="str">
        <f>IF(Table1[[#This Row],[Name of Student]]="","",ROWS($A$1:A1399))</f>
        <v/>
      </c>
      <c r="B1403" s="26" t="str">
        <f>IF('Paste SD Data'!A1400="","",'Paste SD Data'!A1400)</f>
        <v/>
      </c>
      <c r="C1403" s="26" t="str">
        <f>IF('Paste SD Data'!B1400="","",'Paste SD Data'!B1400)</f>
        <v/>
      </c>
      <c r="D1403" s="26" t="str">
        <f>IF('Paste SD Data'!C1400="","",'Paste SD Data'!C1400)</f>
        <v/>
      </c>
      <c r="E1403" s="27" t="str">
        <f>IF('Paste SD Data'!E1400="","",UPPER('Paste SD Data'!E1400))</f>
        <v/>
      </c>
      <c r="F1403" s="27" t="str">
        <f>IF('Paste SD Data'!G1400="","",UPPER('Paste SD Data'!G1400))</f>
        <v/>
      </c>
      <c r="G1403" s="27" t="str">
        <f>IF('Paste SD Data'!H1400="","",UPPER('Paste SD Data'!H1400))</f>
        <v/>
      </c>
      <c r="H1403" s="26" t="str">
        <f>IF('Paste SD Data'!I1400="","",IF('Paste SD Data'!I1400="M","BOY","GIRL"))</f>
        <v/>
      </c>
      <c r="I1403" s="28" t="str">
        <f>IF('Paste SD Data'!J1400="","",'Paste SD Data'!J1400)</f>
        <v/>
      </c>
      <c r="J1403" s="34">
        <f t="shared" si="21"/>
        <v>1829</v>
      </c>
      <c r="K1403" s="29" t="str">
        <f>IF('Paste SD Data'!O1400="","",'Paste SD Data'!O1400)</f>
        <v/>
      </c>
    </row>
    <row r="1404" spans="1:11" ht="30" customHeight="1" x14ac:dyDescent="0.25">
      <c r="A1404" s="25" t="str">
        <f>IF(Table1[[#This Row],[Name of Student]]="","",ROWS($A$1:A1400))</f>
        <v/>
      </c>
      <c r="B1404" s="26" t="str">
        <f>IF('Paste SD Data'!A1401="","",'Paste SD Data'!A1401)</f>
        <v/>
      </c>
      <c r="C1404" s="26" t="str">
        <f>IF('Paste SD Data'!B1401="","",'Paste SD Data'!B1401)</f>
        <v/>
      </c>
      <c r="D1404" s="26" t="str">
        <f>IF('Paste SD Data'!C1401="","",'Paste SD Data'!C1401)</f>
        <v/>
      </c>
      <c r="E1404" s="27" t="str">
        <f>IF('Paste SD Data'!E1401="","",UPPER('Paste SD Data'!E1401))</f>
        <v/>
      </c>
      <c r="F1404" s="27" t="str">
        <f>IF('Paste SD Data'!G1401="","",UPPER('Paste SD Data'!G1401))</f>
        <v/>
      </c>
      <c r="G1404" s="27" t="str">
        <f>IF('Paste SD Data'!H1401="","",UPPER('Paste SD Data'!H1401))</f>
        <v/>
      </c>
      <c r="H1404" s="26" t="str">
        <f>IF('Paste SD Data'!I1401="","",IF('Paste SD Data'!I1401="M","BOY","GIRL"))</f>
        <v/>
      </c>
      <c r="I1404" s="28" t="str">
        <f>IF('Paste SD Data'!J1401="","",'Paste SD Data'!J1401)</f>
        <v/>
      </c>
      <c r="J1404" s="34">
        <f t="shared" si="21"/>
        <v>1830</v>
      </c>
      <c r="K1404" s="29" t="str">
        <f>IF('Paste SD Data'!O1401="","",'Paste SD Data'!O1401)</f>
        <v/>
      </c>
    </row>
    <row r="1405" spans="1:11" ht="30" customHeight="1" x14ac:dyDescent="0.25">
      <c r="A1405" s="25" t="str">
        <f>IF(Table1[[#This Row],[Name of Student]]="","",ROWS($A$1:A1401))</f>
        <v/>
      </c>
      <c r="B1405" s="26" t="str">
        <f>IF('Paste SD Data'!A1402="","",'Paste SD Data'!A1402)</f>
        <v/>
      </c>
      <c r="C1405" s="26" t="str">
        <f>IF('Paste SD Data'!B1402="","",'Paste SD Data'!B1402)</f>
        <v/>
      </c>
      <c r="D1405" s="26" t="str">
        <f>IF('Paste SD Data'!C1402="","",'Paste SD Data'!C1402)</f>
        <v/>
      </c>
      <c r="E1405" s="27" t="str">
        <f>IF('Paste SD Data'!E1402="","",UPPER('Paste SD Data'!E1402))</f>
        <v/>
      </c>
      <c r="F1405" s="27" t="str">
        <f>IF('Paste SD Data'!G1402="","",UPPER('Paste SD Data'!G1402))</f>
        <v/>
      </c>
      <c r="G1405" s="27" t="str">
        <f>IF('Paste SD Data'!H1402="","",UPPER('Paste SD Data'!H1402))</f>
        <v/>
      </c>
      <c r="H1405" s="26" t="str">
        <f>IF('Paste SD Data'!I1402="","",IF('Paste SD Data'!I1402="M","BOY","GIRL"))</f>
        <v/>
      </c>
      <c r="I1405" s="28" t="str">
        <f>IF('Paste SD Data'!J1402="","",'Paste SD Data'!J1402)</f>
        <v/>
      </c>
      <c r="J1405" s="34">
        <f t="shared" si="21"/>
        <v>1831</v>
      </c>
      <c r="K1405" s="29" t="str">
        <f>IF('Paste SD Data'!O1402="","",'Paste SD Data'!O1402)</f>
        <v/>
      </c>
    </row>
    <row r="1406" spans="1:11" ht="30" customHeight="1" x14ac:dyDescent="0.25">
      <c r="A1406" s="25" t="str">
        <f>IF(Table1[[#This Row],[Name of Student]]="","",ROWS($A$1:A1402))</f>
        <v/>
      </c>
      <c r="B1406" s="26" t="str">
        <f>IF('Paste SD Data'!A1403="","",'Paste SD Data'!A1403)</f>
        <v/>
      </c>
      <c r="C1406" s="26" t="str">
        <f>IF('Paste SD Data'!B1403="","",'Paste SD Data'!B1403)</f>
        <v/>
      </c>
      <c r="D1406" s="26" t="str">
        <f>IF('Paste SD Data'!C1403="","",'Paste SD Data'!C1403)</f>
        <v/>
      </c>
      <c r="E1406" s="27" t="str">
        <f>IF('Paste SD Data'!E1403="","",UPPER('Paste SD Data'!E1403))</f>
        <v/>
      </c>
      <c r="F1406" s="27" t="str">
        <f>IF('Paste SD Data'!G1403="","",UPPER('Paste SD Data'!G1403))</f>
        <v/>
      </c>
      <c r="G1406" s="27" t="str">
        <f>IF('Paste SD Data'!H1403="","",UPPER('Paste SD Data'!H1403))</f>
        <v/>
      </c>
      <c r="H1406" s="26" t="str">
        <f>IF('Paste SD Data'!I1403="","",IF('Paste SD Data'!I1403="M","BOY","GIRL"))</f>
        <v/>
      </c>
      <c r="I1406" s="28" t="str">
        <f>IF('Paste SD Data'!J1403="","",'Paste SD Data'!J1403)</f>
        <v/>
      </c>
      <c r="J1406" s="34">
        <f t="shared" si="21"/>
        <v>1832</v>
      </c>
      <c r="K1406" s="29" t="str">
        <f>IF('Paste SD Data'!O1403="","",'Paste SD Data'!O1403)</f>
        <v/>
      </c>
    </row>
    <row r="1407" spans="1:11" ht="30" customHeight="1" x14ac:dyDescent="0.25">
      <c r="A1407" s="25" t="str">
        <f>IF(Table1[[#This Row],[Name of Student]]="","",ROWS($A$1:A1403))</f>
        <v/>
      </c>
      <c r="B1407" s="26" t="str">
        <f>IF('Paste SD Data'!A1404="","",'Paste SD Data'!A1404)</f>
        <v/>
      </c>
      <c r="C1407" s="26" t="str">
        <f>IF('Paste SD Data'!B1404="","",'Paste SD Data'!B1404)</f>
        <v/>
      </c>
      <c r="D1407" s="26" t="str">
        <f>IF('Paste SD Data'!C1404="","",'Paste SD Data'!C1404)</f>
        <v/>
      </c>
      <c r="E1407" s="27" t="str">
        <f>IF('Paste SD Data'!E1404="","",UPPER('Paste SD Data'!E1404))</f>
        <v/>
      </c>
      <c r="F1407" s="27" t="str">
        <f>IF('Paste SD Data'!G1404="","",UPPER('Paste SD Data'!G1404))</f>
        <v/>
      </c>
      <c r="G1407" s="27" t="str">
        <f>IF('Paste SD Data'!H1404="","",UPPER('Paste SD Data'!H1404))</f>
        <v/>
      </c>
      <c r="H1407" s="26" t="str">
        <f>IF('Paste SD Data'!I1404="","",IF('Paste SD Data'!I1404="M","BOY","GIRL"))</f>
        <v/>
      </c>
      <c r="I1407" s="28" t="str">
        <f>IF('Paste SD Data'!J1404="","",'Paste SD Data'!J1404)</f>
        <v/>
      </c>
      <c r="J1407" s="34">
        <f t="shared" si="21"/>
        <v>1833</v>
      </c>
      <c r="K1407" s="29" t="str">
        <f>IF('Paste SD Data'!O1404="","",'Paste SD Data'!O1404)</f>
        <v/>
      </c>
    </row>
    <row r="1408" spans="1:11" ht="30" customHeight="1" x14ac:dyDescent="0.25">
      <c r="A1408" s="25" t="str">
        <f>IF(Table1[[#This Row],[Name of Student]]="","",ROWS($A$1:A1404))</f>
        <v/>
      </c>
      <c r="B1408" s="26" t="str">
        <f>IF('Paste SD Data'!A1405="","",'Paste SD Data'!A1405)</f>
        <v/>
      </c>
      <c r="C1408" s="26" t="str">
        <f>IF('Paste SD Data'!B1405="","",'Paste SD Data'!B1405)</f>
        <v/>
      </c>
      <c r="D1408" s="26" t="str">
        <f>IF('Paste SD Data'!C1405="","",'Paste SD Data'!C1405)</f>
        <v/>
      </c>
      <c r="E1408" s="27" t="str">
        <f>IF('Paste SD Data'!E1405="","",UPPER('Paste SD Data'!E1405))</f>
        <v/>
      </c>
      <c r="F1408" s="27" t="str">
        <f>IF('Paste SD Data'!G1405="","",UPPER('Paste SD Data'!G1405))</f>
        <v/>
      </c>
      <c r="G1408" s="27" t="str">
        <f>IF('Paste SD Data'!H1405="","",UPPER('Paste SD Data'!H1405))</f>
        <v/>
      </c>
      <c r="H1408" s="26" t="str">
        <f>IF('Paste SD Data'!I1405="","",IF('Paste SD Data'!I1405="M","BOY","GIRL"))</f>
        <v/>
      </c>
      <c r="I1408" s="28" t="str">
        <f>IF('Paste SD Data'!J1405="","",'Paste SD Data'!J1405)</f>
        <v/>
      </c>
      <c r="J1408" s="34">
        <f t="shared" si="21"/>
        <v>1834</v>
      </c>
      <c r="K1408" s="29" t="str">
        <f>IF('Paste SD Data'!O1405="","",'Paste SD Data'!O1405)</f>
        <v/>
      </c>
    </row>
    <row r="1409" spans="1:11" ht="30" customHeight="1" x14ac:dyDescent="0.25">
      <c r="A1409" s="25" t="str">
        <f>IF(Table1[[#This Row],[Name of Student]]="","",ROWS($A$1:A1405))</f>
        <v/>
      </c>
      <c r="B1409" s="26" t="str">
        <f>IF('Paste SD Data'!A1406="","",'Paste SD Data'!A1406)</f>
        <v/>
      </c>
      <c r="C1409" s="26" t="str">
        <f>IF('Paste SD Data'!B1406="","",'Paste SD Data'!B1406)</f>
        <v/>
      </c>
      <c r="D1409" s="26" t="str">
        <f>IF('Paste SD Data'!C1406="","",'Paste SD Data'!C1406)</f>
        <v/>
      </c>
      <c r="E1409" s="27" t="str">
        <f>IF('Paste SD Data'!E1406="","",UPPER('Paste SD Data'!E1406))</f>
        <v/>
      </c>
      <c r="F1409" s="27" t="str">
        <f>IF('Paste SD Data'!G1406="","",UPPER('Paste SD Data'!G1406))</f>
        <v/>
      </c>
      <c r="G1409" s="27" t="str">
        <f>IF('Paste SD Data'!H1406="","",UPPER('Paste SD Data'!H1406))</f>
        <v/>
      </c>
      <c r="H1409" s="26" t="str">
        <f>IF('Paste SD Data'!I1406="","",IF('Paste SD Data'!I1406="M","BOY","GIRL"))</f>
        <v/>
      </c>
      <c r="I1409" s="28" t="str">
        <f>IF('Paste SD Data'!J1406="","",'Paste SD Data'!J1406)</f>
        <v/>
      </c>
      <c r="J1409" s="34">
        <f t="shared" si="21"/>
        <v>1835</v>
      </c>
      <c r="K1409" s="29" t="str">
        <f>IF('Paste SD Data'!O1406="","",'Paste SD Data'!O1406)</f>
        <v/>
      </c>
    </row>
    <row r="1410" spans="1:11" ht="30" customHeight="1" x14ac:dyDescent="0.25">
      <c r="A1410" s="25" t="str">
        <f>IF(Table1[[#This Row],[Name of Student]]="","",ROWS($A$1:A1406))</f>
        <v/>
      </c>
      <c r="B1410" s="26" t="str">
        <f>IF('Paste SD Data'!A1407="","",'Paste SD Data'!A1407)</f>
        <v/>
      </c>
      <c r="C1410" s="26" t="str">
        <f>IF('Paste SD Data'!B1407="","",'Paste SD Data'!B1407)</f>
        <v/>
      </c>
      <c r="D1410" s="26" t="str">
        <f>IF('Paste SD Data'!C1407="","",'Paste SD Data'!C1407)</f>
        <v/>
      </c>
      <c r="E1410" s="27" t="str">
        <f>IF('Paste SD Data'!E1407="","",UPPER('Paste SD Data'!E1407))</f>
        <v/>
      </c>
      <c r="F1410" s="27" t="str">
        <f>IF('Paste SD Data'!G1407="","",UPPER('Paste SD Data'!G1407))</f>
        <v/>
      </c>
      <c r="G1410" s="27" t="str">
        <f>IF('Paste SD Data'!H1407="","",UPPER('Paste SD Data'!H1407))</f>
        <v/>
      </c>
      <c r="H1410" s="26" t="str">
        <f>IF('Paste SD Data'!I1407="","",IF('Paste SD Data'!I1407="M","BOY","GIRL"))</f>
        <v/>
      </c>
      <c r="I1410" s="28" t="str">
        <f>IF('Paste SD Data'!J1407="","",'Paste SD Data'!J1407)</f>
        <v/>
      </c>
      <c r="J1410" s="34">
        <f t="shared" si="21"/>
        <v>1836</v>
      </c>
      <c r="K1410" s="29" t="str">
        <f>IF('Paste SD Data'!O1407="","",'Paste SD Data'!O1407)</f>
        <v/>
      </c>
    </row>
    <row r="1411" spans="1:11" ht="30" customHeight="1" x14ac:dyDescent="0.25">
      <c r="A1411" s="25" t="str">
        <f>IF(Table1[[#This Row],[Name of Student]]="","",ROWS($A$1:A1407))</f>
        <v/>
      </c>
      <c r="B1411" s="26" t="str">
        <f>IF('Paste SD Data'!A1408="","",'Paste SD Data'!A1408)</f>
        <v/>
      </c>
      <c r="C1411" s="26" t="str">
        <f>IF('Paste SD Data'!B1408="","",'Paste SD Data'!B1408)</f>
        <v/>
      </c>
      <c r="D1411" s="26" t="str">
        <f>IF('Paste SD Data'!C1408="","",'Paste SD Data'!C1408)</f>
        <v/>
      </c>
      <c r="E1411" s="27" t="str">
        <f>IF('Paste SD Data'!E1408="","",UPPER('Paste SD Data'!E1408))</f>
        <v/>
      </c>
      <c r="F1411" s="27" t="str">
        <f>IF('Paste SD Data'!G1408="","",UPPER('Paste SD Data'!G1408))</f>
        <v/>
      </c>
      <c r="G1411" s="27" t="str">
        <f>IF('Paste SD Data'!H1408="","",UPPER('Paste SD Data'!H1408))</f>
        <v/>
      </c>
      <c r="H1411" s="26" t="str">
        <f>IF('Paste SD Data'!I1408="","",IF('Paste SD Data'!I1408="M","BOY","GIRL"))</f>
        <v/>
      </c>
      <c r="I1411" s="28" t="str">
        <f>IF('Paste SD Data'!J1408="","",'Paste SD Data'!J1408)</f>
        <v/>
      </c>
      <c r="J1411" s="34">
        <f t="shared" si="21"/>
        <v>1837</v>
      </c>
      <c r="K1411" s="29" t="str">
        <f>IF('Paste SD Data'!O1408="","",'Paste SD Data'!O1408)</f>
        <v/>
      </c>
    </row>
    <row r="1412" spans="1:11" ht="30" customHeight="1" x14ac:dyDescent="0.25">
      <c r="A1412" s="25" t="str">
        <f>IF(Table1[[#This Row],[Name of Student]]="","",ROWS($A$1:A1408))</f>
        <v/>
      </c>
      <c r="B1412" s="26" t="str">
        <f>IF('Paste SD Data'!A1409="","",'Paste SD Data'!A1409)</f>
        <v/>
      </c>
      <c r="C1412" s="26" t="str">
        <f>IF('Paste SD Data'!B1409="","",'Paste SD Data'!B1409)</f>
        <v/>
      </c>
      <c r="D1412" s="26" t="str">
        <f>IF('Paste SD Data'!C1409="","",'Paste SD Data'!C1409)</f>
        <v/>
      </c>
      <c r="E1412" s="27" t="str">
        <f>IF('Paste SD Data'!E1409="","",UPPER('Paste SD Data'!E1409))</f>
        <v/>
      </c>
      <c r="F1412" s="27" t="str">
        <f>IF('Paste SD Data'!G1409="","",UPPER('Paste SD Data'!G1409))</f>
        <v/>
      </c>
      <c r="G1412" s="27" t="str">
        <f>IF('Paste SD Data'!H1409="","",UPPER('Paste SD Data'!H1409))</f>
        <v/>
      </c>
      <c r="H1412" s="26" t="str">
        <f>IF('Paste SD Data'!I1409="","",IF('Paste SD Data'!I1409="M","BOY","GIRL"))</f>
        <v/>
      </c>
      <c r="I1412" s="28" t="str">
        <f>IF('Paste SD Data'!J1409="","",'Paste SD Data'!J1409)</f>
        <v/>
      </c>
      <c r="J1412" s="34">
        <f t="shared" si="21"/>
        <v>1838</v>
      </c>
      <c r="K1412" s="29" t="str">
        <f>IF('Paste SD Data'!O1409="","",'Paste SD Data'!O1409)</f>
        <v/>
      </c>
    </row>
    <row r="1413" spans="1:11" ht="30" customHeight="1" x14ac:dyDescent="0.25">
      <c r="A1413" s="25" t="str">
        <f>IF(Table1[[#This Row],[Name of Student]]="","",ROWS($A$1:A1409))</f>
        <v/>
      </c>
      <c r="B1413" s="26" t="str">
        <f>IF('Paste SD Data'!A1410="","",'Paste SD Data'!A1410)</f>
        <v/>
      </c>
      <c r="C1413" s="26" t="str">
        <f>IF('Paste SD Data'!B1410="","",'Paste SD Data'!B1410)</f>
        <v/>
      </c>
      <c r="D1413" s="26" t="str">
        <f>IF('Paste SD Data'!C1410="","",'Paste SD Data'!C1410)</f>
        <v/>
      </c>
      <c r="E1413" s="27" t="str">
        <f>IF('Paste SD Data'!E1410="","",UPPER('Paste SD Data'!E1410))</f>
        <v/>
      </c>
      <c r="F1413" s="27" t="str">
        <f>IF('Paste SD Data'!G1410="","",UPPER('Paste SD Data'!G1410))</f>
        <v/>
      </c>
      <c r="G1413" s="27" t="str">
        <f>IF('Paste SD Data'!H1410="","",UPPER('Paste SD Data'!H1410))</f>
        <v/>
      </c>
      <c r="H1413" s="26" t="str">
        <f>IF('Paste SD Data'!I1410="","",IF('Paste SD Data'!I1410="M","BOY","GIRL"))</f>
        <v/>
      </c>
      <c r="I1413" s="28" t="str">
        <f>IF('Paste SD Data'!J1410="","",'Paste SD Data'!J1410)</f>
        <v/>
      </c>
      <c r="J1413" s="34">
        <f t="shared" si="21"/>
        <v>1839</v>
      </c>
      <c r="K1413" s="29" t="str">
        <f>IF('Paste SD Data'!O1410="","",'Paste SD Data'!O1410)</f>
        <v/>
      </c>
    </row>
    <row r="1414" spans="1:11" ht="30" customHeight="1" x14ac:dyDescent="0.25">
      <c r="A1414" s="25" t="str">
        <f>IF(Table1[[#This Row],[Name of Student]]="","",ROWS($A$1:A1410))</f>
        <v/>
      </c>
      <c r="B1414" s="26" t="str">
        <f>IF('Paste SD Data'!A1411="","",'Paste SD Data'!A1411)</f>
        <v/>
      </c>
      <c r="C1414" s="26" t="str">
        <f>IF('Paste SD Data'!B1411="","",'Paste SD Data'!B1411)</f>
        <v/>
      </c>
      <c r="D1414" s="26" t="str">
        <f>IF('Paste SD Data'!C1411="","",'Paste SD Data'!C1411)</f>
        <v/>
      </c>
      <c r="E1414" s="27" t="str">
        <f>IF('Paste SD Data'!E1411="","",UPPER('Paste SD Data'!E1411))</f>
        <v/>
      </c>
      <c r="F1414" s="27" t="str">
        <f>IF('Paste SD Data'!G1411="","",UPPER('Paste SD Data'!G1411))</f>
        <v/>
      </c>
      <c r="G1414" s="27" t="str">
        <f>IF('Paste SD Data'!H1411="","",UPPER('Paste SD Data'!H1411))</f>
        <v/>
      </c>
      <c r="H1414" s="26" t="str">
        <f>IF('Paste SD Data'!I1411="","",IF('Paste SD Data'!I1411="M","BOY","GIRL"))</f>
        <v/>
      </c>
      <c r="I1414" s="28" t="str">
        <f>IF('Paste SD Data'!J1411="","",'Paste SD Data'!J1411)</f>
        <v/>
      </c>
      <c r="J1414" s="34">
        <f t="shared" si="21"/>
        <v>1840</v>
      </c>
      <c r="K1414" s="29" t="str">
        <f>IF('Paste SD Data'!O1411="","",'Paste SD Data'!O1411)</f>
        <v/>
      </c>
    </row>
    <row r="1415" spans="1:11" ht="30" customHeight="1" x14ac:dyDescent="0.25">
      <c r="A1415" s="25" t="str">
        <f>IF(Table1[[#This Row],[Name of Student]]="","",ROWS($A$1:A1411))</f>
        <v/>
      </c>
      <c r="B1415" s="26" t="str">
        <f>IF('Paste SD Data'!A1412="","",'Paste SD Data'!A1412)</f>
        <v/>
      </c>
      <c r="C1415" s="26" t="str">
        <f>IF('Paste SD Data'!B1412="","",'Paste SD Data'!B1412)</f>
        <v/>
      </c>
      <c r="D1415" s="26" t="str">
        <f>IF('Paste SD Data'!C1412="","",'Paste SD Data'!C1412)</f>
        <v/>
      </c>
      <c r="E1415" s="27" t="str">
        <f>IF('Paste SD Data'!E1412="","",UPPER('Paste SD Data'!E1412))</f>
        <v/>
      </c>
      <c r="F1415" s="27" t="str">
        <f>IF('Paste SD Data'!G1412="","",UPPER('Paste SD Data'!G1412))</f>
        <v/>
      </c>
      <c r="G1415" s="27" t="str">
        <f>IF('Paste SD Data'!H1412="","",UPPER('Paste SD Data'!H1412))</f>
        <v/>
      </c>
      <c r="H1415" s="26" t="str">
        <f>IF('Paste SD Data'!I1412="","",IF('Paste SD Data'!I1412="M","BOY","GIRL"))</f>
        <v/>
      </c>
      <c r="I1415" s="28" t="str">
        <f>IF('Paste SD Data'!J1412="","",'Paste SD Data'!J1412)</f>
        <v/>
      </c>
      <c r="J1415" s="34">
        <f t="shared" ref="J1415:J1478" si="22">J1414+1</f>
        <v>1841</v>
      </c>
      <c r="K1415" s="29" t="str">
        <f>IF('Paste SD Data'!O1412="","",'Paste SD Data'!O1412)</f>
        <v/>
      </c>
    </row>
    <row r="1416" spans="1:11" ht="30" customHeight="1" x14ac:dyDescent="0.25">
      <c r="A1416" s="25" t="str">
        <f>IF(Table1[[#This Row],[Name of Student]]="","",ROWS($A$1:A1412))</f>
        <v/>
      </c>
      <c r="B1416" s="26" t="str">
        <f>IF('Paste SD Data'!A1413="","",'Paste SD Data'!A1413)</f>
        <v/>
      </c>
      <c r="C1416" s="26" t="str">
        <f>IF('Paste SD Data'!B1413="","",'Paste SD Data'!B1413)</f>
        <v/>
      </c>
      <c r="D1416" s="26" t="str">
        <f>IF('Paste SD Data'!C1413="","",'Paste SD Data'!C1413)</f>
        <v/>
      </c>
      <c r="E1416" s="27" t="str">
        <f>IF('Paste SD Data'!E1413="","",UPPER('Paste SD Data'!E1413))</f>
        <v/>
      </c>
      <c r="F1416" s="27" t="str">
        <f>IF('Paste SD Data'!G1413="","",UPPER('Paste SD Data'!G1413))</f>
        <v/>
      </c>
      <c r="G1416" s="27" t="str">
        <f>IF('Paste SD Data'!H1413="","",UPPER('Paste SD Data'!H1413))</f>
        <v/>
      </c>
      <c r="H1416" s="26" t="str">
        <f>IF('Paste SD Data'!I1413="","",IF('Paste SD Data'!I1413="M","BOY","GIRL"))</f>
        <v/>
      </c>
      <c r="I1416" s="28" t="str">
        <f>IF('Paste SD Data'!J1413="","",'Paste SD Data'!J1413)</f>
        <v/>
      </c>
      <c r="J1416" s="34">
        <f t="shared" si="22"/>
        <v>1842</v>
      </c>
      <c r="K1416" s="29" t="str">
        <f>IF('Paste SD Data'!O1413="","",'Paste SD Data'!O1413)</f>
        <v/>
      </c>
    </row>
    <row r="1417" spans="1:11" ht="30" customHeight="1" x14ac:dyDescent="0.25">
      <c r="A1417" s="25" t="str">
        <f>IF(Table1[[#This Row],[Name of Student]]="","",ROWS($A$1:A1413))</f>
        <v/>
      </c>
      <c r="B1417" s="26" t="str">
        <f>IF('Paste SD Data'!A1414="","",'Paste SD Data'!A1414)</f>
        <v/>
      </c>
      <c r="C1417" s="26" t="str">
        <f>IF('Paste SD Data'!B1414="","",'Paste SD Data'!B1414)</f>
        <v/>
      </c>
      <c r="D1417" s="26" t="str">
        <f>IF('Paste SD Data'!C1414="","",'Paste SD Data'!C1414)</f>
        <v/>
      </c>
      <c r="E1417" s="27" t="str">
        <f>IF('Paste SD Data'!E1414="","",UPPER('Paste SD Data'!E1414))</f>
        <v/>
      </c>
      <c r="F1417" s="27" t="str">
        <f>IF('Paste SD Data'!G1414="","",UPPER('Paste SD Data'!G1414))</f>
        <v/>
      </c>
      <c r="G1417" s="27" t="str">
        <f>IF('Paste SD Data'!H1414="","",UPPER('Paste SD Data'!H1414))</f>
        <v/>
      </c>
      <c r="H1417" s="26" t="str">
        <f>IF('Paste SD Data'!I1414="","",IF('Paste SD Data'!I1414="M","BOY","GIRL"))</f>
        <v/>
      </c>
      <c r="I1417" s="28" t="str">
        <f>IF('Paste SD Data'!J1414="","",'Paste SD Data'!J1414)</f>
        <v/>
      </c>
      <c r="J1417" s="34">
        <f t="shared" si="22"/>
        <v>1843</v>
      </c>
      <c r="K1417" s="29" t="str">
        <f>IF('Paste SD Data'!O1414="","",'Paste SD Data'!O1414)</f>
        <v/>
      </c>
    </row>
    <row r="1418" spans="1:11" ht="30" customHeight="1" x14ac:dyDescent="0.25">
      <c r="A1418" s="25" t="str">
        <f>IF(Table1[[#This Row],[Name of Student]]="","",ROWS($A$1:A1414))</f>
        <v/>
      </c>
      <c r="B1418" s="26" t="str">
        <f>IF('Paste SD Data'!A1415="","",'Paste SD Data'!A1415)</f>
        <v/>
      </c>
      <c r="C1418" s="26" t="str">
        <f>IF('Paste SD Data'!B1415="","",'Paste SD Data'!B1415)</f>
        <v/>
      </c>
      <c r="D1418" s="26" t="str">
        <f>IF('Paste SD Data'!C1415="","",'Paste SD Data'!C1415)</f>
        <v/>
      </c>
      <c r="E1418" s="27" t="str">
        <f>IF('Paste SD Data'!E1415="","",UPPER('Paste SD Data'!E1415))</f>
        <v/>
      </c>
      <c r="F1418" s="27" t="str">
        <f>IF('Paste SD Data'!G1415="","",UPPER('Paste SD Data'!G1415))</f>
        <v/>
      </c>
      <c r="G1418" s="27" t="str">
        <f>IF('Paste SD Data'!H1415="","",UPPER('Paste SD Data'!H1415))</f>
        <v/>
      </c>
      <c r="H1418" s="26" t="str">
        <f>IF('Paste SD Data'!I1415="","",IF('Paste SD Data'!I1415="M","BOY","GIRL"))</f>
        <v/>
      </c>
      <c r="I1418" s="28" t="str">
        <f>IF('Paste SD Data'!J1415="","",'Paste SD Data'!J1415)</f>
        <v/>
      </c>
      <c r="J1418" s="34">
        <f t="shared" si="22"/>
        <v>1844</v>
      </c>
      <c r="K1418" s="29" t="str">
        <f>IF('Paste SD Data'!O1415="","",'Paste SD Data'!O1415)</f>
        <v/>
      </c>
    </row>
    <row r="1419" spans="1:11" ht="30" customHeight="1" x14ac:dyDescent="0.25">
      <c r="A1419" s="25" t="str">
        <f>IF(Table1[[#This Row],[Name of Student]]="","",ROWS($A$1:A1415))</f>
        <v/>
      </c>
      <c r="B1419" s="26" t="str">
        <f>IF('Paste SD Data'!A1416="","",'Paste SD Data'!A1416)</f>
        <v/>
      </c>
      <c r="C1419" s="26" t="str">
        <f>IF('Paste SD Data'!B1416="","",'Paste SD Data'!B1416)</f>
        <v/>
      </c>
      <c r="D1419" s="26" t="str">
        <f>IF('Paste SD Data'!C1416="","",'Paste SD Data'!C1416)</f>
        <v/>
      </c>
      <c r="E1419" s="27" t="str">
        <f>IF('Paste SD Data'!E1416="","",UPPER('Paste SD Data'!E1416))</f>
        <v/>
      </c>
      <c r="F1419" s="27" t="str">
        <f>IF('Paste SD Data'!G1416="","",UPPER('Paste SD Data'!G1416))</f>
        <v/>
      </c>
      <c r="G1419" s="27" t="str">
        <f>IF('Paste SD Data'!H1416="","",UPPER('Paste SD Data'!H1416))</f>
        <v/>
      </c>
      <c r="H1419" s="26" t="str">
        <f>IF('Paste SD Data'!I1416="","",IF('Paste SD Data'!I1416="M","BOY","GIRL"))</f>
        <v/>
      </c>
      <c r="I1419" s="28" t="str">
        <f>IF('Paste SD Data'!J1416="","",'Paste SD Data'!J1416)</f>
        <v/>
      </c>
      <c r="J1419" s="34">
        <f t="shared" si="22"/>
        <v>1845</v>
      </c>
      <c r="K1419" s="29" t="str">
        <f>IF('Paste SD Data'!O1416="","",'Paste SD Data'!O1416)</f>
        <v/>
      </c>
    </row>
    <row r="1420" spans="1:11" ht="30" customHeight="1" x14ac:dyDescent="0.25">
      <c r="A1420" s="25" t="str">
        <f>IF(Table1[[#This Row],[Name of Student]]="","",ROWS($A$1:A1416))</f>
        <v/>
      </c>
      <c r="B1420" s="26" t="str">
        <f>IF('Paste SD Data'!A1417="","",'Paste SD Data'!A1417)</f>
        <v/>
      </c>
      <c r="C1420" s="26" t="str">
        <f>IF('Paste SD Data'!B1417="","",'Paste SD Data'!B1417)</f>
        <v/>
      </c>
      <c r="D1420" s="26" t="str">
        <f>IF('Paste SD Data'!C1417="","",'Paste SD Data'!C1417)</f>
        <v/>
      </c>
      <c r="E1420" s="27" t="str">
        <f>IF('Paste SD Data'!E1417="","",UPPER('Paste SD Data'!E1417))</f>
        <v/>
      </c>
      <c r="F1420" s="27" t="str">
        <f>IF('Paste SD Data'!G1417="","",UPPER('Paste SD Data'!G1417))</f>
        <v/>
      </c>
      <c r="G1420" s="27" t="str">
        <f>IF('Paste SD Data'!H1417="","",UPPER('Paste SD Data'!H1417))</f>
        <v/>
      </c>
      <c r="H1420" s="26" t="str">
        <f>IF('Paste SD Data'!I1417="","",IF('Paste SD Data'!I1417="M","BOY","GIRL"))</f>
        <v/>
      </c>
      <c r="I1420" s="28" t="str">
        <f>IF('Paste SD Data'!J1417="","",'Paste SD Data'!J1417)</f>
        <v/>
      </c>
      <c r="J1420" s="34">
        <f t="shared" si="22"/>
        <v>1846</v>
      </c>
      <c r="K1420" s="29" t="str">
        <f>IF('Paste SD Data'!O1417="","",'Paste SD Data'!O1417)</f>
        <v/>
      </c>
    </row>
    <row r="1421" spans="1:11" ht="30" customHeight="1" x14ac:dyDescent="0.25">
      <c r="A1421" s="25" t="str">
        <f>IF(Table1[[#This Row],[Name of Student]]="","",ROWS($A$1:A1417))</f>
        <v/>
      </c>
      <c r="B1421" s="26" t="str">
        <f>IF('Paste SD Data'!A1418="","",'Paste SD Data'!A1418)</f>
        <v/>
      </c>
      <c r="C1421" s="26" t="str">
        <f>IF('Paste SD Data'!B1418="","",'Paste SD Data'!B1418)</f>
        <v/>
      </c>
      <c r="D1421" s="26" t="str">
        <f>IF('Paste SD Data'!C1418="","",'Paste SD Data'!C1418)</f>
        <v/>
      </c>
      <c r="E1421" s="27" t="str">
        <f>IF('Paste SD Data'!E1418="","",UPPER('Paste SD Data'!E1418))</f>
        <v/>
      </c>
      <c r="F1421" s="27" t="str">
        <f>IF('Paste SD Data'!G1418="","",UPPER('Paste SD Data'!G1418))</f>
        <v/>
      </c>
      <c r="G1421" s="27" t="str">
        <f>IF('Paste SD Data'!H1418="","",UPPER('Paste SD Data'!H1418))</f>
        <v/>
      </c>
      <c r="H1421" s="26" t="str">
        <f>IF('Paste SD Data'!I1418="","",IF('Paste SD Data'!I1418="M","BOY","GIRL"))</f>
        <v/>
      </c>
      <c r="I1421" s="28" t="str">
        <f>IF('Paste SD Data'!J1418="","",'Paste SD Data'!J1418)</f>
        <v/>
      </c>
      <c r="J1421" s="34">
        <f t="shared" si="22"/>
        <v>1847</v>
      </c>
      <c r="K1421" s="29" t="str">
        <f>IF('Paste SD Data'!O1418="","",'Paste SD Data'!O1418)</f>
        <v/>
      </c>
    </row>
    <row r="1422" spans="1:11" ht="30" customHeight="1" x14ac:dyDescent="0.25">
      <c r="A1422" s="25" t="str">
        <f>IF(Table1[[#This Row],[Name of Student]]="","",ROWS($A$1:A1418))</f>
        <v/>
      </c>
      <c r="B1422" s="26" t="str">
        <f>IF('Paste SD Data'!A1419="","",'Paste SD Data'!A1419)</f>
        <v/>
      </c>
      <c r="C1422" s="26" t="str">
        <f>IF('Paste SD Data'!B1419="","",'Paste SD Data'!B1419)</f>
        <v/>
      </c>
      <c r="D1422" s="26" t="str">
        <f>IF('Paste SD Data'!C1419="","",'Paste SD Data'!C1419)</f>
        <v/>
      </c>
      <c r="E1422" s="27" t="str">
        <f>IF('Paste SD Data'!E1419="","",UPPER('Paste SD Data'!E1419))</f>
        <v/>
      </c>
      <c r="F1422" s="27" t="str">
        <f>IF('Paste SD Data'!G1419="","",UPPER('Paste SD Data'!G1419))</f>
        <v/>
      </c>
      <c r="G1422" s="27" t="str">
        <f>IF('Paste SD Data'!H1419="","",UPPER('Paste SD Data'!H1419))</f>
        <v/>
      </c>
      <c r="H1422" s="26" t="str">
        <f>IF('Paste SD Data'!I1419="","",IF('Paste SD Data'!I1419="M","BOY","GIRL"))</f>
        <v/>
      </c>
      <c r="I1422" s="28" t="str">
        <f>IF('Paste SD Data'!J1419="","",'Paste SD Data'!J1419)</f>
        <v/>
      </c>
      <c r="J1422" s="34">
        <f t="shared" si="22"/>
        <v>1848</v>
      </c>
      <c r="K1422" s="29" t="str">
        <f>IF('Paste SD Data'!O1419="","",'Paste SD Data'!O1419)</f>
        <v/>
      </c>
    </row>
    <row r="1423" spans="1:11" ht="30" customHeight="1" x14ac:dyDescent="0.25">
      <c r="A1423" s="25" t="str">
        <f>IF(Table1[[#This Row],[Name of Student]]="","",ROWS($A$1:A1419))</f>
        <v/>
      </c>
      <c r="B1423" s="26" t="str">
        <f>IF('Paste SD Data'!A1420="","",'Paste SD Data'!A1420)</f>
        <v/>
      </c>
      <c r="C1423" s="26" t="str">
        <f>IF('Paste SD Data'!B1420="","",'Paste SD Data'!B1420)</f>
        <v/>
      </c>
      <c r="D1423" s="26" t="str">
        <f>IF('Paste SD Data'!C1420="","",'Paste SD Data'!C1420)</f>
        <v/>
      </c>
      <c r="E1423" s="27" t="str">
        <f>IF('Paste SD Data'!E1420="","",UPPER('Paste SD Data'!E1420))</f>
        <v/>
      </c>
      <c r="F1423" s="27" t="str">
        <f>IF('Paste SD Data'!G1420="","",UPPER('Paste SD Data'!G1420))</f>
        <v/>
      </c>
      <c r="G1423" s="27" t="str">
        <f>IF('Paste SD Data'!H1420="","",UPPER('Paste SD Data'!H1420))</f>
        <v/>
      </c>
      <c r="H1423" s="26" t="str">
        <f>IF('Paste SD Data'!I1420="","",IF('Paste SD Data'!I1420="M","BOY","GIRL"))</f>
        <v/>
      </c>
      <c r="I1423" s="28" t="str">
        <f>IF('Paste SD Data'!J1420="","",'Paste SD Data'!J1420)</f>
        <v/>
      </c>
      <c r="J1423" s="34">
        <f t="shared" si="22"/>
        <v>1849</v>
      </c>
      <c r="K1423" s="29" t="str">
        <f>IF('Paste SD Data'!O1420="","",'Paste SD Data'!O1420)</f>
        <v/>
      </c>
    </row>
    <row r="1424" spans="1:11" ht="30" customHeight="1" x14ac:dyDescent="0.25">
      <c r="A1424" s="25" t="str">
        <f>IF(Table1[[#This Row],[Name of Student]]="","",ROWS($A$1:A1420))</f>
        <v/>
      </c>
      <c r="B1424" s="26" t="str">
        <f>IF('Paste SD Data'!A1421="","",'Paste SD Data'!A1421)</f>
        <v/>
      </c>
      <c r="C1424" s="26" t="str">
        <f>IF('Paste SD Data'!B1421="","",'Paste SD Data'!B1421)</f>
        <v/>
      </c>
      <c r="D1424" s="26" t="str">
        <f>IF('Paste SD Data'!C1421="","",'Paste SD Data'!C1421)</f>
        <v/>
      </c>
      <c r="E1424" s="27" t="str">
        <f>IF('Paste SD Data'!E1421="","",UPPER('Paste SD Data'!E1421))</f>
        <v/>
      </c>
      <c r="F1424" s="27" t="str">
        <f>IF('Paste SD Data'!G1421="","",UPPER('Paste SD Data'!G1421))</f>
        <v/>
      </c>
      <c r="G1424" s="27" t="str">
        <f>IF('Paste SD Data'!H1421="","",UPPER('Paste SD Data'!H1421))</f>
        <v/>
      </c>
      <c r="H1424" s="26" t="str">
        <f>IF('Paste SD Data'!I1421="","",IF('Paste SD Data'!I1421="M","BOY","GIRL"))</f>
        <v/>
      </c>
      <c r="I1424" s="28" t="str">
        <f>IF('Paste SD Data'!J1421="","",'Paste SD Data'!J1421)</f>
        <v/>
      </c>
      <c r="J1424" s="34">
        <f t="shared" si="22"/>
        <v>1850</v>
      </c>
      <c r="K1424" s="29" t="str">
        <f>IF('Paste SD Data'!O1421="","",'Paste SD Data'!O1421)</f>
        <v/>
      </c>
    </row>
    <row r="1425" spans="1:11" ht="30" customHeight="1" x14ac:dyDescent="0.25">
      <c r="A1425" s="25" t="str">
        <f>IF(Table1[[#This Row],[Name of Student]]="","",ROWS($A$1:A1421))</f>
        <v/>
      </c>
      <c r="B1425" s="26" t="str">
        <f>IF('Paste SD Data'!A1422="","",'Paste SD Data'!A1422)</f>
        <v/>
      </c>
      <c r="C1425" s="26" t="str">
        <f>IF('Paste SD Data'!B1422="","",'Paste SD Data'!B1422)</f>
        <v/>
      </c>
      <c r="D1425" s="26" t="str">
        <f>IF('Paste SD Data'!C1422="","",'Paste SD Data'!C1422)</f>
        <v/>
      </c>
      <c r="E1425" s="27" t="str">
        <f>IF('Paste SD Data'!E1422="","",UPPER('Paste SD Data'!E1422))</f>
        <v/>
      </c>
      <c r="F1425" s="27" t="str">
        <f>IF('Paste SD Data'!G1422="","",UPPER('Paste SD Data'!G1422))</f>
        <v/>
      </c>
      <c r="G1425" s="27" t="str">
        <f>IF('Paste SD Data'!H1422="","",UPPER('Paste SD Data'!H1422))</f>
        <v/>
      </c>
      <c r="H1425" s="26" t="str">
        <f>IF('Paste SD Data'!I1422="","",IF('Paste SD Data'!I1422="M","BOY","GIRL"))</f>
        <v/>
      </c>
      <c r="I1425" s="28" t="str">
        <f>IF('Paste SD Data'!J1422="","",'Paste SD Data'!J1422)</f>
        <v/>
      </c>
      <c r="J1425" s="34">
        <f t="shared" si="22"/>
        <v>1851</v>
      </c>
      <c r="K1425" s="29" t="str">
        <f>IF('Paste SD Data'!O1422="","",'Paste SD Data'!O1422)</f>
        <v/>
      </c>
    </row>
    <row r="1426" spans="1:11" ht="30" customHeight="1" x14ac:dyDescent="0.25">
      <c r="A1426" s="25" t="str">
        <f>IF(Table1[[#This Row],[Name of Student]]="","",ROWS($A$1:A1422))</f>
        <v/>
      </c>
      <c r="B1426" s="26" t="str">
        <f>IF('Paste SD Data'!A1423="","",'Paste SD Data'!A1423)</f>
        <v/>
      </c>
      <c r="C1426" s="26" t="str">
        <f>IF('Paste SD Data'!B1423="","",'Paste SD Data'!B1423)</f>
        <v/>
      </c>
      <c r="D1426" s="26" t="str">
        <f>IF('Paste SD Data'!C1423="","",'Paste SD Data'!C1423)</f>
        <v/>
      </c>
      <c r="E1426" s="27" t="str">
        <f>IF('Paste SD Data'!E1423="","",UPPER('Paste SD Data'!E1423))</f>
        <v/>
      </c>
      <c r="F1426" s="27" t="str">
        <f>IF('Paste SD Data'!G1423="","",UPPER('Paste SD Data'!G1423))</f>
        <v/>
      </c>
      <c r="G1426" s="27" t="str">
        <f>IF('Paste SD Data'!H1423="","",UPPER('Paste SD Data'!H1423))</f>
        <v/>
      </c>
      <c r="H1426" s="26" t="str">
        <f>IF('Paste SD Data'!I1423="","",IF('Paste SD Data'!I1423="M","BOY","GIRL"))</f>
        <v/>
      </c>
      <c r="I1426" s="28" t="str">
        <f>IF('Paste SD Data'!J1423="","",'Paste SD Data'!J1423)</f>
        <v/>
      </c>
      <c r="J1426" s="34">
        <f t="shared" si="22"/>
        <v>1852</v>
      </c>
      <c r="K1426" s="29" t="str">
        <f>IF('Paste SD Data'!O1423="","",'Paste SD Data'!O1423)</f>
        <v/>
      </c>
    </row>
    <row r="1427" spans="1:11" ht="30" customHeight="1" x14ac:dyDescent="0.25">
      <c r="A1427" s="25" t="str">
        <f>IF(Table1[[#This Row],[Name of Student]]="","",ROWS($A$1:A1423))</f>
        <v/>
      </c>
      <c r="B1427" s="26" t="str">
        <f>IF('Paste SD Data'!A1424="","",'Paste SD Data'!A1424)</f>
        <v/>
      </c>
      <c r="C1427" s="26" t="str">
        <f>IF('Paste SD Data'!B1424="","",'Paste SD Data'!B1424)</f>
        <v/>
      </c>
      <c r="D1427" s="26" t="str">
        <f>IF('Paste SD Data'!C1424="","",'Paste SD Data'!C1424)</f>
        <v/>
      </c>
      <c r="E1427" s="27" t="str">
        <f>IF('Paste SD Data'!E1424="","",UPPER('Paste SD Data'!E1424))</f>
        <v/>
      </c>
      <c r="F1427" s="27" t="str">
        <f>IF('Paste SD Data'!G1424="","",UPPER('Paste SD Data'!G1424))</f>
        <v/>
      </c>
      <c r="G1427" s="27" t="str">
        <f>IF('Paste SD Data'!H1424="","",UPPER('Paste SD Data'!H1424))</f>
        <v/>
      </c>
      <c r="H1427" s="26" t="str">
        <f>IF('Paste SD Data'!I1424="","",IF('Paste SD Data'!I1424="M","BOY","GIRL"))</f>
        <v/>
      </c>
      <c r="I1427" s="28" t="str">
        <f>IF('Paste SD Data'!J1424="","",'Paste SD Data'!J1424)</f>
        <v/>
      </c>
      <c r="J1427" s="34">
        <f t="shared" si="22"/>
        <v>1853</v>
      </c>
      <c r="K1427" s="29" t="str">
        <f>IF('Paste SD Data'!O1424="","",'Paste SD Data'!O1424)</f>
        <v/>
      </c>
    </row>
    <row r="1428" spans="1:11" ht="30" customHeight="1" x14ac:dyDescent="0.25">
      <c r="A1428" s="25" t="str">
        <f>IF(Table1[[#This Row],[Name of Student]]="","",ROWS($A$1:A1424))</f>
        <v/>
      </c>
      <c r="B1428" s="26" t="str">
        <f>IF('Paste SD Data'!A1425="","",'Paste SD Data'!A1425)</f>
        <v/>
      </c>
      <c r="C1428" s="26" t="str">
        <f>IF('Paste SD Data'!B1425="","",'Paste SD Data'!B1425)</f>
        <v/>
      </c>
      <c r="D1428" s="26" t="str">
        <f>IF('Paste SD Data'!C1425="","",'Paste SD Data'!C1425)</f>
        <v/>
      </c>
      <c r="E1428" s="27" t="str">
        <f>IF('Paste SD Data'!E1425="","",UPPER('Paste SD Data'!E1425))</f>
        <v/>
      </c>
      <c r="F1428" s="27" t="str">
        <f>IF('Paste SD Data'!G1425="","",UPPER('Paste SD Data'!G1425))</f>
        <v/>
      </c>
      <c r="G1428" s="27" t="str">
        <f>IF('Paste SD Data'!H1425="","",UPPER('Paste SD Data'!H1425))</f>
        <v/>
      </c>
      <c r="H1428" s="26" t="str">
        <f>IF('Paste SD Data'!I1425="","",IF('Paste SD Data'!I1425="M","BOY","GIRL"))</f>
        <v/>
      </c>
      <c r="I1428" s="28" t="str">
        <f>IF('Paste SD Data'!J1425="","",'Paste SD Data'!J1425)</f>
        <v/>
      </c>
      <c r="J1428" s="34">
        <f t="shared" si="22"/>
        <v>1854</v>
      </c>
      <c r="K1428" s="29" t="str">
        <f>IF('Paste SD Data'!O1425="","",'Paste SD Data'!O1425)</f>
        <v/>
      </c>
    </row>
    <row r="1429" spans="1:11" ht="30" customHeight="1" x14ac:dyDescent="0.25">
      <c r="A1429" s="25" t="str">
        <f>IF(Table1[[#This Row],[Name of Student]]="","",ROWS($A$1:A1425))</f>
        <v/>
      </c>
      <c r="B1429" s="26" t="str">
        <f>IF('Paste SD Data'!A1426="","",'Paste SD Data'!A1426)</f>
        <v/>
      </c>
      <c r="C1429" s="26" t="str">
        <f>IF('Paste SD Data'!B1426="","",'Paste SD Data'!B1426)</f>
        <v/>
      </c>
      <c r="D1429" s="26" t="str">
        <f>IF('Paste SD Data'!C1426="","",'Paste SD Data'!C1426)</f>
        <v/>
      </c>
      <c r="E1429" s="27" t="str">
        <f>IF('Paste SD Data'!E1426="","",UPPER('Paste SD Data'!E1426))</f>
        <v/>
      </c>
      <c r="F1429" s="27" t="str">
        <f>IF('Paste SD Data'!G1426="","",UPPER('Paste SD Data'!G1426))</f>
        <v/>
      </c>
      <c r="G1429" s="27" t="str">
        <f>IF('Paste SD Data'!H1426="","",UPPER('Paste SD Data'!H1426))</f>
        <v/>
      </c>
      <c r="H1429" s="26" t="str">
        <f>IF('Paste SD Data'!I1426="","",IF('Paste SD Data'!I1426="M","BOY","GIRL"))</f>
        <v/>
      </c>
      <c r="I1429" s="28" t="str">
        <f>IF('Paste SD Data'!J1426="","",'Paste SD Data'!J1426)</f>
        <v/>
      </c>
      <c r="J1429" s="34">
        <f t="shared" si="22"/>
        <v>1855</v>
      </c>
      <c r="K1429" s="29" t="str">
        <f>IF('Paste SD Data'!O1426="","",'Paste SD Data'!O1426)</f>
        <v/>
      </c>
    </row>
    <row r="1430" spans="1:11" ht="30" customHeight="1" x14ac:dyDescent="0.25">
      <c r="A1430" s="25" t="str">
        <f>IF(Table1[[#This Row],[Name of Student]]="","",ROWS($A$1:A1426))</f>
        <v/>
      </c>
      <c r="B1430" s="26" t="str">
        <f>IF('Paste SD Data'!A1427="","",'Paste SD Data'!A1427)</f>
        <v/>
      </c>
      <c r="C1430" s="26" t="str">
        <f>IF('Paste SD Data'!B1427="","",'Paste SD Data'!B1427)</f>
        <v/>
      </c>
      <c r="D1430" s="26" t="str">
        <f>IF('Paste SD Data'!C1427="","",'Paste SD Data'!C1427)</f>
        <v/>
      </c>
      <c r="E1430" s="27" t="str">
        <f>IF('Paste SD Data'!E1427="","",UPPER('Paste SD Data'!E1427))</f>
        <v/>
      </c>
      <c r="F1430" s="27" t="str">
        <f>IF('Paste SD Data'!G1427="","",UPPER('Paste SD Data'!G1427))</f>
        <v/>
      </c>
      <c r="G1430" s="27" t="str">
        <f>IF('Paste SD Data'!H1427="","",UPPER('Paste SD Data'!H1427))</f>
        <v/>
      </c>
      <c r="H1430" s="26" t="str">
        <f>IF('Paste SD Data'!I1427="","",IF('Paste SD Data'!I1427="M","BOY","GIRL"))</f>
        <v/>
      </c>
      <c r="I1430" s="28" t="str">
        <f>IF('Paste SD Data'!J1427="","",'Paste SD Data'!J1427)</f>
        <v/>
      </c>
      <c r="J1430" s="34">
        <f t="shared" si="22"/>
        <v>1856</v>
      </c>
      <c r="K1430" s="29" t="str">
        <f>IF('Paste SD Data'!O1427="","",'Paste SD Data'!O1427)</f>
        <v/>
      </c>
    </row>
    <row r="1431" spans="1:11" ht="30" customHeight="1" x14ac:dyDescent="0.25">
      <c r="A1431" s="25" t="str">
        <f>IF(Table1[[#This Row],[Name of Student]]="","",ROWS($A$1:A1427))</f>
        <v/>
      </c>
      <c r="B1431" s="26" t="str">
        <f>IF('Paste SD Data'!A1428="","",'Paste SD Data'!A1428)</f>
        <v/>
      </c>
      <c r="C1431" s="26" t="str">
        <f>IF('Paste SD Data'!B1428="","",'Paste SD Data'!B1428)</f>
        <v/>
      </c>
      <c r="D1431" s="26" t="str">
        <f>IF('Paste SD Data'!C1428="","",'Paste SD Data'!C1428)</f>
        <v/>
      </c>
      <c r="E1431" s="27" t="str">
        <f>IF('Paste SD Data'!E1428="","",UPPER('Paste SD Data'!E1428))</f>
        <v/>
      </c>
      <c r="F1431" s="27" t="str">
        <f>IF('Paste SD Data'!G1428="","",UPPER('Paste SD Data'!G1428))</f>
        <v/>
      </c>
      <c r="G1431" s="27" t="str">
        <f>IF('Paste SD Data'!H1428="","",UPPER('Paste SD Data'!H1428))</f>
        <v/>
      </c>
      <c r="H1431" s="26" t="str">
        <f>IF('Paste SD Data'!I1428="","",IF('Paste SD Data'!I1428="M","BOY","GIRL"))</f>
        <v/>
      </c>
      <c r="I1431" s="28" t="str">
        <f>IF('Paste SD Data'!J1428="","",'Paste SD Data'!J1428)</f>
        <v/>
      </c>
      <c r="J1431" s="34">
        <f t="shared" si="22"/>
        <v>1857</v>
      </c>
      <c r="K1431" s="29" t="str">
        <f>IF('Paste SD Data'!O1428="","",'Paste SD Data'!O1428)</f>
        <v/>
      </c>
    </row>
    <row r="1432" spans="1:11" ht="30" customHeight="1" x14ac:dyDescent="0.25">
      <c r="A1432" s="25" t="str">
        <f>IF(Table1[[#This Row],[Name of Student]]="","",ROWS($A$1:A1428))</f>
        <v/>
      </c>
      <c r="B1432" s="26" t="str">
        <f>IF('Paste SD Data'!A1429="","",'Paste SD Data'!A1429)</f>
        <v/>
      </c>
      <c r="C1432" s="26" t="str">
        <f>IF('Paste SD Data'!B1429="","",'Paste SD Data'!B1429)</f>
        <v/>
      </c>
      <c r="D1432" s="26" t="str">
        <f>IF('Paste SD Data'!C1429="","",'Paste SD Data'!C1429)</f>
        <v/>
      </c>
      <c r="E1432" s="27" t="str">
        <f>IF('Paste SD Data'!E1429="","",UPPER('Paste SD Data'!E1429))</f>
        <v/>
      </c>
      <c r="F1432" s="27" t="str">
        <f>IF('Paste SD Data'!G1429="","",UPPER('Paste SD Data'!G1429))</f>
        <v/>
      </c>
      <c r="G1432" s="27" t="str">
        <f>IF('Paste SD Data'!H1429="","",UPPER('Paste SD Data'!H1429))</f>
        <v/>
      </c>
      <c r="H1432" s="26" t="str">
        <f>IF('Paste SD Data'!I1429="","",IF('Paste SD Data'!I1429="M","BOY","GIRL"))</f>
        <v/>
      </c>
      <c r="I1432" s="28" t="str">
        <f>IF('Paste SD Data'!J1429="","",'Paste SD Data'!J1429)</f>
        <v/>
      </c>
      <c r="J1432" s="34">
        <f t="shared" si="22"/>
        <v>1858</v>
      </c>
      <c r="K1432" s="29" t="str">
        <f>IF('Paste SD Data'!O1429="","",'Paste SD Data'!O1429)</f>
        <v/>
      </c>
    </row>
    <row r="1433" spans="1:11" ht="30" customHeight="1" x14ac:dyDescent="0.25">
      <c r="A1433" s="25" t="str">
        <f>IF(Table1[[#This Row],[Name of Student]]="","",ROWS($A$1:A1429))</f>
        <v/>
      </c>
      <c r="B1433" s="26" t="str">
        <f>IF('Paste SD Data'!A1430="","",'Paste SD Data'!A1430)</f>
        <v/>
      </c>
      <c r="C1433" s="26" t="str">
        <f>IF('Paste SD Data'!B1430="","",'Paste SD Data'!B1430)</f>
        <v/>
      </c>
      <c r="D1433" s="26" t="str">
        <f>IF('Paste SD Data'!C1430="","",'Paste SD Data'!C1430)</f>
        <v/>
      </c>
      <c r="E1433" s="27" t="str">
        <f>IF('Paste SD Data'!E1430="","",UPPER('Paste SD Data'!E1430))</f>
        <v/>
      </c>
      <c r="F1433" s="27" t="str">
        <f>IF('Paste SD Data'!G1430="","",UPPER('Paste SD Data'!G1430))</f>
        <v/>
      </c>
      <c r="G1433" s="27" t="str">
        <f>IF('Paste SD Data'!H1430="","",UPPER('Paste SD Data'!H1430))</f>
        <v/>
      </c>
      <c r="H1433" s="26" t="str">
        <f>IF('Paste SD Data'!I1430="","",IF('Paste SD Data'!I1430="M","BOY","GIRL"))</f>
        <v/>
      </c>
      <c r="I1433" s="28" t="str">
        <f>IF('Paste SD Data'!J1430="","",'Paste SD Data'!J1430)</f>
        <v/>
      </c>
      <c r="J1433" s="34">
        <f t="shared" si="22"/>
        <v>1859</v>
      </c>
      <c r="K1433" s="29" t="str">
        <f>IF('Paste SD Data'!O1430="","",'Paste SD Data'!O1430)</f>
        <v/>
      </c>
    </row>
    <row r="1434" spans="1:11" ht="30" customHeight="1" x14ac:dyDescent="0.25">
      <c r="A1434" s="25" t="str">
        <f>IF(Table1[[#This Row],[Name of Student]]="","",ROWS($A$1:A1430))</f>
        <v/>
      </c>
      <c r="B1434" s="26" t="str">
        <f>IF('Paste SD Data'!A1431="","",'Paste SD Data'!A1431)</f>
        <v/>
      </c>
      <c r="C1434" s="26" t="str">
        <f>IF('Paste SD Data'!B1431="","",'Paste SD Data'!B1431)</f>
        <v/>
      </c>
      <c r="D1434" s="26" t="str">
        <f>IF('Paste SD Data'!C1431="","",'Paste SD Data'!C1431)</f>
        <v/>
      </c>
      <c r="E1434" s="27" t="str">
        <f>IF('Paste SD Data'!E1431="","",UPPER('Paste SD Data'!E1431))</f>
        <v/>
      </c>
      <c r="F1434" s="27" t="str">
        <f>IF('Paste SD Data'!G1431="","",UPPER('Paste SD Data'!G1431))</f>
        <v/>
      </c>
      <c r="G1434" s="27" t="str">
        <f>IF('Paste SD Data'!H1431="","",UPPER('Paste SD Data'!H1431))</f>
        <v/>
      </c>
      <c r="H1434" s="26" t="str">
        <f>IF('Paste SD Data'!I1431="","",IF('Paste SD Data'!I1431="M","BOY","GIRL"))</f>
        <v/>
      </c>
      <c r="I1434" s="28" t="str">
        <f>IF('Paste SD Data'!J1431="","",'Paste SD Data'!J1431)</f>
        <v/>
      </c>
      <c r="J1434" s="34">
        <f t="shared" si="22"/>
        <v>1860</v>
      </c>
      <c r="K1434" s="29" t="str">
        <f>IF('Paste SD Data'!O1431="","",'Paste SD Data'!O1431)</f>
        <v/>
      </c>
    </row>
    <row r="1435" spans="1:11" ht="30" customHeight="1" x14ac:dyDescent="0.25">
      <c r="A1435" s="25" t="str">
        <f>IF(Table1[[#This Row],[Name of Student]]="","",ROWS($A$1:A1431))</f>
        <v/>
      </c>
      <c r="B1435" s="26" t="str">
        <f>IF('Paste SD Data'!A1432="","",'Paste SD Data'!A1432)</f>
        <v/>
      </c>
      <c r="C1435" s="26" t="str">
        <f>IF('Paste SD Data'!B1432="","",'Paste SD Data'!B1432)</f>
        <v/>
      </c>
      <c r="D1435" s="26" t="str">
        <f>IF('Paste SD Data'!C1432="","",'Paste SD Data'!C1432)</f>
        <v/>
      </c>
      <c r="E1435" s="27" t="str">
        <f>IF('Paste SD Data'!E1432="","",UPPER('Paste SD Data'!E1432))</f>
        <v/>
      </c>
      <c r="F1435" s="27" t="str">
        <f>IF('Paste SD Data'!G1432="","",UPPER('Paste SD Data'!G1432))</f>
        <v/>
      </c>
      <c r="G1435" s="27" t="str">
        <f>IF('Paste SD Data'!H1432="","",UPPER('Paste SD Data'!H1432))</f>
        <v/>
      </c>
      <c r="H1435" s="26" t="str">
        <f>IF('Paste SD Data'!I1432="","",IF('Paste SD Data'!I1432="M","BOY","GIRL"))</f>
        <v/>
      </c>
      <c r="I1435" s="28" t="str">
        <f>IF('Paste SD Data'!J1432="","",'Paste SD Data'!J1432)</f>
        <v/>
      </c>
      <c r="J1435" s="34">
        <f t="shared" si="22"/>
        <v>1861</v>
      </c>
      <c r="K1435" s="29" t="str">
        <f>IF('Paste SD Data'!O1432="","",'Paste SD Data'!O1432)</f>
        <v/>
      </c>
    </row>
    <row r="1436" spans="1:11" ht="30" customHeight="1" x14ac:dyDescent="0.25">
      <c r="A1436" s="25" t="str">
        <f>IF(Table1[[#This Row],[Name of Student]]="","",ROWS($A$1:A1432))</f>
        <v/>
      </c>
      <c r="B1436" s="26" t="str">
        <f>IF('Paste SD Data'!A1433="","",'Paste SD Data'!A1433)</f>
        <v/>
      </c>
      <c r="C1436" s="26" t="str">
        <f>IF('Paste SD Data'!B1433="","",'Paste SD Data'!B1433)</f>
        <v/>
      </c>
      <c r="D1436" s="26" t="str">
        <f>IF('Paste SD Data'!C1433="","",'Paste SD Data'!C1433)</f>
        <v/>
      </c>
      <c r="E1436" s="27" t="str">
        <f>IF('Paste SD Data'!E1433="","",UPPER('Paste SD Data'!E1433))</f>
        <v/>
      </c>
      <c r="F1436" s="27" t="str">
        <f>IF('Paste SD Data'!G1433="","",UPPER('Paste SD Data'!G1433))</f>
        <v/>
      </c>
      <c r="G1436" s="27" t="str">
        <f>IF('Paste SD Data'!H1433="","",UPPER('Paste SD Data'!H1433))</f>
        <v/>
      </c>
      <c r="H1436" s="26" t="str">
        <f>IF('Paste SD Data'!I1433="","",IF('Paste SD Data'!I1433="M","BOY","GIRL"))</f>
        <v/>
      </c>
      <c r="I1436" s="28" t="str">
        <f>IF('Paste SD Data'!J1433="","",'Paste SD Data'!J1433)</f>
        <v/>
      </c>
      <c r="J1436" s="34">
        <f t="shared" si="22"/>
        <v>1862</v>
      </c>
      <c r="K1436" s="29" t="str">
        <f>IF('Paste SD Data'!O1433="","",'Paste SD Data'!O1433)</f>
        <v/>
      </c>
    </row>
    <row r="1437" spans="1:11" ht="30" customHeight="1" x14ac:dyDescent="0.25">
      <c r="A1437" s="25" t="str">
        <f>IF(Table1[[#This Row],[Name of Student]]="","",ROWS($A$1:A1433))</f>
        <v/>
      </c>
      <c r="B1437" s="26" t="str">
        <f>IF('Paste SD Data'!A1434="","",'Paste SD Data'!A1434)</f>
        <v/>
      </c>
      <c r="C1437" s="26" t="str">
        <f>IF('Paste SD Data'!B1434="","",'Paste SD Data'!B1434)</f>
        <v/>
      </c>
      <c r="D1437" s="26" t="str">
        <f>IF('Paste SD Data'!C1434="","",'Paste SD Data'!C1434)</f>
        <v/>
      </c>
      <c r="E1437" s="27" t="str">
        <f>IF('Paste SD Data'!E1434="","",UPPER('Paste SD Data'!E1434))</f>
        <v/>
      </c>
      <c r="F1437" s="27" t="str">
        <f>IF('Paste SD Data'!G1434="","",UPPER('Paste SD Data'!G1434))</f>
        <v/>
      </c>
      <c r="G1437" s="27" t="str">
        <f>IF('Paste SD Data'!H1434="","",UPPER('Paste SD Data'!H1434))</f>
        <v/>
      </c>
      <c r="H1437" s="26" t="str">
        <f>IF('Paste SD Data'!I1434="","",IF('Paste SD Data'!I1434="M","BOY","GIRL"))</f>
        <v/>
      </c>
      <c r="I1437" s="28" t="str">
        <f>IF('Paste SD Data'!J1434="","",'Paste SD Data'!J1434)</f>
        <v/>
      </c>
      <c r="J1437" s="34">
        <f t="shared" si="22"/>
        <v>1863</v>
      </c>
      <c r="K1437" s="29" t="str">
        <f>IF('Paste SD Data'!O1434="","",'Paste SD Data'!O1434)</f>
        <v/>
      </c>
    </row>
    <row r="1438" spans="1:11" ht="30" customHeight="1" x14ac:dyDescent="0.25">
      <c r="A1438" s="25" t="str">
        <f>IF(Table1[[#This Row],[Name of Student]]="","",ROWS($A$1:A1434))</f>
        <v/>
      </c>
      <c r="B1438" s="26" t="str">
        <f>IF('Paste SD Data'!A1435="","",'Paste SD Data'!A1435)</f>
        <v/>
      </c>
      <c r="C1438" s="26" t="str">
        <f>IF('Paste SD Data'!B1435="","",'Paste SD Data'!B1435)</f>
        <v/>
      </c>
      <c r="D1438" s="26" t="str">
        <f>IF('Paste SD Data'!C1435="","",'Paste SD Data'!C1435)</f>
        <v/>
      </c>
      <c r="E1438" s="27" t="str">
        <f>IF('Paste SD Data'!E1435="","",UPPER('Paste SD Data'!E1435))</f>
        <v/>
      </c>
      <c r="F1438" s="27" t="str">
        <f>IF('Paste SD Data'!G1435="","",UPPER('Paste SD Data'!G1435))</f>
        <v/>
      </c>
      <c r="G1438" s="27" t="str">
        <f>IF('Paste SD Data'!H1435="","",UPPER('Paste SD Data'!H1435))</f>
        <v/>
      </c>
      <c r="H1438" s="26" t="str">
        <f>IF('Paste SD Data'!I1435="","",IF('Paste SD Data'!I1435="M","BOY","GIRL"))</f>
        <v/>
      </c>
      <c r="I1438" s="28" t="str">
        <f>IF('Paste SD Data'!J1435="","",'Paste SD Data'!J1435)</f>
        <v/>
      </c>
      <c r="J1438" s="34">
        <f t="shared" si="22"/>
        <v>1864</v>
      </c>
      <c r="K1438" s="29" t="str">
        <f>IF('Paste SD Data'!O1435="","",'Paste SD Data'!O1435)</f>
        <v/>
      </c>
    </row>
    <row r="1439" spans="1:11" ht="30" customHeight="1" x14ac:dyDescent="0.25">
      <c r="A1439" s="25" t="str">
        <f>IF(Table1[[#This Row],[Name of Student]]="","",ROWS($A$1:A1435))</f>
        <v/>
      </c>
      <c r="B1439" s="26" t="str">
        <f>IF('Paste SD Data'!A1436="","",'Paste SD Data'!A1436)</f>
        <v/>
      </c>
      <c r="C1439" s="26" t="str">
        <f>IF('Paste SD Data'!B1436="","",'Paste SD Data'!B1436)</f>
        <v/>
      </c>
      <c r="D1439" s="26" t="str">
        <f>IF('Paste SD Data'!C1436="","",'Paste SD Data'!C1436)</f>
        <v/>
      </c>
      <c r="E1439" s="27" t="str">
        <f>IF('Paste SD Data'!E1436="","",UPPER('Paste SD Data'!E1436))</f>
        <v/>
      </c>
      <c r="F1439" s="27" t="str">
        <f>IF('Paste SD Data'!G1436="","",UPPER('Paste SD Data'!G1436))</f>
        <v/>
      </c>
      <c r="G1439" s="27" t="str">
        <f>IF('Paste SD Data'!H1436="","",UPPER('Paste SD Data'!H1436))</f>
        <v/>
      </c>
      <c r="H1439" s="26" t="str">
        <f>IF('Paste SD Data'!I1436="","",IF('Paste SD Data'!I1436="M","BOY","GIRL"))</f>
        <v/>
      </c>
      <c r="I1439" s="28" t="str">
        <f>IF('Paste SD Data'!J1436="","",'Paste SD Data'!J1436)</f>
        <v/>
      </c>
      <c r="J1439" s="34">
        <f t="shared" si="22"/>
        <v>1865</v>
      </c>
      <c r="K1439" s="29" t="str">
        <f>IF('Paste SD Data'!O1436="","",'Paste SD Data'!O1436)</f>
        <v/>
      </c>
    </row>
    <row r="1440" spans="1:11" ht="30" customHeight="1" x14ac:dyDescent="0.25">
      <c r="A1440" s="25" t="str">
        <f>IF(Table1[[#This Row],[Name of Student]]="","",ROWS($A$1:A1436))</f>
        <v/>
      </c>
      <c r="B1440" s="26" t="str">
        <f>IF('Paste SD Data'!A1437="","",'Paste SD Data'!A1437)</f>
        <v/>
      </c>
      <c r="C1440" s="26" t="str">
        <f>IF('Paste SD Data'!B1437="","",'Paste SD Data'!B1437)</f>
        <v/>
      </c>
      <c r="D1440" s="26" t="str">
        <f>IF('Paste SD Data'!C1437="","",'Paste SD Data'!C1437)</f>
        <v/>
      </c>
      <c r="E1440" s="27" t="str">
        <f>IF('Paste SD Data'!E1437="","",UPPER('Paste SD Data'!E1437))</f>
        <v/>
      </c>
      <c r="F1440" s="27" t="str">
        <f>IF('Paste SD Data'!G1437="","",UPPER('Paste SD Data'!G1437))</f>
        <v/>
      </c>
      <c r="G1440" s="27" t="str">
        <f>IF('Paste SD Data'!H1437="","",UPPER('Paste SD Data'!H1437))</f>
        <v/>
      </c>
      <c r="H1440" s="26" t="str">
        <f>IF('Paste SD Data'!I1437="","",IF('Paste SD Data'!I1437="M","BOY","GIRL"))</f>
        <v/>
      </c>
      <c r="I1440" s="28" t="str">
        <f>IF('Paste SD Data'!J1437="","",'Paste SD Data'!J1437)</f>
        <v/>
      </c>
      <c r="J1440" s="34">
        <f t="shared" si="22"/>
        <v>1866</v>
      </c>
      <c r="K1440" s="29" t="str">
        <f>IF('Paste SD Data'!O1437="","",'Paste SD Data'!O1437)</f>
        <v/>
      </c>
    </row>
    <row r="1441" spans="1:11" ht="30" customHeight="1" x14ac:dyDescent="0.25">
      <c r="A1441" s="25" t="str">
        <f>IF(Table1[[#This Row],[Name of Student]]="","",ROWS($A$1:A1437))</f>
        <v/>
      </c>
      <c r="B1441" s="26" t="str">
        <f>IF('Paste SD Data'!A1438="","",'Paste SD Data'!A1438)</f>
        <v/>
      </c>
      <c r="C1441" s="26" t="str">
        <f>IF('Paste SD Data'!B1438="","",'Paste SD Data'!B1438)</f>
        <v/>
      </c>
      <c r="D1441" s="26" t="str">
        <f>IF('Paste SD Data'!C1438="","",'Paste SD Data'!C1438)</f>
        <v/>
      </c>
      <c r="E1441" s="27" t="str">
        <f>IF('Paste SD Data'!E1438="","",UPPER('Paste SD Data'!E1438))</f>
        <v/>
      </c>
      <c r="F1441" s="27" t="str">
        <f>IF('Paste SD Data'!G1438="","",UPPER('Paste SD Data'!G1438))</f>
        <v/>
      </c>
      <c r="G1441" s="27" t="str">
        <f>IF('Paste SD Data'!H1438="","",UPPER('Paste SD Data'!H1438))</f>
        <v/>
      </c>
      <c r="H1441" s="26" t="str">
        <f>IF('Paste SD Data'!I1438="","",IF('Paste SD Data'!I1438="M","BOY","GIRL"))</f>
        <v/>
      </c>
      <c r="I1441" s="28" t="str">
        <f>IF('Paste SD Data'!J1438="","",'Paste SD Data'!J1438)</f>
        <v/>
      </c>
      <c r="J1441" s="34">
        <f t="shared" si="22"/>
        <v>1867</v>
      </c>
      <c r="K1441" s="29" t="str">
        <f>IF('Paste SD Data'!O1438="","",'Paste SD Data'!O1438)</f>
        <v/>
      </c>
    </row>
    <row r="1442" spans="1:11" ht="30" customHeight="1" x14ac:dyDescent="0.25">
      <c r="A1442" s="25" t="str">
        <f>IF(Table1[[#This Row],[Name of Student]]="","",ROWS($A$1:A1438))</f>
        <v/>
      </c>
      <c r="B1442" s="26" t="str">
        <f>IF('Paste SD Data'!A1439="","",'Paste SD Data'!A1439)</f>
        <v/>
      </c>
      <c r="C1442" s="26" t="str">
        <f>IF('Paste SD Data'!B1439="","",'Paste SD Data'!B1439)</f>
        <v/>
      </c>
      <c r="D1442" s="26" t="str">
        <f>IF('Paste SD Data'!C1439="","",'Paste SD Data'!C1439)</f>
        <v/>
      </c>
      <c r="E1442" s="27" t="str">
        <f>IF('Paste SD Data'!E1439="","",UPPER('Paste SD Data'!E1439))</f>
        <v/>
      </c>
      <c r="F1442" s="27" t="str">
        <f>IF('Paste SD Data'!G1439="","",UPPER('Paste SD Data'!G1439))</f>
        <v/>
      </c>
      <c r="G1442" s="27" t="str">
        <f>IF('Paste SD Data'!H1439="","",UPPER('Paste SD Data'!H1439))</f>
        <v/>
      </c>
      <c r="H1442" s="26" t="str">
        <f>IF('Paste SD Data'!I1439="","",IF('Paste SD Data'!I1439="M","BOY","GIRL"))</f>
        <v/>
      </c>
      <c r="I1442" s="28" t="str">
        <f>IF('Paste SD Data'!J1439="","",'Paste SD Data'!J1439)</f>
        <v/>
      </c>
      <c r="J1442" s="34">
        <f t="shared" si="22"/>
        <v>1868</v>
      </c>
      <c r="K1442" s="29" t="str">
        <f>IF('Paste SD Data'!O1439="","",'Paste SD Data'!O1439)</f>
        <v/>
      </c>
    </row>
    <row r="1443" spans="1:11" ht="30" customHeight="1" x14ac:dyDescent="0.25">
      <c r="A1443" s="25" t="str">
        <f>IF(Table1[[#This Row],[Name of Student]]="","",ROWS($A$1:A1439))</f>
        <v/>
      </c>
      <c r="B1443" s="26" t="str">
        <f>IF('Paste SD Data'!A1440="","",'Paste SD Data'!A1440)</f>
        <v/>
      </c>
      <c r="C1443" s="26" t="str">
        <f>IF('Paste SD Data'!B1440="","",'Paste SD Data'!B1440)</f>
        <v/>
      </c>
      <c r="D1443" s="26" t="str">
        <f>IF('Paste SD Data'!C1440="","",'Paste SD Data'!C1440)</f>
        <v/>
      </c>
      <c r="E1443" s="27" t="str">
        <f>IF('Paste SD Data'!E1440="","",UPPER('Paste SD Data'!E1440))</f>
        <v/>
      </c>
      <c r="F1443" s="27" t="str">
        <f>IF('Paste SD Data'!G1440="","",UPPER('Paste SD Data'!G1440))</f>
        <v/>
      </c>
      <c r="G1443" s="27" t="str">
        <f>IF('Paste SD Data'!H1440="","",UPPER('Paste SD Data'!H1440))</f>
        <v/>
      </c>
      <c r="H1443" s="26" t="str">
        <f>IF('Paste SD Data'!I1440="","",IF('Paste SD Data'!I1440="M","BOY","GIRL"))</f>
        <v/>
      </c>
      <c r="I1443" s="28" t="str">
        <f>IF('Paste SD Data'!J1440="","",'Paste SD Data'!J1440)</f>
        <v/>
      </c>
      <c r="J1443" s="34">
        <f t="shared" si="22"/>
        <v>1869</v>
      </c>
      <c r="K1443" s="29" t="str">
        <f>IF('Paste SD Data'!O1440="","",'Paste SD Data'!O1440)</f>
        <v/>
      </c>
    </row>
    <row r="1444" spans="1:11" ht="30" customHeight="1" x14ac:dyDescent="0.25">
      <c r="A1444" s="25" t="str">
        <f>IF(Table1[[#This Row],[Name of Student]]="","",ROWS($A$1:A1440))</f>
        <v/>
      </c>
      <c r="B1444" s="26" t="str">
        <f>IF('Paste SD Data'!A1441="","",'Paste SD Data'!A1441)</f>
        <v/>
      </c>
      <c r="C1444" s="26" t="str">
        <f>IF('Paste SD Data'!B1441="","",'Paste SD Data'!B1441)</f>
        <v/>
      </c>
      <c r="D1444" s="26" t="str">
        <f>IF('Paste SD Data'!C1441="","",'Paste SD Data'!C1441)</f>
        <v/>
      </c>
      <c r="E1444" s="27" t="str">
        <f>IF('Paste SD Data'!E1441="","",UPPER('Paste SD Data'!E1441))</f>
        <v/>
      </c>
      <c r="F1444" s="27" t="str">
        <f>IF('Paste SD Data'!G1441="","",UPPER('Paste SD Data'!G1441))</f>
        <v/>
      </c>
      <c r="G1444" s="27" t="str">
        <f>IF('Paste SD Data'!H1441="","",UPPER('Paste SD Data'!H1441))</f>
        <v/>
      </c>
      <c r="H1444" s="26" t="str">
        <f>IF('Paste SD Data'!I1441="","",IF('Paste SD Data'!I1441="M","BOY","GIRL"))</f>
        <v/>
      </c>
      <c r="I1444" s="28" t="str">
        <f>IF('Paste SD Data'!J1441="","",'Paste SD Data'!J1441)</f>
        <v/>
      </c>
      <c r="J1444" s="34">
        <f t="shared" si="22"/>
        <v>1870</v>
      </c>
      <c r="K1444" s="29" t="str">
        <f>IF('Paste SD Data'!O1441="","",'Paste SD Data'!O1441)</f>
        <v/>
      </c>
    </row>
    <row r="1445" spans="1:11" ht="30" customHeight="1" x14ac:dyDescent="0.25">
      <c r="A1445" s="25" t="str">
        <f>IF(Table1[[#This Row],[Name of Student]]="","",ROWS($A$1:A1441))</f>
        <v/>
      </c>
      <c r="B1445" s="26" t="str">
        <f>IF('Paste SD Data'!A1442="","",'Paste SD Data'!A1442)</f>
        <v/>
      </c>
      <c r="C1445" s="26" t="str">
        <f>IF('Paste SD Data'!B1442="","",'Paste SD Data'!B1442)</f>
        <v/>
      </c>
      <c r="D1445" s="26" t="str">
        <f>IF('Paste SD Data'!C1442="","",'Paste SD Data'!C1442)</f>
        <v/>
      </c>
      <c r="E1445" s="27" t="str">
        <f>IF('Paste SD Data'!E1442="","",UPPER('Paste SD Data'!E1442))</f>
        <v/>
      </c>
      <c r="F1445" s="27" t="str">
        <f>IF('Paste SD Data'!G1442="","",UPPER('Paste SD Data'!G1442))</f>
        <v/>
      </c>
      <c r="G1445" s="27" t="str">
        <f>IF('Paste SD Data'!H1442="","",UPPER('Paste SD Data'!H1442))</f>
        <v/>
      </c>
      <c r="H1445" s="26" t="str">
        <f>IF('Paste SD Data'!I1442="","",IF('Paste SD Data'!I1442="M","BOY","GIRL"))</f>
        <v/>
      </c>
      <c r="I1445" s="28" t="str">
        <f>IF('Paste SD Data'!J1442="","",'Paste SD Data'!J1442)</f>
        <v/>
      </c>
      <c r="J1445" s="34">
        <f t="shared" si="22"/>
        <v>1871</v>
      </c>
      <c r="K1445" s="29" t="str">
        <f>IF('Paste SD Data'!O1442="","",'Paste SD Data'!O1442)</f>
        <v/>
      </c>
    </row>
    <row r="1446" spans="1:11" ht="30" customHeight="1" x14ac:dyDescent="0.25">
      <c r="A1446" s="25" t="str">
        <f>IF(Table1[[#This Row],[Name of Student]]="","",ROWS($A$1:A1442))</f>
        <v/>
      </c>
      <c r="B1446" s="26" t="str">
        <f>IF('Paste SD Data'!A1443="","",'Paste SD Data'!A1443)</f>
        <v/>
      </c>
      <c r="C1446" s="26" t="str">
        <f>IF('Paste SD Data'!B1443="","",'Paste SD Data'!B1443)</f>
        <v/>
      </c>
      <c r="D1446" s="26" t="str">
        <f>IF('Paste SD Data'!C1443="","",'Paste SD Data'!C1443)</f>
        <v/>
      </c>
      <c r="E1446" s="27" t="str">
        <f>IF('Paste SD Data'!E1443="","",UPPER('Paste SD Data'!E1443))</f>
        <v/>
      </c>
      <c r="F1446" s="27" t="str">
        <f>IF('Paste SD Data'!G1443="","",UPPER('Paste SD Data'!G1443))</f>
        <v/>
      </c>
      <c r="G1446" s="27" t="str">
        <f>IF('Paste SD Data'!H1443="","",UPPER('Paste SD Data'!H1443))</f>
        <v/>
      </c>
      <c r="H1446" s="26" t="str">
        <f>IF('Paste SD Data'!I1443="","",IF('Paste SD Data'!I1443="M","BOY","GIRL"))</f>
        <v/>
      </c>
      <c r="I1446" s="28" t="str">
        <f>IF('Paste SD Data'!J1443="","",'Paste SD Data'!J1443)</f>
        <v/>
      </c>
      <c r="J1446" s="34">
        <f t="shared" si="22"/>
        <v>1872</v>
      </c>
      <c r="K1446" s="29" t="str">
        <f>IF('Paste SD Data'!O1443="","",'Paste SD Data'!O1443)</f>
        <v/>
      </c>
    </row>
    <row r="1447" spans="1:11" ht="30" customHeight="1" x14ac:dyDescent="0.25">
      <c r="A1447" s="25" t="str">
        <f>IF(Table1[[#This Row],[Name of Student]]="","",ROWS($A$1:A1443))</f>
        <v/>
      </c>
      <c r="B1447" s="26" t="str">
        <f>IF('Paste SD Data'!A1444="","",'Paste SD Data'!A1444)</f>
        <v/>
      </c>
      <c r="C1447" s="26" t="str">
        <f>IF('Paste SD Data'!B1444="","",'Paste SD Data'!B1444)</f>
        <v/>
      </c>
      <c r="D1447" s="26" t="str">
        <f>IF('Paste SD Data'!C1444="","",'Paste SD Data'!C1444)</f>
        <v/>
      </c>
      <c r="E1447" s="27" t="str">
        <f>IF('Paste SD Data'!E1444="","",UPPER('Paste SD Data'!E1444))</f>
        <v/>
      </c>
      <c r="F1447" s="27" t="str">
        <f>IF('Paste SD Data'!G1444="","",UPPER('Paste SD Data'!G1444))</f>
        <v/>
      </c>
      <c r="G1447" s="27" t="str">
        <f>IF('Paste SD Data'!H1444="","",UPPER('Paste SD Data'!H1444))</f>
        <v/>
      </c>
      <c r="H1447" s="26" t="str">
        <f>IF('Paste SD Data'!I1444="","",IF('Paste SD Data'!I1444="M","BOY","GIRL"))</f>
        <v/>
      </c>
      <c r="I1447" s="28" t="str">
        <f>IF('Paste SD Data'!J1444="","",'Paste SD Data'!J1444)</f>
        <v/>
      </c>
      <c r="J1447" s="34">
        <f t="shared" si="22"/>
        <v>1873</v>
      </c>
      <c r="K1447" s="29" t="str">
        <f>IF('Paste SD Data'!O1444="","",'Paste SD Data'!O1444)</f>
        <v/>
      </c>
    </row>
    <row r="1448" spans="1:11" ht="30" customHeight="1" x14ac:dyDescent="0.25">
      <c r="A1448" s="25" t="str">
        <f>IF(Table1[[#This Row],[Name of Student]]="","",ROWS($A$1:A1444))</f>
        <v/>
      </c>
      <c r="B1448" s="26" t="str">
        <f>IF('Paste SD Data'!A1445="","",'Paste SD Data'!A1445)</f>
        <v/>
      </c>
      <c r="C1448" s="26" t="str">
        <f>IF('Paste SD Data'!B1445="","",'Paste SD Data'!B1445)</f>
        <v/>
      </c>
      <c r="D1448" s="26" t="str">
        <f>IF('Paste SD Data'!C1445="","",'Paste SD Data'!C1445)</f>
        <v/>
      </c>
      <c r="E1448" s="27" t="str">
        <f>IF('Paste SD Data'!E1445="","",UPPER('Paste SD Data'!E1445))</f>
        <v/>
      </c>
      <c r="F1448" s="27" t="str">
        <f>IF('Paste SD Data'!G1445="","",UPPER('Paste SD Data'!G1445))</f>
        <v/>
      </c>
      <c r="G1448" s="27" t="str">
        <f>IF('Paste SD Data'!H1445="","",UPPER('Paste SD Data'!H1445))</f>
        <v/>
      </c>
      <c r="H1448" s="26" t="str">
        <f>IF('Paste SD Data'!I1445="","",IF('Paste SD Data'!I1445="M","BOY","GIRL"))</f>
        <v/>
      </c>
      <c r="I1448" s="28" t="str">
        <f>IF('Paste SD Data'!J1445="","",'Paste SD Data'!J1445)</f>
        <v/>
      </c>
      <c r="J1448" s="34">
        <f t="shared" si="22"/>
        <v>1874</v>
      </c>
      <c r="K1448" s="29" t="str">
        <f>IF('Paste SD Data'!O1445="","",'Paste SD Data'!O1445)</f>
        <v/>
      </c>
    </row>
    <row r="1449" spans="1:11" ht="30" customHeight="1" x14ac:dyDescent="0.25">
      <c r="A1449" s="25" t="str">
        <f>IF(Table1[[#This Row],[Name of Student]]="","",ROWS($A$1:A1445))</f>
        <v/>
      </c>
      <c r="B1449" s="26" t="str">
        <f>IF('Paste SD Data'!A1446="","",'Paste SD Data'!A1446)</f>
        <v/>
      </c>
      <c r="C1449" s="26" t="str">
        <f>IF('Paste SD Data'!B1446="","",'Paste SD Data'!B1446)</f>
        <v/>
      </c>
      <c r="D1449" s="26" t="str">
        <f>IF('Paste SD Data'!C1446="","",'Paste SD Data'!C1446)</f>
        <v/>
      </c>
      <c r="E1449" s="27" t="str">
        <f>IF('Paste SD Data'!E1446="","",UPPER('Paste SD Data'!E1446))</f>
        <v/>
      </c>
      <c r="F1449" s="27" t="str">
        <f>IF('Paste SD Data'!G1446="","",UPPER('Paste SD Data'!G1446))</f>
        <v/>
      </c>
      <c r="G1449" s="27" t="str">
        <f>IF('Paste SD Data'!H1446="","",UPPER('Paste SD Data'!H1446))</f>
        <v/>
      </c>
      <c r="H1449" s="26" t="str">
        <f>IF('Paste SD Data'!I1446="","",IF('Paste SD Data'!I1446="M","BOY","GIRL"))</f>
        <v/>
      </c>
      <c r="I1449" s="28" t="str">
        <f>IF('Paste SD Data'!J1446="","",'Paste SD Data'!J1446)</f>
        <v/>
      </c>
      <c r="J1449" s="34">
        <f t="shared" si="22"/>
        <v>1875</v>
      </c>
      <c r="K1449" s="29" t="str">
        <f>IF('Paste SD Data'!O1446="","",'Paste SD Data'!O1446)</f>
        <v/>
      </c>
    </row>
    <row r="1450" spans="1:11" ht="30" customHeight="1" x14ac:dyDescent="0.25">
      <c r="A1450" s="25" t="str">
        <f>IF(Table1[[#This Row],[Name of Student]]="","",ROWS($A$1:A1446))</f>
        <v/>
      </c>
      <c r="B1450" s="26" t="str">
        <f>IF('Paste SD Data'!A1447="","",'Paste SD Data'!A1447)</f>
        <v/>
      </c>
      <c r="C1450" s="26" t="str">
        <f>IF('Paste SD Data'!B1447="","",'Paste SD Data'!B1447)</f>
        <v/>
      </c>
      <c r="D1450" s="26" t="str">
        <f>IF('Paste SD Data'!C1447="","",'Paste SD Data'!C1447)</f>
        <v/>
      </c>
      <c r="E1450" s="27" t="str">
        <f>IF('Paste SD Data'!E1447="","",UPPER('Paste SD Data'!E1447))</f>
        <v/>
      </c>
      <c r="F1450" s="27" t="str">
        <f>IF('Paste SD Data'!G1447="","",UPPER('Paste SD Data'!G1447))</f>
        <v/>
      </c>
      <c r="G1450" s="27" t="str">
        <f>IF('Paste SD Data'!H1447="","",UPPER('Paste SD Data'!H1447))</f>
        <v/>
      </c>
      <c r="H1450" s="26" t="str">
        <f>IF('Paste SD Data'!I1447="","",IF('Paste SD Data'!I1447="M","BOY","GIRL"))</f>
        <v/>
      </c>
      <c r="I1450" s="28" t="str">
        <f>IF('Paste SD Data'!J1447="","",'Paste SD Data'!J1447)</f>
        <v/>
      </c>
      <c r="J1450" s="34">
        <f t="shared" si="22"/>
        <v>1876</v>
      </c>
      <c r="K1450" s="29" t="str">
        <f>IF('Paste SD Data'!O1447="","",'Paste SD Data'!O1447)</f>
        <v/>
      </c>
    </row>
    <row r="1451" spans="1:11" ht="30" customHeight="1" x14ac:dyDescent="0.25">
      <c r="A1451" s="25" t="str">
        <f>IF(Table1[[#This Row],[Name of Student]]="","",ROWS($A$1:A1447))</f>
        <v/>
      </c>
      <c r="B1451" s="26" t="str">
        <f>IF('Paste SD Data'!A1448="","",'Paste SD Data'!A1448)</f>
        <v/>
      </c>
      <c r="C1451" s="26" t="str">
        <f>IF('Paste SD Data'!B1448="","",'Paste SD Data'!B1448)</f>
        <v/>
      </c>
      <c r="D1451" s="26" t="str">
        <f>IF('Paste SD Data'!C1448="","",'Paste SD Data'!C1448)</f>
        <v/>
      </c>
      <c r="E1451" s="27" t="str">
        <f>IF('Paste SD Data'!E1448="","",UPPER('Paste SD Data'!E1448))</f>
        <v/>
      </c>
      <c r="F1451" s="27" t="str">
        <f>IF('Paste SD Data'!G1448="","",UPPER('Paste SD Data'!G1448))</f>
        <v/>
      </c>
      <c r="G1451" s="27" t="str">
        <f>IF('Paste SD Data'!H1448="","",UPPER('Paste SD Data'!H1448))</f>
        <v/>
      </c>
      <c r="H1451" s="26" t="str">
        <f>IF('Paste SD Data'!I1448="","",IF('Paste SD Data'!I1448="M","BOY","GIRL"))</f>
        <v/>
      </c>
      <c r="I1451" s="28" t="str">
        <f>IF('Paste SD Data'!J1448="","",'Paste SD Data'!J1448)</f>
        <v/>
      </c>
      <c r="J1451" s="34">
        <f t="shared" si="22"/>
        <v>1877</v>
      </c>
      <c r="K1451" s="29" t="str">
        <f>IF('Paste SD Data'!O1448="","",'Paste SD Data'!O1448)</f>
        <v/>
      </c>
    </row>
    <row r="1452" spans="1:11" ht="30" customHeight="1" x14ac:dyDescent="0.25">
      <c r="A1452" s="25" t="str">
        <f>IF(Table1[[#This Row],[Name of Student]]="","",ROWS($A$1:A1448))</f>
        <v/>
      </c>
      <c r="B1452" s="26" t="str">
        <f>IF('Paste SD Data'!A1449="","",'Paste SD Data'!A1449)</f>
        <v/>
      </c>
      <c r="C1452" s="26" t="str">
        <f>IF('Paste SD Data'!B1449="","",'Paste SD Data'!B1449)</f>
        <v/>
      </c>
      <c r="D1452" s="26" t="str">
        <f>IF('Paste SD Data'!C1449="","",'Paste SD Data'!C1449)</f>
        <v/>
      </c>
      <c r="E1452" s="27" t="str">
        <f>IF('Paste SD Data'!E1449="","",UPPER('Paste SD Data'!E1449))</f>
        <v/>
      </c>
      <c r="F1452" s="27" t="str">
        <f>IF('Paste SD Data'!G1449="","",UPPER('Paste SD Data'!G1449))</f>
        <v/>
      </c>
      <c r="G1452" s="27" t="str">
        <f>IF('Paste SD Data'!H1449="","",UPPER('Paste SD Data'!H1449))</f>
        <v/>
      </c>
      <c r="H1452" s="26" t="str">
        <f>IF('Paste SD Data'!I1449="","",IF('Paste SD Data'!I1449="M","BOY","GIRL"))</f>
        <v/>
      </c>
      <c r="I1452" s="28" t="str">
        <f>IF('Paste SD Data'!J1449="","",'Paste SD Data'!J1449)</f>
        <v/>
      </c>
      <c r="J1452" s="34">
        <f t="shared" si="22"/>
        <v>1878</v>
      </c>
      <c r="K1452" s="29" t="str">
        <f>IF('Paste SD Data'!O1449="","",'Paste SD Data'!O1449)</f>
        <v/>
      </c>
    </row>
    <row r="1453" spans="1:11" ht="30" customHeight="1" x14ac:dyDescent="0.25">
      <c r="A1453" s="25" t="str">
        <f>IF(Table1[[#This Row],[Name of Student]]="","",ROWS($A$1:A1449))</f>
        <v/>
      </c>
      <c r="B1453" s="26" t="str">
        <f>IF('Paste SD Data'!A1450="","",'Paste SD Data'!A1450)</f>
        <v/>
      </c>
      <c r="C1453" s="26" t="str">
        <f>IF('Paste SD Data'!B1450="","",'Paste SD Data'!B1450)</f>
        <v/>
      </c>
      <c r="D1453" s="26" t="str">
        <f>IF('Paste SD Data'!C1450="","",'Paste SD Data'!C1450)</f>
        <v/>
      </c>
      <c r="E1453" s="27" t="str">
        <f>IF('Paste SD Data'!E1450="","",UPPER('Paste SD Data'!E1450))</f>
        <v/>
      </c>
      <c r="F1453" s="27" t="str">
        <f>IF('Paste SD Data'!G1450="","",UPPER('Paste SD Data'!G1450))</f>
        <v/>
      </c>
      <c r="G1453" s="27" t="str">
        <f>IF('Paste SD Data'!H1450="","",UPPER('Paste SD Data'!H1450))</f>
        <v/>
      </c>
      <c r="H1453" s="26" t="str">
        <f>IF('Paste SD Data'!I1450="","",IF('Paste SD Data'!I1450="M","BOY","GIRL"))</f>
        <v/>
      </c>
      <c r="I1453" s="28" t="str">
        <f>IF('Paste SD Data'!J1450="","",'Paste SD Data'!J1450)</f>
        <v/>
      </c>
      <c r="J1453" s="34">
        <f t="shared" si="22"/>
        <v>1879</v>
      </c>
      <c r="K1453" s="29" t="str">
        <f>IF('Paste SD Data'!O1450="","",'Paste SD Data'!O1450)</f>
        <v/>
      </c>
    </row>
    <row r="1454" spans="1:11" ht="30" customHeight="1" x14ac:dyDescent="0.25">
      <c r="A1454" s="25" t="str">
        <f>IF(Table1[[#This Row],[Name of Student]]="","",ROWS($A$1:A1450))</f>
        <v/>
      </c>
      <c r="B1454" s="26" t="str">
        <f>IF('Paste SD Data'!A1451="","",'Paste SD Data'!A1451)</f>
        <v/>
      </c>
      <c r="C1454" s="26" t="str">
        <f>IF('Paste SD Data'!B1451="","",'Paste SD Data'!B1451)</f>
        <v/>
      </c>
      <c r="D1454" s="26" t="str">
        <f>IF('Paste SD Data'!C1451="","",'Paste SD Data'!C1451)</f>
        <v/>
      </c>
      <c r="E1454" s="27" t="str">
        <f>IF('Paste SD Data'!E1451="","",UPPER('Paste SD Data'!E1451))</f>
        <v/>
      </c>
      <c r="F1454" s="27" t="str">
        <f>IF('Paste SD Data'!G1451="","",UPPER('Paste SD Data'!G1451))</f>
        <v/>
      </c>
      <c r="G1454" s="27" t="str">
        <f>IF('Paste SD Data'!H1451="","",UPPER('Paste SD Data'!H1451))</f>
        <v/>
      </c>
      <c r="H1454" s="26" t="str">
        <f>IF('Paste SD Data'!I1451="","",IF('Paste SD Data'!I1451="M","BOY","GIRL"))</f>
        <v/>
      </c>
      <c r="I1454" s="28" t="str">
        <f>IF('Paste SD Data'!J1451="","",'Paste SD Data'!J1451)</f>
        <v/>
      </c>
      <c r="J1454" s="34">
        <f t="shared" si="22"/>
        <v>1880</v>
      </c>
      <c r="K1454" s="29" t="str">
        <f>IF('Paste SD Data'!O1451="","",'Paste SD Data'!O1451)</f>
        <v/>
      </c>
    </row>
    <row r="1455" spans="1:11" ht="30" customHeight="1" x14ac:dyDescent="0.25">
      <c r="A1455" s="25" t="str">
        <f>IF(Table1[[#This Row],[Name of Student]]="","",ROWS($A$1:A1451))</f>
        <v/>
      </c>
      <c r="B1455" s="26" t="str">
        <f>IF('Paste SD Data'!A1452="","",'Paste SD Data'!A1452)</f>
        <v/>
      </c>
      <c r="C1455" s="26" t="str">
        <f>IF('Paste SD Data'!B1452="","",'Paste SD Data'!B1452)</f>
        <v/>
      </c>
      <c r="D1455" s="26" t="str">
        <f>IF('Paste SD Data'!C1452="","",'Paste SD Data'!C1452)</f>
        <v/>
      </c>
      <c r="E1455" s="27" t="str">
        <f>IF('Paste SD Data'!E1452="","",UPPER('Paste SD Data'!E1452))</f>
        <v/>
      </c>
      <c r="F1455" s="27" t="str">
        <f>IF('Paste SD Data'!G1452="","",UPPER('Paste SD Data'!G1452))</f>
        <v/>
      </c>
      <c r="G1455" s="27" t="str">
        <f>IF('Paste SD Data'!H1452="","",UPPER('Paste SD Data'!H1452))</f>
        <v/>
      </c>
      <c r="H1455" s="26" t="str">
        <f>IF('Paste SD Data'!I1452="","",IF('Paste SD Data'!I1452="M","BOY","GIRL"))</f>
        <v/>
      </c>
      <c r="I1455" s="28" t="str">
        <f>IF('Paste SD Data'!J1452="","",'Paste SD Data'!J1452)</f>
        <v/>
      </c>
      <c r="J1455" s="34">
        <f t="shared" si="22"/>
        <v>1881</v>
      </c>
      <c r="K1455" s="29" t="str">
        <f>IF('Paste SD Data'!O1452="","",'Paste SD Data'!O1452)</f>
        <v/>
      </c>
    </row>
    <row r="1456" spans="1:11" ht="30" customHeight="1" x14ac:dyDescent="0.25">
      <c r="A1456" s="25" t="str">
        <f>IF(Table1[[#This Row],[Name of Student]]="","",ROWS($A$1:A1452))</f>
        <v/>
      </c>
      <c r="B1456" s="26" t="str">
        <f>IF('Paste SD Data'!A1453="","",'Paste SD Data'!A1453)</f>
        <v/>
      </c>
      <c r="C1456" s="26" t="str">
        <f>IF('Paste SD Data'!B1453="","",'Paste SD Data'!B1453)</f>
        <v/>
      </c>
      <c r="D1456" s="26" t="str">
        <f>IF('Paste SD Data'!C1453="","",'Paste SD Data'!C1453)</f>
        <v/>
      </c>
      <c r="E1456" s="27" t="str">
        <f>IF('Paste SD Data'!E1453="","",UPPER('Paste SD Data'!E1453))</f>
        <v/>
      </c>
      <c r="F1456" s="27" t="str">
        <f>IF('Paste SD Data'!G1453="","",UPPER('Paste SD Data'!G1453))</f>
        <v/>
      </c>
      <c r="G1456" s="27" t="str">
        <f>IF('Paste SD Data'!H1453="","",UPPER('Paste SD Data'!H1453))</f>
        <v/>
      </c>
      <c r="H1456" s="26" t="str">
        <f>IF('Paste SD Data'!I1453="","",IF('Paste SD Data'!I1453="M","BOY","GIRL"))</f>
        <v/>
      </c>
      <c r="I1456" s="28" t="str">
        <f>IF('Paste SD Data'!J1453="","",'Paste SD Data'!J1453)</f>
        <v/>
      </c>
      <c r="J1456" s="34">
        <f t="shared" si="22"/>
        <v>1882</v>
      </c>
      <c r="K1456" s="29" t="str">
        <f>IF('Paste SD Data'!O1453="","",'Paste SD Data'!O1453)</f>
        <v/>
      </c>
    </row>
    <row r="1457" spans="1:11" ht="30" customHeight="1" x14ac:dyDescent="0.25">
      <c r="A1457" s="25" t="str">
        <f>IF(Table1[[#This Row],[Name of Student]]="","",ROWS($A$1:A1453))</f>
        <v/>
      </c>
      <c r="B1457" s="26" t="str">
        <f>IF('Paste SD Data'!A1454="","",'Paste SD Data'!A1454)</f>
        <v/>
      </c>
      <c r="C1457" s="26" t="str">
        <f>IF('Paste SD Data'!B1454="","",'Paste SD Data'!B1454)</f>
        <v/>
      </c>
      <c r="D1457" s="26" t="str">
        <f>IF('Paste SD Data'!C1454="","",'Paste SD Data'!C1454)</f>
        <v/>
      </c>
      <c r="E1457" s="27" t="str">
        <f>IF('Paste SD Data'!E1454="","",UPPER('Paste SD Data'!E1454))</f>
        <v/>
      </c>
      <c r="F1457" s="27" t="str">
        <f>IF('Paste SD Data'!G1454="","",UPPER('Paste SD Data'!G1454))</f>
        <v/>
      </c>
      <c r="G1457" s="27" t="str">
        <f>IF('Paste SD Data'!H1454="","",UPPER('Paste SD Data'!H1454))</f>
        <v/>
      </c>
      <c r="H1457" s="26" t="str">
        <f>IF('Paste SD Data'!I1454="","",IF('Paste SD Data'!I1454="M","BOY","GIRL"))</f>
        <v/>
      </c>
      <c r="I1457" s="28" t="str">
        <f>IF('Paste SD Data'!J1454="","",'Paste SD Data'!J1454)</f>
        <v/>
      </c>
      <c r="J1457" s="34">
        <f t="shared" si="22"/>
        <v>1883</v>
      </c>
      <c r="K1457" s="29" t="str">
        <f>IF('Paste SD Data'!O1454="","",'Paste SD Data'!O1454)</f>
        <v/>
      </c>
    </row>
    <row r="1458" spans="1:11" ht="30" customHeight="1" x14ac:dyDescent="0.25">
      <c r="A1458" s="25" t="str">
        <f>IF(Table1[[#This Row],[Name of Student]]="","",ROWS($A$1:A1454))</f>
        <v/>
      </c>
      <c r="B1458" s="26" t="str">
        <f>IF('Paste SD Data'!A1455="","",'Paste SD Data'!A1455)</f>
        <v/>
      </c>
      <c r="C1458" s="26" t="str">
        <f>IF('Paste SD Data'!B1455="","",'Paste SD Data'!B1455)</f>
        <v/>
      </c>
      <c r="D1458" s="26" t="str">
        <f>IF('Paste SD Data'!C1455="","",'Paste SD Data'!C1455)</f>
        <v/>
      </c>
      <c r="E1458" s="27" t="str">
        <f>IF('Paste SD Data'!E1455="","",UPPER('Paste SD Data'!E1455))</f>
        <v/>
      </c>
      <c r="F1458" s="27" t="str">
        <f>IF('Paste SD Data'!G1455="","",UPPER('Paste SD Data'!G1455))</f>
        <v/>
      </c>
      <c r="G1458" s="27" t="str">
        <f>IF('Paste SD Data'!H1455="","",UPPER('Paste SD Data'!H1455))</f>
        <v/>
      </c>
      <c r="H1458" s="26" t="str">
        <f>IF('Paste SD Data'!I1455="","",IF('Paste SD Data'!I1455="M","BOY","GIRL"))</f>
        <v/>
      </c>
      <c r="I1458" s="28" t="str">
        <f>IF('Paste SD Data'!J1455="","",'Paste SD Data'!J1455)</f>
        <v/>
      </c>
      <c r="J1458" s="34">
        <f t="shared" si="22"/>
        <v>1884</v>
      </c>
      <c r="K1458" s="29" t="str">
        <f>IF('Paste SD Data'!O1455="","",'Paste SD Data'!O1455)</f>
        <v/>
      </c>
    </row>
    <row r="1459" spans="1:11" ht="30" customHeight="1" x14ac:dyDescent="0.25">
      <c r="A1459" s="25" t="str">
        <f>IF(Table1[[#This Row],[Name of Student]]="","",ROWS($A$1:A1455))</f>
        <v/>
      </c>
      <c r="B1459" s="26" t="str">
        <f>IF('Paste SD Data'!A1456="","",'Paste SD Data'!A1456)</f>
        <v/>
      </c>
      <c r="C1459" s="26" t="str">
        <f>IF('Paste SD Data'!B1456="","",'Paste SD Data'!B1456)</f>
        <v/>
      </c>
      <c r="D1459" s="26" t="str">
        <f>IF('Paste SD Data'!C1456="","",'Paste SD Data'!C1456)</f>
        <v/>
      </c>
      <c r="E1459" s="27" t="str">
        <f>IF('Paste SD Data'!E1456="","",UPPER('Paste SD Data'!E1456))</f>
        <v/>
      </c>
      <c r="F1459" s="27" t="str">
        <f>IF('Paste SD Data'!G1456="","",UPPER('Paste SD Data'!G1456))</f>
        <v/>
      </c>
      <c r="G1459" s="27" t="str">
        <f>IF('Paste SD Data'!H1456="","",UPPER('Paste SD Data'!H1456))</f>
        <v/>
      </c>
      <c r="H1459" s="26" t="str">
        <f>IF('Paste SD Data'!I1456="","",IF('Paste SD Data'!I1456="M","BOY","GIRL"))</f>
        <v/>
      </c>
      <c r="I1459" s="28" t="str">
        <f>IF('Paste SD Data'!J1456="","",'Paste SD Data'!J1456)</f>
        <v/>
      </c>
      <c r="J1459" s="34">
        <f t="shared" si="22"/>
        <v>1885</v>
      </c>
      <c r="K1459" s="29" t="str">
        <f>IF('Paste SD Data'!O1456="","",'Paste SD Data'!O1456)</f>
        <v/>
      </c>
    </row>
    <row r="1460" spans="1:11" ht="30" customHeight="1" x14ac:dyDescent="0.25">
      <c r="A1460" s="25" t="str">
        <f>IF(Table1[[#This Row],[Name of Student]]="","",ROWS($A$1:A1456))</f>
        <v/>
      </c>
      <c r="B1460" s="26" t="str">
        <f>IF('Paste SD Data'!A1457="","",'Paste SD Data'!A1457)</f>
        <v/>
      </c>
      <c r="C1460" s="26" t="str">
        <f>IF('Paste SD Data'!B1457="","",'Paste SD Data'!B1457)</f>
        <v/>
      </c>
      <c r="D1460" s="26" t="str">
        <f>IF('Paste SD Data'!C1457="","",'Paste SD Data'!C1457)</f>
        <v/>
      </c>
      <c r="E1460" s="27" t="str">
        <f>IF('Paste SD Data'!E1457="","",UPPER('Paste SD Data'!E1457))</f>
        <v/>
      </c>
      <c r="F1460" s="27" t="str">
        <f>IF('Paste SD Data'!G1457="","",UPPER('Paste SD Data'!G1457))</f>
        <v/>
      </c>
      <c r="G1460" s="27" t="str">
        <f>IF('Paste SD Data'!H1457="","",UPPER('Paste SD Data'!H1457))</f>
        <v/>
      </c>
      <c r="H1460" s="26" t="str">
        <f>IF('Paste SD Data'!I1457="","",IF('Paste SD Data'!I1457="M","BOY","GIRL"))</f>
        <v/>
      </c>
      <c r="I1460" s="28" t="str">
        <f>IF('Paste SD Data'!J1457="","",'Paste SD Data'!J1457)</f>
        <v/>
      </c>
      <c r="J1460" s="34">
        <f t="shared" si="22"/>
        <v>1886</v>
      </c>
      <c r="K1460" s="29" t="str">
        <f>IF('Paste SD Data'!O1457="","",'Paste SD Data'!O1457)</f>
        <v/>
      </c>
    </row>
    <row r="1461" spans="1:11" ht="30" customHeight="1" x14ac:dyDescent="0.25">
      <c r="A1461" s="25" t="str">
        <f>IF(Table1[[#This Row],[Name of Student]]="","",ROWS($A$1:A1457))</f>
        <v/>
      </c>
      <c r="B1461" s="26" t="str">
        <f>IF('Paste SD Data'!A1458="","",'Paste SD Data'!A1458)</f>
        <v/>
      </c>
      <c r="C1461" s="26" t="str">
        <f>IF('Paste SD Data'!B1458="","",'Paste SD Data'!B1458)</f>
        <v/>
      </c>
      <c r="D1461" s="26" t="str">
        <f>IF('Paste SD Data'!C1458="","",'Paste SD Data'!C1458)</f>
        <v/>
      </c>
      <c r="E1461" s="27" t="str">
        <f>IF('Paste SD Data'!E1458="","",UPPER('Paste SD Data'!E1458))</f>
        <v/>
      </c>
      <c r="F1461" s="27" t="str">
        <f>IF('Paste SD Data'!G1458="","",UPPER('Paste SD Data'!G1458))</f>
        <v/>
      </c>
      <c r="G1461" s="27" t="str">
        <f>IF('Paste SD Data'!H1458="","",UPPER('Paste SD Data'!H1458))</f>
        <v/>
      </c>
      <c r="H1461" s="26" t="str">
        <f>IF('Paste SD Data'!I1458="","",IF('Paste SD Data'!I1458="M","BOY","GIRL"))</f>
        <v/>
      </c>
      <c r="I1461" s="28" t="str">
        <f>IF('Paste SD Data'!J1458="","",'Paste SD Data'!J1458)</f>
        <v/>
      </c>
      <c r="J1461" s="34">
        <f t="shared" si="22"/>
        <v>1887</v>
      </c>
      <c r="K1461" s="29" t="str">
        <f>IF('Paste SD Data'!O1458="","",'Paste SD Data'!O1458)</f>
        <v/>
      </c>
    </row>
    <row r="1462" spans="1:11" ht="30" customHeight="1" x14ac:dyDescent="0.25">
      <c r="A1462" s="25" t="str">
        <f>IF(Table1[[#This Row],[Name of Student]]="","",ROWS($A$1:A1458))</f>
        <v/>
      </c>
      <c r="B1462" s="26" t="str">
        <f>IF('Paste SD Data'!A1459="","",'Paste SD Data'!A1459)</f>
        <v/>
      </c>
      <c r="C1462" s="26" t="str">
        <f>IF('Paste SD Data'!B1459="","",'Paste SD Data'!B1459)</f>
        <v/>
      </c>
      <c r="D1462" s="26" t="str">
        <f>IF('Paste SD Data'!C1459="","",'Paste SD Data'!C1459)</f>
        <v/>
      </c>
      <c r="E1462" s="27" t="str">
        <f>IF('Paste SD Data'!E1459="","",UPPER('Paste SD Data'!E1459))</f>
        <v/>
      </c>
      <c r="F1462" s="27" t="str">
        <f>IF('Paste SD Data'!G1459="","",UPPER('Paste SD Data'!G1459))</f>
        <v/>
      </c>
      <c r="G1462" s="27" t="str">
        <f>IF('Paste SD Data'!H1459="","",UPPER('Paste SD Data'!H1459))</f>
        <v/>
      </c>
      <c r="H1462" s="26" t="str">
        <f>IF('Paste SD Data'!I1459="","",IF('Paste SD Data'!I1459="M","BOY","GIRL"))</f>
        <v/>
      </c>
      <c r="I1462" s="28" t="str">
        <f>IF('Paste SD Data'!J1459="","",'Paste SD Data'!J1459)</f>
        <v/>
      </c>
      <c r="J1462" s="34">
        <f t="shared" si="22"/>
        <v>1888</v>
      </c>
      <c r="K1462" s="29" t="str">
        <f>IF('Paste SD Data'!O1459="","",'Paste SD Data'!O1459)</f>
        <v/>
      </c>
    </row>
    <row r="1463" spans="1:11" ht="30" customHeight="1" x14ac:dyDescent="0.25">
      <c r="A1463" s="25" t="str">
        <f>IF(Table1[[#This Row],[Name of Student]]="","",ROWS($A$1:A1459))</f>
        <v/>
      </c>
      <c r="B1463" s="26" t="str">
        <f>IF('Paste SD Data'!A1460="","",'Paste SD Data'!A1460)</f>
        <v/>
      </c>
      <c r="C1463" s="26" t="str">
        <f>IF('Paste SD Data'!B1460="","",'Paste SD Data'!B1460)</f>
        <v/>
      </c>
      <c r="D1463" s="26" t="str">
        <f>IF('Paste SD Data'!C1460="","",'Paste SD Data'!C1460)</f>
        <v/>
      </c>
      <c r="E1463" s="27" t="str">
        <f>IF('Paste SD Data'!E1460="","",UPPER('Paste SD Data'!E1460))</f>
        <v/>
      </c>
      <c r="F1463" s="27" t="str">
        <f>IF('Paste SD Data'!G1460="","",UPPER('Paste SD Data'!G1460))</f>
        <v/>
      </c>
      <c r="G1463" s="27" t="str">
        <f>IF('Paste SD Data'!H1460="","",UPPER('Paste SD Data'!H1460))</f>
        <v/>
      </c>
      <c r="H1463" s="26" t="str">
        <f>IF('Paste SD Data'!I1460="","",IF('Paste SD Data'!I1460="M","BOY","GIRL"))</f>
        <v/>
      </c>
      <c r="I1463" s="28" t="str">
        <f>IF('Paste SD Data'!J1460="","",'Paste SD Data'!J1460)</f>
        <v/>
      </c>
      <c r="J1463" s="34">
        <f t="shared" si="22"/>
        <v>1889</v>
      </c>
      <c r="K1463" s="29" t="str">
        <f>IF('Paste SD Data'!O1460="","",'Paste SD Data'!O1460)</f>
        <v/>
      </c>
    </row>
    <row r="1464" spans="1:11" ht="30" customHeight="1" x14ac:dyDescent="0.25">
      <c r="A1464" s="25" t="str">
        <f>IF(Table1[[#This Row],[Name of Student]]="","",ROWS($A$1:A1460))</f>
        <v/>
      </c>
      <c r="B1464" s="26" t="str">
        <f>IF('Paste SD Data'!A1461="","",'Paste SD Data'!A1461)</f>
        <v/>
      </c>
      <c r="C1464" s="26" t="str">
        <f>IF('Paste SD Data'!B1461="","",'Paste SD Data'!B1461)</f>
        <v/>
      </c>
      <c r="D1464" s="26" t="str">
        <f>IF('Paste SD Data'!C1461="","",'Paste SD Data'!C1461)</f>
        <v/>
      </c>
      <c r="E1464" s="27" t="str">
        <f>IF('Paste SD Data'!E1461="","",UPPER('Paste SD Data'!E1461))</f>
        <v/>
      </c>
      <c r="F1464" s="27" t="str">
        <f>IF('Paste SD Data'!G1461="","",UPPER('Paste SD Data'!G1461))</f>
        <v/>
      </c>
      <c r="G1464" s="27" t="str">
        <f>IF('Paste SD Data'!H1461="","",UPPER('Paste SD Data'!H1461))</f>
        <v/>
      </c>
      <c r="H1464" s="26" t="str">
        <f>IF('Paste SD Data'!I1461="","",IF('Paste SD Data'!I1461="M","BOY","GIRL"))</f>
        <v/>
      </c>
      <c r="I1464" s="28" t="str">
        <f>IF('Paste SD Data'!J1461="","",'Paste SD Data'!J1461)</f>
        <v/>
      </c>
      <c r="J1464" s="34">
        <f t="shared" si="22"/>
        <v>1890</v>
      </c>
      <c r="K1464" s="29" t="str">
        <f>IF('Paste SD Data'!O1461="","",'Paste SD Data'!O1461)</f>
        <v/>
      </c>
    </row>
    <row r="1465" spans="1:11" ht="30" customHeight="1" x14ac:dyDescent="0.25">
      <c r="A1465" s="25" t="str">
        <f>IF(Table1[[#This Row],[Name of Student]]="","",ROWS($A$1:A1461))</f>
        <v/>
      </c>
      <c r="B1465" s="26" t="str">
        <f>IF('Paste SD Data'!A1462="","",'Paste SD Data'!A1462)</f>
        <v/>
      </c>
      <c r="C1465" s="26" t="str">
        <f>IF('Paste SD Data'!B1462="","",'Paste SD Data'!B1462)</f>
        <v/>
      </c>
      <c r="D1465" s="26" t="str">
        <f>IF('Paste SD Data'!C1462="","",'Paste SD Data'!C1462)</f>
        <v/>
      </c>
      <c r="E1465" s="27" t="str">
        <f>IF('Paste SD Data'!E1462="","",UPPER('Paste SD Data'!E1462))</f>
        <v/>
      </c>
      <c r="F1465" s="27" t="str">
        <f>IF('Paste SD Data'!G1462="","",UPPER('Paste SD Data'!G1462))</f>
        <v/>
      </c>
      <c r="G1465" s="27" t="str">
        <f>IF('Paste SD Data'!H1462="","",UPPER('Paste SD Data'!H1462))</f>
        <v/>
      </c>
      <c r="H1465" s="26" t="str">
        <f>IF('Paste SD Data'!I1462="","",IF('Paste SD Data'!I1462="M","BOY","GIRL"))</f>
        <v/>
      </c>
      <c r="I1465" s="28" t="str">
        <f>IF('Paste SD Data'!J1462="","",'Paste SD Data'!J1462)</f>
        <v/>
      </c>
      <c r="J1465" s="34">
        <f t="shared" si="22"/>
        <v>1891</v>
      </c>
      <c r="K1465" s="29" t="str">
        <f>IF('Paste SD Data'!O1462="","",'Paste SD Data'!O1462)</f>
        <v/>
      </c>
    </row>
    <row r="1466" spans="1:11" ht="30" customHeight="1" x14ac:dyDescent="0.25">
      <c r="A1466" s="25" t="str">
        <f>IF(Table1[[#This Row],[Name of Student]]="","",ROWS($A$1:A1462))</f>
        <v/>
      </c>
      <c r="B1466" s="26" t="str">
        <f>IF('Paste SD Data'!A1463="","",'Paste SD Data'!A1463)</f>
        <v/>
      </c>
      <c r="C1466" s="26" t="str">
        <f>IF('Paste SD Data'!B1463="","",'Paste SD Data'!B1463)</f>
        <v/>
      </c>
      <c r="D1466" s="26" t="str">
        <f>IF('Paste SD Data'!C1463="","",'Paste SD Data'!C1463)</f>
        <v/>
      </c>
      <c r="E1466" s="27" t="str">
        <f>IF('Paste SD Data'!E1463="","",UPPER('Paste SD Data'!E1463))</f>
        <v/>
      </c>
      <c r="F1466" s="27" t="str">
        <f>IF('Paste SD Data'!G1463="","",UPPER('Paste SD Data'!G1463))</f>
        <v/>
      </c>
      <c r="G1466" s="27" t="str">
        <f>IF('Paste SD Data'!H1463="","",UPPER('Paste SD Data'!H1463))</f>
        <v/>
      </c>
      <c r="H1466" s="26" t="str">
        <f>IF('Paste SD Data'!I1463="","",IF('Paste SD Data'!I1463="M","BOY","GIRL"))</f>
        <v/>
      </c>
      <c r="I1466" s="28" t="str">
        <f>IF('Paste SD Data'!J1463="","",'Paste SD Data'!J1463)</f>
        <v/>
      </c>
      <c r="J1466" s="34">
        <f t="shared" si="22"/>
        <v>1892</v>
      </c>
      <c r="K1466" s="29" t="str">
        <f>IF('Paste SD Data'!O1463="","",'Paste SD Data'!O1463)</f>
        <v/>
      </c>
    </row>
    <row r="1467" spans="1:11" ht="30" customHeight="1" x14ac:dyDescent="0.25">
      <c r="A1467" s="25" t="str">
        <f>IF(Table1[[#This Row],[Name of Student]]="","",ROWS($A$1:A1463))</f>
        <v/>
      </c>
      <c r="B1467" s="26" t="str">
        <f>IF('Paste SD Data'!A1464="","",'Paste SD Data'!A1464)</f>
        <v/>
      </c>
      <c r="C1467" s="26" t="str">
        <f>IF('Paste SD Data'!B1464="","",'Paste SD Data'!B1464)</f>
        <v/>
      </c>
      <c r="D1467" s="26" t="str">
        <f>IF('Paste SD Data'!C1464="","",'Paste SD Data'!C1464)</f>
        <v/>
      </c>
      <c r="E1467" s="27" t="str">
        <f>IF('Paste SD Data'!E1464="","",UPPER('Paste SD Data'!E1464))</f>
        <v/>
      </c>
      <c r="F1467" s="27" t="str">
        <f>IF('Paste SD Data'!G1464="","",UPPER('Paste SD Data'!G1464))</f>
        <v/>
      </c>
      <c r="G1467" s="27" t="str">
        <f>IF('Paste SD Data'!H1464="","",UPPER('Paste SD Data'!H1464))</f>
        <v/>
      </c>
      <c r="H1467" s="26" t="str">
        <f>IF('Paste SD Data'!I1464="","",IF('Paste SD Data'!I1464="M","BOY","GIRL"))</f>
        <v/>
      </c>
      <c r="I1467" s="28" t="str">
        <f>IF('Paste SD Data'!J1464="","",'Paste SD Data'!J1464)</f>
        <v/>
      </c>
      <c r="J1467" s="34">
        <f t="shared" si="22"/>
        <v>1893</v>
      </c>
      <c r="K1467" s="29" t="str">
        <f>IF('Paste SD Data'!O1464="","",'Paste SD Data'!O1464)</f>
        <v/>
      </c>
    </row>
    <row r="1468" spans="1:11" ht="30" customHeight="1" x14ac:dyDescent="0.25">
      <c r="A1468" s="25" t="str">
        <f>IF(Table1[[#This Row],[Name of Student]]="","",ROWS($A$1:A1464))</f>
        <v/>
      </c>
      <c r="B1468" s="26" t="str">
        <f>IF('Paste SD Data'!A1465="","",'Paste SD Data'!A1465)</f>
        <v/>
      </c>
      <c r="C1468" s="26" t="str">
        <f>IF('Paste SD Data'!B1465="","",'Paste SD Data'!B1465)</f>
        <v/>
      </c>
      <c r="D1468" s="26" t="str">
        <f>IF('Paste SD Data'!C1465="","",'Paste SD Data'!C1465)</f>
        <v/>
      </c>
      <c r="E1468" s="27" t="str">
        <f>IF('Paste SD Data'!E1465="","",UPPER('Paste SD Data'!E1465))</f>
        <v/>
      </c>
      <c r="F1468" s="27" t="str">
        <f>IF('Paste SD Data'!G1465="","",UPPER('Paste SD Data'!G1465))</f>
        <v/>
      </c>
      <c r="G1468" s="27" t="str">
        <f>IF('Paste SD Data'!H1465="","",UPPER('Paste SD Data'!H1465))</f>
        <v/>
      </c>
      <c r="H1468" s="26" t="str">
        <f>IF('Paste SD Data'!I1465="","",IF('Paste SD Data'!I1465="M","BOY","GIRL"))</f>
        <v/>
      </c>
      <c r="I1468" s="28" t="str">
        <f>IF('Paste SD Data'!J1465="","",'Paste SD Data'!J1465)</f>
        <v/>
      </c>
      <c r="J1468" s="34">
        <f t="shared" si="22"/>
        <v>1894</v>
      </c>
      <c r="K1468" s="29" t="str">
        <f>IF('Paste SD Data'!O1465="","",'Paste SD Data'!O1465)</f>
        <v/>
      </c>
    </row>
    <row r="1469" spans="1:11" ht="30" customHeight="1" x14ac:dyDescent="0.25">
      <c r="A1469" s="25" t="str">
        <f>IF(Table1[[#This Row],[Name of Student]]="","",ROWS($A$1:A1465))</f>
        <v/>
      </c>
      <c r="B1469" s="26" t="str">
        <f>IF('Paste SD Data'!A1466="","",'Paste SD Data'!A1466)</f>
        <v/>
      </c>
      <c r="C1469" s="26" t="str">
        <f>IF('Paste SD Data'!B1466="","",'Paste SD Data'!B1466)</f>
        <v/>
      </c>
      <c r="D1469" s="26" t="str">
        <f>IF('Paste SD Data'!C1466="","",'Paste SD Data'!C1466)</f>
        <v/>
      </c>
      <c r="E1469" s="27" t="str">
        <f>IF('Paste SD Data'!E1466="","",UPPER('Paste SD Data'!E1466))</f>
        <v/>
      </c>
      <c r="F1469" s="27" t="str">
        <f>IF('Paste SD Data'!G1466="","",UPPER('Paste SD Data'!G1466))</f>
        <v/>
      </c>
      <c r="G1469" s="27" t="str">
        <f>IF('Paste SD Data'!H1466="","",UPPER('Paste SD Data'!H1466))</f>
        <v/>
      </c>
      <c r="H1469" s="26" t="str">
        <f>IF('Paste SD Data'!I1466="","",IF('Paste SD Data'!I1466="M","BOY","GIRL"))</f>
        <v/>
      </c>
      <c r="I1469" s="28" t="str">
        <f>IF('Paste SD Data'!J1466="","",'Paste SD Data'!J1466)</f>
        <v/>
      </c>
      <c r="J1469" s="34">
        <f t="shared" si="22"/>
        <v>1895</v>
      </c>
      <c r="K1469" s="29" t="str">
        <f>IF('Paste SD Data'!O1466="","",'Paste SD Data'!O1466)</f>
        <v/>
      </c>
    </row>
    <row r="1470" spans="1:11" ht="30" customHeight="1" x14ac:dyDescent="0.25">
      <c r="A1470" s="25" t="str">
        <f>IF(Table1[[#This Row],[Name of Student]]="","",ROWS($A$1:A1466))</f>
        <v/>
      </c>
      <c r="B1470" s="26" t="str">
        <f>IF('Paste SD Data'!A1467="","",'Paste SD Data'!A1467)</f>
        <v/>
      </c>
      <c r="C1470" s="26" t="str">
        <f>IF('Paste SD Data'!B1467="","",'Paste SD Data'!B1467)</f>
        <v/>
      </c>
      <c r="D1470" s="26" t="str">
        <f>IF('Paste SD Data'!C1467="","",'Paste SD Data'!C1467)</f>
        <v/>
      </c>
      <c r="E1470" s="27" t="str">
        <f>IF('Paste SD Data'!E1467="","",UPPER('Paste SD Data'!E1467))</f>
        <v/>
      </c>
      <c r="F1470" s="27" t="str">
        <f>IF('Paste SD Data'!G1467="","",UPPER('Paste SD Data'!G1467))</f>
        <v/>
      </c>
      <c r="G1470" s="27" t="str">
        <f>IF('Paste SD Data'!H1467="","",UPPER('Paste SD Data'!H1467))</f>
        <v/>
      </c>
      <c r="H1470" s="26" t="str">
        <f>IF('Paste SD Data'!I1467="","",IF('Paste SD Data'!I1467="M","BOY","GIRL"))</f>
        <v/>
      </c>
      <c r="I1470" s="28" t="str">
        <f>IF('Paste SD Data'!J1467="","",'Paste SD Data'!J1467)</f>
        <v/>
      </c>
      <c r="J1470" s="34">
        <f t="shared" si="22"/>
        <v>1896</v>
      </c>
      <c r="K1470" s="29" t="str">
        <f>IF('Paste SD Data'!O1467="","",'Paste SD Data'!O1467)</f>
        <v/>
      </c>
    </row>
    <row r="1471" spans="1:11" ht="30" customHeight="1" x14ac:dyDescent="0.25">
      <c r="A1471" s="25" t="str">
        <f>IF(Table1[[#This Row],[Name of Student]]="","",ROWS($A$1:A1467))</f>
        <v/>
      </c>
      <c r="B1471" s="26" t="str">
        <f>IF('Paste SD Data'!A1468="","",'Paste SD Data'!A1468)</f>
        <v/>
      </c>
      <c r="C1471" s="26" t="str">
        <f>IF('Paste SD Data'!B1468="","",'Paste SD Data'!B1468)</f>
        <v/>
      </c>
      <c r="D1471" s="26" t="str">
        <f>IF('Paste SD Data'!C1468="","",'Paste SD Data'!C1468)</f>
        <v/>
      </c>
      <c r="E1471" s="27" t="str">
        <f>IF('Paste SD Data'!E1468="","",UPPER('Paste SD Data'!E1468))</f>
        <v/>
      </c>
      <c r="F1471" s="27" t="str">
        <f>IF('Paste SD Data'!G1468="","",UPPER('Paste SD Data'!G1468))</f>
        <v/>
      </c>
      <c r="G1471" s="27" t="str">
        <f>IF('Paste SD Data'!H1468="","",UPPER('Paste SD Data'!H1468))</f>
        <v/>
      </c>
      <c r="H1471" s="26" t="str">
        <f>IF('Paste SD Data'!I1468="","",IF('Paste SD Data'!I1468="M","BOY","GIRL"))</f>
        <v/>
      </c>
      <c r="I1471" s="28" t="str">
        <f>IF('Paste SD Data'!J1468="","",'Paste SD Data'!J1468)</f>
        <v/>
      </c>
      <c r="J1471" s="34">
        <f t="shared" si="22"/>
        <v>1897</v>
      </c>
      <c r="K1471" s="29" t="str">
        <f>IF('Paste SD Data'!O1468="","",'Paste SD Data'!O1468)</f>
        <v/>
      </c>
    </row>
    <row r="1472" spans="1:11" ht="30" customHeight="1" x14ac:dyDescent="0.25">
      <c r="A1472" s="25" t="str">
        <f>IF(Table1[[#This Row],[Name of Student]]="","",ROWS($A$1:A1468))</f>
        <v/>
      </c>
      <c r="B1472" s="26" t="str">
        <f>IF('Paste SD Data'!A1469="","",'Paste SD Data'!A1469)</f>
        <v/>
      </c>
      <c r="C1472" s="26" t="str">
        <f>IF('Paste SD Data'!B1469="","",'Paste SD Data'!B1469)</f>
        <v/>
      </c>
      <c r="D1472" s="26" t="str">
        <f>IF('Paste SD Data'!C1469="","",'Paste SD Data'!C1469)</f>
        <v/>
      </c>
      <c r="E1472" s="27" t="str">
        <f>IF('Paste SD Data'!E1469="","",UPPER('Paste SD Data'!E1469))</f>
        <v/>
      </c>
      <c r="F1472" s="27" t="str">
        <f>IF('Paste SD Data'!G1469="","",UPPER('Paste SD Data'!G1469))</f>
        <v/>
      </c>
      <c r="G1472" s="27" t="str">
        <f>IF('Paste SD Data'!H1469="","",UPPER('Paste SD Data'!H1469))</f>
        <v/>
      </c>
      <c r="H1472" s="26" t="str">
        <f>IF('Paste SD Data'!I1469="","",IF('Paste SD Data'!I1469="M","BOY","GIRL"))</f>
        <v/>
      </c>
      <c r="I1472" s="28" t="str">
        <f>IF('Paste SD Data'!J1469="","",'Paste SD Data'!J1469)</f>
        <v/>
      </c>
      <c r="J1472" s="34">
        <f t="shared" si="22"/>
        <v>1898</v>
      </c>
      <c r="K1472" s="29" t="str">
        <f>IF('Paste SD Data'!O1469="","",'Paste SD Data'!O1469)</f>
        <v/>
      </c>
    </row>
    <row r="1473" spans="1:11" ht="30" customHeight="1" x14ac:dyDescent="0.25">
      <c r="A1473" s="25" t="str">
        <f>IF(Table1[[#This Row],[Name of Student]]="","",ROWS($A$1:A1469))</f>
        <v/>
      </c>
      <c r="B1473" s="26" t="str">
        <f>IF('Paste SD Data'!A1470="","",'Paste SD Data'!A1470)</f>
        <v/>
      </c>
      <c r="C1473" s="26" t="str">
        <f>IF('Paste SD Data'!B1470="","",'Paste SD Data'!B1470)</f>
        <v/>
      </c>
      <c r="D1473" s="26" t="str">
        <f>IF('Paste SD Data'!C1470="","",'Paste SD Data'!C1470)</f>
        <v/>
      </c>
      <c r="E1473" s="27" t="str">
        <f>IF('Paste SD Data'!E1470="","",UPPER('Paste SD Data'!E1470))</f>
        <v/>
      </c>
      <c r="F1473" s="27" t="str">
        <f>IF('Paste SD Data'!G1470="","",UPPER('Paste SD Data'!G1470))</f>
        <v/>
      </c>
      <c r="G1473" s="27" t="str">
        <f>IF('Paste SD Data'!H1470="","",UPPER('Paste SD Data'!H1470))</f>
        <v/>
      </c>
      <c r="H1473" s="26" t="str">
        <f>IF('Paste SD Data'!I1470="","",IF('Paste SD Data'!I1470="M","BOY","GIRL"))</f>
        <v/>
      </c>
      <c r="I1473" s="28" t="str">
        <f>IF('Paste SD Data'!J1470="","",'Paste SD Data'!J1470)</f>
        <v/>
      </c>
      <c r="J1473" s="34">
        <f t="shared" si="22"/>
        <v>1899</v>
      </c>
      <c r="K1473" s="29" t="str">
        <f>IF('Paste SD Data'!O1470="","",'Paste SD Data'!O1470)</f>
        <v/>
      </c>
    </row>
    <row r="1474" spans="1:11" ht="30" customHeight="1" x14ac:dyDescent="0.25">
      <c r="A1474" s="25" t="str">
        <f>IF(Table1[[#This Row],[Name of Student]]="","",ROWS($A$1:A1470))</f>
        <v/>
      </c>
      <c r="B1474" s="26" t="str">
        <f>IF('Paste SD Data'!A1471="","",'Paste SD Data'!A1471)</f>
        <v/>
      </c>
      <c r="C1474" s="26" t="str">
        <f>IF('Paste SD Data'!B1471="","",'Paste SD Data'!B1471)</f>
        <v/>
      </c>
      <c r="D1474" s="26" t="str">
        <f>IF('Paste SD Data'!C1471="","",'Paste SD Data'!C1471)</f>
        <v/>
      </c>
      <c r="E1474" s="27" t="str">
        <f>IF('Paste SD Data'!E1471="","",UPPER('Paste SD Data'!E1471))</f>
        <v/>
      </c>
      <c r="F1474" s="27" t="str">
        <f>IF('Paste SD Data'!G1471="","",UPPER('Paste SD Data'!G1471))</f>
        <v/>
      </c>
      <c r="G1474" s="27" t="str">
        <f>IF('Paste SD Data'!H1471="","",UPPER('Paste SD Data'!H1471))</f>
        <v/>
      </c>
      <c r="H1474" s="26" t="str">
        <f>IF('Paste SD Data'!I1471="","",IF('Paste SD Data'!I1471="M","BOY","GIRL"))</f>
        <v/>
      </c>
      <c r="I1474" s="28" t="str">
        <f>IF('Paste SD Data'!J1471="","",'Paste SD Data'!J1471)</f>
        <v/>
      </c>
      <c r="J1474" s="34">
        <f t="shared" si="22"/>
        <v>1900</v>
      </c>
      <c r="K1474" s="29" t="str">
        <f>IF('Paste SD Data'!O1471="","",'Paste SD Data'!O1471)</f>
        <v/>
      </c>
    </row>
    <row r="1475" spans="1:11" ht="30" customHeight="1" x14ac:dyDescent="0.25">
      <c r="A1475" s="25" t="str">
        <f>IF(Table1[[#This Row],[Name of Student]]="","",ROWS($A$1:A1471))</f>
        <v/>
      </c>
      <c r="B1475" s="26" t="str">
        <f>IF('Paste SD Data'!A1472="","",'Paste SD Data'!A1472)</f>
        <v/>
      </c>
      <c r="C1475" s="26" t="str">
        <f>IF('Paste SD Data'!B1472="","",'Paste SD Data'!B1472)</f>
        <v/>
      </c>
      <c r="D1475" s="26" t="str">
        <f>IF('Paste SD Data'!C1472="","",'Paste SD Data'!C1472)</f>
        <v/>
      </c>
      <c r="E1475" s="27" t="str">
        <f>IF('Paste SD Data'!E1472="","",UPPER('Paste SD Data'!E1472))</f>
        <v/>
      </c>
      <c r="F1475" s="27" t="str">
        <f>IF('Paste SD Data'!G1472="","",UPPER('Paste SD Data'!G1472))</f>
        <v/>
      </c>
      <c r="G1475" s="27" t="str">
        <f>IF('Paste SD Data'!H1472="","",UPPER('Paste SD Data'!H1472))</f>
        <v/>
      </c>
      <c r="H1475" s="26" t="str">
        <f>IF('Paste SD Data'!I1472="","",IF('Paste SD Data'!I1472="M","BOY","GIRL"))</f>
        <v/>
      </c>
      <c r="I1475" s="28" t="str">
        <f>IF('Paste SD Data'!J1472="","",'Paste SD Data'!J1472)</f>
        <v/>
      </c>
      <c r="J1475" s="34">
        <f t="shared" si="22"/>
        <v>1901</v>
      </c>
      <c r="K1475" s="29" t="str">
        <f>IF('Paste SD Data'!O1472="","",'Paste SD Data'!O1472)</f>
        <v/>
      </c>
    </row>
    <row r="1476" spans="1:11" ht="30" customHeight="1" x14ac:dyDescent="0.25">
      <c r="A1476" s="25" t="str">
        <f>IF(Table1[[#This Row],[Name of Student]]="","",ROWS($A$1:A1472))</f>
        <v/>
      </c>
      <c r="B1476" s="26" t="str">
        <f>IF('Paste SD Data'!A1473="","",'Paste SD Data'!A1473)</f>
        <v/>
      </c>
      <c r="C1476" s="26" t="str">
        <f>IF('Paste SD Data'!B1473="","",'Paste SD Data'!B1473)</f>
        <v/>
      </c>
      <c r="D1476" s="26" t="str">
        <f>IF('Paste SD Data'!C1473="","",'Paste SD Data'!C1473)</f>
        <v/>
      </c>
      <c r="E1476" s="27" t="str">
        <f>IF('Paste SD Data'!E1473="","",UPPER('Paste SD Data'!E1473))</f>
        <v/>
      </c>
      <c r="F1476" s="27" t="str">
        <f>IF('Paste SD Data'!G1473="","",UPPER('Paste SD Data'!G1473))</f>
        <v/>
      </c>
      <c r="G1476" s="27" t="str">
        <f>IF('Paste SD Data'!H1473="","",UPPER('Paste SD Data'!H1473))</f>
        <v/>
      </c>
      <c r="H1476" s="26" t="str">
        <f>IF('Paste SD Data'!I1473="","",IF('Paste SD Data'!I1473="M","BOY","GIRL"))</f>
        <v/>
      </c>
      <c r="I1476" s="28" t="str">
        <f>IF('Paste SD Data'!J1473="","",'Paste SD Data'!J1473)</f>
        <v/>
      </c>
      <c r="J1476" s="34">
        <f t="shared" si="22"/>
        <v>1902</v>
      </c>
      <c r="K1476" s="29" t="str">
        <f>IF('Paste SD Data'!O1473="","",'Paste SD Data'!O1473)</f>
        <v/>
      </c>
    </row>
    <row r="1477" spans="1:11" ht="30" customHeight="1" x14ac:dyDescent="0.25">
      <c r="A1477" s="25" t="str">
        <f>IF(Table1[[#This Row],[Name of Student]]="","",ROWS($A$1:A1473))</f>
        <v/>
      </c>
      <c r="B1477" s="26" t="str">
        <f>IF('Paste SD Data'!A1474="","",'Paste SD Data'!A1474)</f>
        <v/>
      </c>
      <c r="C1477" s="26" t="str">
        <f>IF('Paste SD Data'!B1474="","",'Paste SD Data'!B1474)</f>
        <v/>
      </c>
      <c r="D1477" s="26" t="str">
        <f>IF('Paste SD Data'!C1474="","",'Paste SD Data'!C1474)</f>
        <v/>
      </c>
      <c r="E1477" s="27" t="str">
        <f>IF('Paste SD Data'!E1474="","",UPPER('Paste SD Data'!E1474))</f>
        <v/>
      </c>
      <c r="F1477" s="27" t="str">
        <f>IF('Paste SD Data'!G1474="","",UPPER('Paste SD Data'!G1474))</f>
        <v/>
      </c>
      <c r="G1477" s="27" t="str">
        <f>IF('Paste SD Data'!H1474="","",UPPER('Paste SD Data'!H1474))</f>
        <v/>
      </c>
      <c r="H1477" s="26" t="str">
        <f>IF('Paste SD Data'!I1474="","",IF('Paste SD Data'!I1474="M","BOY","GIRL"))</f>
        <v/>
      </c>
      <c r="I1477" s="28" t="str">
        <f>IF('Paste SD Data'!J1474="","",'Paste SD Data'!J1474)</f>
        <v/>
      </c>
      <c r="J1477" s="34">
        <f t="shared" si="22"/>
        <v>1903</v>
      </c>
      <c r="K1477" s="29" t="str">
        <f>IF('Paste SD Data'!O1474="","",'Paste SD Data'!O1474)</f>
        <v/>
      </c>
    </row>
    <row r="1478" spans="1:11" ht="30" customHeight="1" x14ac:dyDescent="0.25">
      <c r="A1478" s="25" t="str">
        <f>IF(Table1[[#This Row],[Name of Student]]="","",ROWS($A$1:A1474))</f>
        <v/>
      </c>
      <c r="B1478" s="26" t="str">
        <f>IF('Paste SD Data'!A1475="","",'Paste SD Data'!A1475)</f>
        <v/>
      </c>
      <c r="C1478" s="26" t="str">
        <f>IF('Paste SD Data'!B1475="","",'Paste SD Data'!B1475)</f>
        <v/>
      </c>
      <c r="D1478" s="26" t="str">
        <f>IF('Paste SD Data'!C1475="","",'Paste SD Data'!C1475)</f>
        <v/>
      </c>
      <c r="E1478" s="27" t="str">
        <f>IF('Paste SD Data'!E1475="","",UPPER('Paste SD Data'!E1475))</f>
        <v/>
      </c>
      <c r="F1478" s="27" t="str">
        <f>IF('Paste SD Data'!G1475="","",UPPER('Paste SD Data'!G1475))</f>
        <v/>
      </c>
      <c r="G1478" s="27" t="str">
        <f>IF('Paste SD Data'!H1475="","",UPPER('Paste SD Data'!H1475))</f>
        <v/>
      </c>
      <c r="H1478" s="26" t="str">
        <f>IF('Paste SD Data'!I1475="","",IF('Paste SD Data'!I1475="M","BOY","GIRL"))</f>
        <v/>
      </c>
      <c r="I1478" s="28" t="str">
        <f>IF('Paste SD Data'!J1475="","",'Paste SD Data'!J1475)</f>
        <v/>
      </c>
      <c r="J1478" s="34">
        <f t="shared" si="22"/>
        <v>1904</v>
      </c>
      <c r="K1478" s="29" t="str">
        <f>IF('Paste SD Data'!O1475="","",'Paste SD Data'!O1475)</f>
        <v/>
      </c>
    </row>
    <row r="1479" spans="1:11" ht="30" customHeight="1" x14ac:dyDescent="0.25">
      <c r="A1479" s="25" t="str">
        <f>IF(Table1[[#This Row],[Name of Student]]="","",ROWS($A$1:A1475))</f>
        <v/>
      </c>
      <c r="B1479" s="26" t="str">
        <f>IF('Paste SD Data'!A1476="","",'Paste SD Data'!A1476)</f>
        <v/>
      </c>
      <c r="C1479" s="26" t="str">
        <f>IF('Paste SD Data'!B1476="","",'Paste SD Data'!B1476)</f>
        <v/>
      </c>
      <c r="D1479" s="26" t="str">
        <f>IF('Paste SD Data'!C1476="","",'Paste SD Data'!C1476)</f>
        <v/>
      </c>
      <c r="E1479" s="27" t="str">
        <f>IF('Paste SD Data'!E1476="","",UPPER('Paste SD Data'!E1476))</f>
        <v/>
      </c>
      <c r="F1479" s="27" t="str">
        <f>IF('Paste SD Data'!G1476="","",UPPER('Paste SD Data'!G1476))</f>
        <v/>
      </c>
      <c r="G1479" s="27" t="str">
        <f>IF('Paste SD Data'!H1476="","",UPPER('Paste SD Data'!H1476))</f>
        <v/>
      </c>
      <c r="H1479" s="26" t="str">
        <f>IF('Paste SD Data'!I1476="","",IF('Paste SD Data'!I1476="M","BOY","GIRL"))</f>
        <v/>
      </c>
      <c r="I1479" s="28" t="str">
        <f>IF('Paste SD Data'!J1476="","",'Paste SD Data'!J1476)</f>
        <v/>
      </c>
      <c r="J1479" s="34">
        <f t="shared" ref="J1479:J1542" si="23">J1478+1</f>
        <v>1905</v>
      </c>
      <c r="K1479" s="29" t="str">
        <f>IF('Paste SD Data'!O1476="","",'Paste SD Data'!O1476)</f>
        <v/>
      </c>
    </row>
    <row r="1480" spans="1:11" ht="30" customHeight="1" x14ac:dyDescent="0.25">
      <c r="A1480" s="25" t="str">
        <f>IF(Table1[[#This Row],[Name of Student]]="","",ROWS($A$1:A1476))</f>
        <v/>
      </c>
      <c r="B1480" s="26" t="str">
        <f>IF('Paste SD Data'!A1477="","",'Paste SD Data'!A1477)</f>
        <v/>
      </c>
      <c r="C1480" s="26" t="str">
        <f>IF('Paste SD Data'!B1477="","",'Paste SD Data'!B1477)</f>
        <v/>
      </c>
      <c r="D1480" s="26" t="str">
        <f>IF('Paste SD Data'!C1477="","",'Paste SD Data'!C1477)</f>
        <v/>
      </c>
      <c r="E1480" s="27" t="str">
        <f>IF('Paste SD Data'!E1477="","",UPPER('Paste SD Data'!E1477))</f>
        <v/>
      </c>
      <c r="F1480" s="27" t="str">
        <f>IF('Paste SD Data'!G1477="","",UPPER('Paste SD Data'!G1477))</f>
        <v/>
      </c>
      <c r="G1480" s="27" t="str">
        <f>IF('Paste SD Data'!H1477="","",UPPER('Paste SD Data'!H1477))</f>
        <v/>
      </c>
      <c r="H1480" s="26" t="str">
        <f>IF('Paste SD Data'!I1477="","",IF('Paste SD Data'!I1477="M","BOY","GIRL"))</f>
        <v/>
      </c>
      <c r="I1480" s="28" t="str">
        <f>IF('Paste SD Data'!J1477="","",'Paste SD Data'!J1477)</f>
        <v/>
      </c>
      <c r="J1480" s="34">
        <f t="shared" si="23"/>
        <v>1906</v>
      </c>
      <c r="K1480" s="29" t="str">
        <f>IF('Paste SD Data'!O1477="","",'Paste SD Data'!O1477)</f>
        <v/>
      </c>
    </row>
    <row r="1481" spans="1:11" ht="30" customHeight="1" x14ac:dyDescent="0.25">
      <c r="A1481" s="25" t="str">
        <f>IF(Table1[[#This Row],[Name of Student]]="","",ROWS($A$1:A1477))</f>
        <v/>
      </c>
      <c r="B1481" s="26" t="str">
        <f>IF('Paste SD Data'!A1478="","",'Paste SD Data'!A1478)</f>
        <v/>
      </c>
      <c r="C1481" s="26" t="str">
        <f>IF('Paste SD Data'!B1478="","",'Paste SD Data'!B1478)</f>
        <v/>
      </c>
      <c r="D1481" s="26" t="str">
        <f>IF('Paste SD Data'!C1478="","",'Paste SD Data'!C1478)</f>
        <v/>
      </c>
      <c r="E1481" s="27" t="str">
        <f>IF('Paste SD Data'!E1478="","",UPPER('Paste SD Data'!E1478))</f>
        <v/>
      </c>
      <c r="F1481" s="27" t="str">
        <f>IF('Paste SD Data'!G1478="","",UPPER('Paste SD Data'!G1478))</f>
        <v/>
      </c>
      <c r="G1481" s="27" t="str">
        <f>IF('Paste SD Data'!H1478="","",UPPER('Paste SD Data'!H1478))</f>
        <v/>
      </c>
      <c r="H1481" s="26" t="str">
        <f>IF('Paste SD Data'!I1478="","",IF('Paste SD Data'!I1478="M","BOY","GIRL"))</f>
        <v/>
      </c>
      <c r="I1481" s="28" t="str">
        <f>IF('Paste SD Data'!J1478="","",'Paste SD Data'!J1478)</f>
        <v/>
      </c>
      <c r="J1481" s="34">
        <f t="shared" si="23"/>
        <v>1907</v>
      </c>
      <c r="K1481" s="29" t="str">
        <f>IF('Paste SD Data'!O1478="","",'Paste SD Data'!O1478)</f>
        <v/>
      </c>
    </row>
    <row r="1482" spans="1:11" ht="30" customHeight="1" x14ac:dyDescent="0.25">
      <c r="A1482" s="25" t="str">
        <f>IF(Table1[[#This Row],[Name of Student]]="","",ROWS($A$1:A1478))</f>
        <v/>
      </c>
      <c r="B1482" s="26" t="str">
        <f>IF('Paste SD Data'!A1479="","",'Paste SD Data'!A1479)</f>
        <v/>
      </c>
      <c r="C1482" s="26" t="str">
        <f>IF('Paste SD Data'!B1479="","",'Paste SD Data'!B1479)</f>
        <v/>
      </c>
      <c r="D1482" s="26" t="str">
        <f>IF('Paste SD Data'!C1479="","",'Paste SD Data'!C1479)</f>
        <v/>
      </c>
      <c r="E1482" s="27" t="str">
        <f>IF('Paste SD Data'!E1479="","",UPPER('Paste SD Data'!E1479))</f>
        <v/>
      </c>
      <c r="F1482" s="27" t="str">
        <f>IF('Paste SD Data'!G1479="","",UPPER('Paste SD Data'!G1479))</f>
        <v/>
      </c>
      <c r="G1482" s="27" t="str">
        <f>IF('Paste SD Data'!H1479="","",UPPER('Paste SD Data'!H1479))</f>
        <v/>
      </c>
      <c r="H1482" s="26" t="str">
        <f>IF('Paste SD Data'!I1479="","",IF('Paste SD Data'!I1479="M","BOY","GIRL"))</f>
        <v/>
      </c>
      <c r="I1482" s="28" t="str">
        <f>IF('Paste SD Data'!J1479="","",'Paste SD Data'!J1479)</f>
        <v/>
      </c>
      <c r="J1482" s="34">
        <f t="shared" si="23"/>
        <v>1908</v>
      </c>
      <c r="K1482" s="29" t="str">
        <f>IF('Paste SD Data'!O1479="","",'Paste SD Data'!O1479)</f>
        <v/>
      </c>
    </row>
    <row r="1483" spans="1:11" ht="30" customHeight="1" x14ac:dyDescent="0.25">
      <c r="A1483" s="25" t="str">
        <f>IF(Table1[[#This Row],[Name of Student]]="","",ROWS($A$1:A1479))</f>
        <v/>
      </c>
      <c r="B1483" s="26" t="str">
        <f>IF('Paste SD Data'!A1480="","",'Paste SD Data'!A1480)</f>
        <v/>
      </c>
      <c r="C1483" s="26" t="str">
        <f>IF('Paste SD Data'!B1480="","",'Paste SD Data'!B1480)</f>
        <v/>
      </c>
      <c r="D1483" s="26" t="str">
        <f>IF('Paste SD Data'!C1480="","",'Paste SD Data'!C1480)</f>
        <v/>
      </c>
      <c r="E1483" s="27" t="str">
        <f>IF('Paste SD Data'!E1480="","",UPPER('Paste SD Data'!E1480))</f>
        <v/>
      </c>
      <c r="F1483" s="27" t="str">
        <f>IF('Paste SD Data'!G1480="","",UPPER('Paste SD Data'!G1480))</f>
        <v/>
      </c>
      <c r="G1483" s="27" t="str">
        <f>IF('Paste SD Data'!H1480="","",UPPER('Paste SD Data'!H1480))</f>
        <v/>
      </c>
      <c r="H1483" s="26" t="str">
        <f>IF('Paste SD Data'!I1480="","",IF('Paste SD Data'!I1480="M","BOY","GIRL"))</f>
        <v/>
      </c>
      <c r="I1483" s="28" t="str">
        <f>IF('Paste SD Data'!J1480="","",'Paste SD Data'!J1480)</f>
        <v/>
      </c>
      <c r="J1483" s="34">
        <f t="shared" si="23"/>
        <v>1909</v>
      </c>
      <c r="K1483" s="29" t="str">
        <f>IF('Paste SD Data'!O1480="","",'Paste SD Data'!O1480)</f>
        <v/>
      </c>
    </row>
    <row r="1484" spans="1:11" ht="30" customHeight="1" x14ac:dyDescent="0.25">
      <c r="A1484" s="25" t="str">
        <f>IF(Table1[[#This Row],[Name of Student]]="","",ROWS($A$1:A1480))</f>
        <v/>
      </c>
      <c r="B1484" s="26" t="str">
        <f>IF('Paste SD Data'!A1481="","",'Paste SD Data'!A1481)</f>
        <v/>
      </c>
      <c r="C1484" s="26" t="str">
        <f>IF('Paste SD Data'!B1481="","",'Paste SD Data'!B1481)</f>
        <v/>
      </c>
      <c r="D1484" s="26" t="str">
        <f>IF('Paste SD Data'!C1481="","",'Paste SD Data'!C1481)</f>
        <v/>
      </c>
      <c r="E1484" s="27" t="str">
        <f>IF('Paste SD Data'!E1481="","",UPPER('Paste SD Data'!E1481))</f>
        <v/>
      </c>
      <c r="F1484" s="27" t="str">
        <f>IF('Paste SD Data'!G1481="","",UPPER('Paste SD Data'!G1481))</f>
        <v/>
      </c>
      <c r="G1484" s="27" t="str">
        <f>IF('Paste SD Data'!H1481="","",UPPER('Paste SD Data'!H1481))</f>
        <v/>
      </c>
      <c r="H1484" s="26" t="str">
        <f>IF('Paste SD Data'!I1481="","",IF('Paste SD Data'!I1481="M","BOY","GIRL"))</f>
        <v/>
      </c>
      <c r="I1484" s="28" t="str">
        <f>IF('Paste SD Data'!J1481="","",'Paste SD Data'!J1481)</f>
        <v/>
      </c>
      <c r="J1484" s="34">
        <f t="shared" si="23"/>
        <v>1910</v>
      </c>
      <c r="K1484" s="29" t="str">
        <f>IF('Paste SD Data'!O1481="","",'Paste SD Data'!O1481)</f>
        <v/>
      </c>
    </row>
    <row r="1485" spans="1:11" ht="30" customHeight="1" x14ac:dyDescent="0.25">
      <c r="A1485" s="25" t="str">
        <f>IF(Table1[[#This Row],[Name of Student]]="","",ROWS($A$1:A1481))</f>
        <v/>
      </c>
      <c r="B1485" s="26" t="str">
        <f>IF('Paste SD Data'!A1482="","",'Paste SD Data'!A1482)</f>
        <v/>
      </c>
      <c r="C1485" s="26" t="str">
        <f>IF('Paste SD Data'!B1482="","",'Paste SD Data'!B1482)</f>
        <v/>
      </c>
      <c r="D1485" s="26" t="str">
        <f>IF('Paste SD Data'!C1482="","",'Paste SD Data'!C1482)</f>
        <v/>
      </c>
      <c r="E1485" s="27" t="str">
        <f>IF('Paste SD Data'!E1482="","",UPPER('Paste SD Data'!E1482))</f>
        <v/>
      </c>
      <c r="F1485" s="27" t="str">
        <f>IF('Paste SD Data'!G1482="","",UPPER('Paste SD Data'!G1482))</f>
        <v/>
      </c>
      <c r="G1485" s="27" t="str">
        <f>IF('Paste SD Data'!H1482="","",UPPER('Paste SD Data'!H1482))</f>
        <v/>
      </c>
      <c r="H1485" s="26" t="str">
        <f>IF('Paste SD Data'!I1482="","",IF('Paste SD Data'!I1482="M","BOY","GIRL"))</f>
        <v/>
      </c>
      <c r="I1485" s="28" t="str">
        <f>IF('Paste SD Data'!J1482="","",'Paste SD Data'!J1482)</f>
        <v/>
      </c>
      <c r="J1485" s="34">
        <f t="shared" si="23"/>
        <v>1911</v>
      </c>
      <c r="K1485" s="29" t="str">
        <f>IF('Paste SD Data'!O1482="","",'Paste SD Data'!O1482)</f>
        <v/>
      </c>
    </row>
    <row r="1486" spans="1:11" ht="30" customHeight="1" x14ac:dyDescent="0.25">
      <c r="A1486" s="25" t="str">
        <f>IF(Table1[[#This Row],[Name of Student]]="","",ROWS($A$1:A1482))</f>
        <v/>
      </c>
      <c r="B1486" s="26" t="str">
        <f>IF('Paste SD Data'!A1483="","",'Paste SD Data'!A1483)</f>
        <v/>
      </c>
      <c r="C1486" s="26" t="str">
        <f>IF('Paste SD Data'!B1483="","",'Paste SD Data'!B1483)</f>
        <v/>
      </c>
      <c r="D1486" s="26" t="str">
        <f>IF('Paste SD Data'!C1483="","",'Paste SD Data'!C1483)</f>
        <v/>
      </c>
      <c r="E1486" s="27" t="str">
        <f>IF('Paste SD Data'!E1483="","",UPPER('Paste SD Data'!E1483))</f>
        <v/>
      </c>
      <c r="F1486" s="27" t="str">
        <f>IF('Paste SD Data'!G1483="","",UPPER('Paste SD Data'!G1483))</f>
        <v/>
      </c>
      <c r="G1486" s="27" t="str">
        <f>IF('Paste SD Data'!H1483="","",UPPER('Paste SD Data'!H1483))</f>
        <v/>
      </c>
      <c r="H1486" s="26" t="str">
        <f>IF('Paste SD Data'!I1483="","",IF('Paste SD Data'!I1483="M","BOY","GIRL"))</f>
        <v/>
      </c>
      <c r="I1486" s="28" t="str">
        <f>IF('Paste SD Data'!J1483="","",'Paste SD Data'!J1483)</f>
        <v/>
      </c>
      <c r="J1486" s="34">
        <f t="shared" si="23"/>
        <v>1912</v>
      </c>
      <c r="K1486" s="29" t="str">
        <f>IF('Paste SD Data'!O1483="","",'Paste SD Data'!O1483)</f>
        <v/>
      </c>
    </row>
    <row r="1487" spans="1:11" ht="30" customHeight="1" x14ac:dyDescent="0.25">
      <c r="A1487" s="25" t="str">
        <f>IF(Table1[[#This Row],[Name of Student]]="","",ROWS($A$1:A1483))</f>
        <v/>
      </c>
      <c r="B1487" s="26" t="str">
        <f>IF('Paste SD Data'!A1484="","",'Paste SD Data'!A1484)</f>
        <v/>
      </c>
      <c r="C1487" s="26" t="str">
        <f>IF('Paste SD Data'!B1484="","",'Paste SD Data'!B1484)</f>
        <v/>
      </c>
      <c r="D1487" s="26" t="str">
        <f>IF('Paste SD Data'!C1484="","",'Paste SD Data'!C1484)</f>
        <v/>
      </c>
      <c r="E1487" s="27" t="str">
        <f>IF('Paste SD Data'!E1484="","",UPPER('Paste SD Data'!E1484))</f>
        <v/>
      </c>
      <c r="F1487" s="27" t="str">
        <f>IF('Paste SD Data'!G1484="","",UPPER('Paste SD Data'!G1484))</f>
        <v/>
      </c>
      <c r="G1487" s="27" t="str">
        <f>IF('Paste SD Data'!H1484="","",UPPER('Paste SD Data'!H1484))</f>
        <v/>
      </c>
      <c r="H1487" s="26" t="str">
        <f>IF('Paste SD Data'!I1484="","",IF('Paste SD Data'!I1484="M","BOY","GIRL"))</f>
        <v/>
      </c>
      <c r="I1487" s="28" t="str">
        <f>IF('Paste SD Data'!J1484="","",'Paste SD Data'!J1484)</f>
        <v/>
      </c>
      <c r="J1487" s="34">
        <f t="shared" si="23"/>
        <v>1913</v>
      </c>
      <c r="K1487" s="29" t="str">
        <f>IF('Paste SD Data'!O1484="","",'Paste SD Data'!O1484)</f>
        <v/>
      </c>
    </row>
    <row r="1488" spans="1:11" ht="30" customHeight="1" x14ac:dyDescent="0.25">
      <c r="A1488" s="25" t="str">
        <f>IF(Table1[[#This Row],[Name of Student]]="","",ROWS($A$1:A1484))</f>
        <v/>
      </c>
      <c r="B1488" s="26" t="str">
        <f>IF('Paste SD Data'!A1485="","",'Paste SD Data'!A1485)</f>
        <v/>
      </c>
      <c r="C1488" s="26" t="str">
        <f>IF('Paste SD Data'!B1485="","",'Paste SD Data'!B1485)</f>
        <v/>
      </c>
      <c r="D1488" s="26" t="str">
        <f>IF('Paste SD Data'!C1485="","",'Paste SD Data'!C1485)</f>
        <v/>
      </c>
      <c r="E1488" s="27" t="str">
        <f>IF('Paste SD Data'!E1485="","",UPPER('Paste SD Data'!E1485))</f>
        <v/>
      </c>
      <c r="F1488" s="27" t="str">
        <f>IF('Paste SD Data'!G1485="","",UPPER('Paste SD Data'!G1485))</f>
        <v/>
      </c>
      <c r="G1488" s="27" t="str">
        <f>IF('Paste SD Data'!H1485="","",UPPER('Paste SD Data'!H1485))</f>
        <v/>
      </c>
      <c r="H1488" s="26" t="str">
        <f>IF('Paste SD Data'!I1485="","",IF('Paste SD Data'!I1485="M","BOY","GIRL"))</f>
        <v/>
      </c>
      <c r="I1488" s="28" t="str">
        <f>IF('Paste SD Data'!J1485="","",'Paste SD Data'!J1485)</f>
        <v/>
      </c>
      <c r="J1488" s="34">
        <f t="shared" si="23"/>
        <v>1914</v>
      </c>
      <c r="K1488" s="29" t="str">
        <f>IF('Paste SD Data'!O1485="","",'Paste SD Data'!O1485)</f>
        <v/>
      </c>
    </row>
    <row r="1489" spans="1:11" ht="30" customHeight="1" x14ac:dyDescent="0.25">
      <c r="A1489" s="25" t="str">
        <f>IF(Table1[[#This Row],[Name of Student]]="","",ROWS($A$1:A1485))</f>
        <v/>
      </c>
      <c r="B1489" s="26" t="str">
        <f>IF('Paste SD Data'!A1486="","",'Paste SD Data'!A1486)</f>
        <v/>
      </c>
      <c r="C1489" s="26" t="str">
        <f>IF('Paste SD Data'!B1486="","",'Paste SD Data'!B1486)</f>
        <v/>
      </c>
      <c r="D1489" s="26" t="str">
        <f>IF('Paste SD Data'!C1486="","",'Paste SD Data'!C1486)</f>
        <v/>
      </c>
      <c r="E1489" s="27" t="str">
        <f>IF('Paste SD Data'!E1486="","",UPPER('Paste SD Data'!E1486))</f>
        <v/>
      </c>
      <c r="F1489" s="27" t="str">
        <f>IF('Paste SD Data'!G1486="","",UPPER('Paste SD Data'!G1486))</f>
        <v/>
      </c>
      <c r="G1489" s="27" t="str">
        <f>IF('Paste SD Data'!H1486="","",UPPER('Paste SD Data'!H1486))</f>
        <v/>
      </c>
      <c r="H1489" s="26" t="str">
        <f>IF('Paste SD Data'!I1486="","",IF('Paste SD Data'!I1486="M","BOY","GIRL"))</f>
        <v/>
      </c>
      <c r="I1489" s="28" t="str">
        <f>IF('Paste SD Data'!J1486="","",'Paste SD Data'!J1486)</f>
        <v/>
      </c>
      <c r="J1489" s="34">
        <f t="shared" si="23"/>
        <v>1915</v>
      </c>
      <c r="K1489" s="29" t="str">
        <f>IF('Paste SD Data'!O1486="","",'Paste SD Data'!O1486)</f>
        <v/>
      </c>
    </row>
    <row r="1490" spans="1:11" ht="30" customHeight="1" x14ac:dyDescent="0.25">
      <c r="A1490" s="25" t="str">
        <f>IF(Table1[[#This Row],[Name of Student]]="","",ROWS($A$1:A1486))</f>
        <v/>
      </c>
      <c r="B1490" s="26" t="str">
        <f>IF('Paste SD Data'!A1487="","",'Paste SD Data'!A1487)</f>
        <v/>
      </c>
      <c r="C1490" s="26" t="str">
        <f>IF('Paste SD Data'!B1487="","",'Paste SD Data'!B1487)</f>
        <v/>
      </c>
      <c r="D1490" s="26" t="str">
        <f>IF('Paste SD Data'!C1487="","",'Paste SD Data'!C1487)</f>
        <v/>
      </c>
      <c r="E1490" s="27" t="str">
        <f>IF('Paste SD Data'!E1487="","",UPPER('Paste SD Data'!E1487))</f>
        <v/>
      </c>
      <c r="F1490" s="27" t="str">
        <f>IF('Paste SD Data'!G1487="","",UPPER('Paste SD Data'!G1487))</f>
        <v/>
      </c>
      <c r="G1490" s="27" t="str">
        <f>IF('Paste SD Data'!H1487="","",UPPER('Paste SD Data'!H1487))</f>
        <v/>
      </c>
      <c r="H1490" s="26" t="str">
        <f>IF('Paste SD Data'!I1487="","",IF('Paste SD Data'!I1487="M","BOY","GIRL"))</f>
        <v/>
      </c>
      <c r="I1490" s="28" t="str">
        <f>IF('Paste SD Data'!J1487="","",'Paste SD Data'!J1487)</f>
        <v/>
      </c>
      <c r="J1490" s="34">
        <f t="shared" si="23"/>
        <v>1916</v>
      </c>
      <c r="K1490" s="29" t="str">
        <f>IF('Paste SD Data'!O1487="","",'Paste SD Data'!O1487)</f>
        <v/>
      </c>
    </row>
    <row r="1491" spans="1:11" ht="30" customHeight="1" x14ac:dyDescent="0.25">
      <c r="A1491" s="25" t="str">
        <f>IF(Table1[[#This Row],[Name of Student]]="","",ROWS($A$1:A1487))</f>
        <v/>
      </c>
      <c r="B1491" s="26" t="str">
        <f>IF('Paste SD Data'!A1488="","",'Paste SD Data'!A1488)</f>
        <v/>
      </c>
      <c r="C1491" s="26" t="str">
        <f>IF('Paste SD Data'!B1488="","",'Paste SD Data'!B1488)</f>
        <v/>
      </c>
      <c r="D1491" s="26" t="str">
        <f>IF('Paste SD Data'!C1488="","",'Paste SD Data'!C1488)</f>
        <v/>
      </c>
      <c r="E1491" s="27" t="str">
        <f>IF('Paste SD Data'!E1488="","",UPPER('Paste SD Data'!E1488))</f>
        <v/>
      </c>
      <c r="F1491" s="27" t="str">
        <f>IF('Paste SD Data'!G1488="","",UPPER('Paste SD Data'!G1488))</f>
        <v/>
      </c>
      <c r="G1491" s="27" t="str">
        <f>IF('Paste SD Data'!H1488="","",UPPER('Paste SD Data'!H1488))</f>
        <v/>
      </c>
      <c r="H1491" s="26" t="str">
        <f>IF('Paste SD Data'!I1488="","",IF('Paste SD Data'!I1488="M","BOY","GIRL"))</f>
        <v/>
      </c>
      <c r="I1491" s="28" t="str">
        <f>IF('Paste SD Data'!J1488="","",'Paste SD Data'!J1488)</f>
        <v/>
      </c>
      <c r="J1491" s="34">
        <f t="shared" si="23"/>
        <v>1917</v>
      </c>
      <c r="K1491" s="29" t="str">
        <f>IF('Paste SD Data'!O1488="","",'Paste SD Data'!O1488)</f>
        <v/>
      </c>
    </row>
    <row r="1492" spans="1:11" ht="30" customHeight="1" x14ac:dyDescent="0.25">
      <c r="A1492" s="25" t="str">
        <f>IF(Table1[[#This Row],[Name of Student]]="","",ROWS($A$1:A1488))</f>
        <v/>
      </c>
      <c r="B1492" s="26" t="str">
        <f>IF('Paste SD Data'!A1489="","",'Paste SD Data'!A1489)</f>
        <v/>
      </c>
      <c r="C1492" s="26" t="str">
        <f>IF('Paste SD Data'!B1489="","",'Paste SD Data'!B1489)</f>
        <v/>
      </c>
      <c r="D1492" s="26" t="str">
        <f>IF('Paste SD Data'!C1489="","",'Paste SD Data'!C1489)</f>
        <v/>
      </c>
      <c r="E1492" s="27" t="str">
        <f>IF('Paste SD Data'!E1489="","",UPPER('Paste SD Data'!E1489))</f>
        <v/>
      </c>
      <c r="F1492" s="27" t="str">
        <f>IF('Paste SD Data'!G1489="","",UPPER('Paste SD Data'!G1489))</f>
        <v/>
      </c>
      <c r="G1492" s="27" t="str">
        <f>IF('Paste SD Data'!H1489="","",UPPER('Paste SD Data'!H1489))</f>
        <v/>
      </c>
      <c r="H1492" s="26" t="str">
        <f>IF('Paste SD Data'!I1489="","",IF('Paste SD Data'!I1489="M","BOY","GIRL"))</f>
        <v/>
      </c>
      <c r="I1492" s="28" t="str">
        <f>IF('Paste SD Data'!J1489="","",'Paste SD Data'!J1489)</f>
        <v/>
      </c>
      <c r="J1492" s="34">
        <f t="shared" si="23"/>
        <v>1918</v>
      </c>
      <c r="K1492" s="29" t="str">
        <f>IF('Paste SD Data'!O1489="","",'Paste SD Data'!O1489)</f>
        <v/>
      </c>
    </row>
    <row r="1493" spans="1:11" ht="30" customHeight="1" x14ac:dyDescent="0.25">
      <c r="A1493" s="25" t="str">
        <f>IF(Table1[[#This Row],[Name of Student]]="","",ROWS($A$1:A1489))</f>
        <v/>
      </c>
      <c r="B1493" s="26" t="str">
        <f>IF('Paste SD Data'!A1490="","",'Paste SD Data'!A1490)</f>
        <v/>
      </c>
      <c r="C1493" s="26" t="str">
        <f>IF('Paste SD Data'!B1490="","",'Paste SD Data'!B1490)</f>
        <v/>
      </c>
      <c r="D1493" s="26" t="str">
        <f>IF('Paste SD Data'!C1490="","",'Paste SD Data'!C1490)</f>
        <v/>
      </c>
      <c r="E1493" s="27" t="str">
        <f>IF('Paste SD Data'!E1490="","",UPPER('Paste SD Data'!E1490))</f>
        <v/>
      </c>
      <c r="F1493" s="27" t="str">
        <f>IF('Paste SD Data'!G1490="","",UPPER('Paste SD Data'!G1490))</f>
        <v/>
      </c>
      <c r="G1493" s="27" t="str">
        <f>IF('Paste SD Data'!H1490="","",UPPER('Paste SD Data'!H1490))</f>
        <v/>
      </c>
      <c r="H1493" s="26" t="str">
        <f>IF('Paste SD Data'!I1490="","",IF('Paste SD Data'!I1490="M","BOY","GIRL"))</f>
        <v/>
      </c>
      <c r="I1493" s="28" t="str">
        <f>IF('Paste SD Data'!J1490="","",'Paste SD Data'!J1490)</f>
        <v/>
      </c>
      <c r="J1493" s="34">
        <f t="shared" si="23"/>
        <v>1919</v>
      </c>
      <c r="K1493" s="29" t="str">
        <f>IF('Paste SD Data'!O1490="","",'Paste SD Data'!O1490)</f>
        <v/>
      </c>
    </row>
    <row r="1494" spans="1:11" ht="30" customHeight="1" x14ac:dyDescent="0.25">
      <c r="A1494" s="25" t="str">
        <f>IF(Table1[[#This Row],[Name of Student]]="","",ROWS($A$1:A1490))</f>
        <v/>
      </c>
      <c r="B1494" s="26" t="str">
        <f>IF('Paste SD Data'!A1491="","",'Paste SD Data'!A1491)</f>
        <v/>
      </c>
      <c r="C1494" s="26" t="str">
        <f>IF('Paste SD Data'!B1491="","",'Paste SD Data'!B1491)</f>
        <v/>
      </c>
      <c r="D1494" s="26" t="str">
        <f>IF('Paste SD Data'!C1491="","",'Paste SD Data'!C1491)</f>
        <v/>
      </c>
      <c r="E1494" s="27" t="str">
        <f>IF('Paste SD Data'!E1491="","",UPPER('Paste SD Data'!E1491))</f>
        <v/>
      </c>
      <c r="F1494" s="27" t="str">
        <f>IF('Paste SD Data'!G1491="","",UPPER('Paste SD Data'!G1491))</f>
        <v/>
      </c>
      <c r="G1494" s="27" t="str">
        <f>IF('Paste SD Data'!H1491="","",UPPER('Paste SD Data'!H1491))</f>
        <v/>
      </c>
      <c r="H1494" s="26" t="str">
        <f>IF('Paste SD Data'!I1491="","",IF('Paste SD Data'!I1491="M","BOY","GIRL"))</f>
        <v/>
      </c>
      <c r="I1494" s="28" t="str">
        <f>IF('Paste SD Data'!J1491="","",'Paste SD Data'!J1491)</f>
        <v/>
      </c>
      <c r="J1494" s="34">
        <f t="shared" si="23"/>
        <v>1920</v>
      </c>
      <c r="K1494" s="29" t="str">
        <f>IF('Paste SD Data'!O1491="","",'Paste SD Data'!O1491)</f>
        <v/>
      </c>
    </row>
    <row r="1495" spans="1:11" ht="30" customHeight="1" x14ac:dyDescent="0.25">
      <c r="A1495" s="25" t="str">
        <f>IF(Table1[[#This Row],[Name of Student]]="","",ROWS($A$1:A1491))</f>
        <v/>
      </c>
      <c r="B1495" s="26" t="str">
        <f>IF('Paste SD Data'!A1492="","",'Paste SD Data'!A1492)</f>
        <v/>
      </c>
      <c r="C1495" s="26" t="str">
        <f>IF('Paste SD Data'!B1492="","",'Paste SD Data'!B1492)</f>
        <v/>
      </c>
      <c r="D1495" s="26" t="str">
        <f>IF('Paste SD Data'!C1492="","",'Paste SD Data'!C1492)</f>
        <v/>
      </c>
      <c r="E1495" s="27" t="str">
        <f>IF('Paste SD Data'!E1492="","",UPPER('Paste SD Data'!E1492))</f>
        <v/>
      </c>
      <c r="F1495" s="27" t="str">
        <f>IF('Paste SD Data'!G1492="","",UPPER('Paste SD Data'!G1492))</f>
        <v/>
      </c>
      <c r="G1495" s="27" t="str">
        <f>IF('Paste SD Data'!H1492="","",UPPER('Paste SD Data'!H1492))</f>
        <v/>
      </c>
      <c r="H1495" s="26" t="str">
        <f>IF('Paste SD Data'!I1492="","",IF('Paste SD Data'!I1492="M","BOY","GIRL"))</f>
        <v/>
      </c>
      <c r="I1495" s="28" t="str">
        <f>IF('Paste SD Data'!J1492="","",'Paste SD Data'!J1492)</f>
        <v/>
      </c>
      <c r="J1495" s="34">
        <f t="shared" si="23"/>
        <v>1921</v>
      </c>
      <c r="K1495" s="29" t="str">
        <f>IF('Paste SD Data'!O1492="","",'Paste SD Data'!O1492)</f>
        <v/>
      </c>
    </row>
    <row r="1496" spans="1:11" ht="30" customHeight="1" x14ac:dyDescent="0.25">
      <c r="A1496" s="25" t="str">
        <f>IF(Table1[[#This Row],[Name of Student]]="","",ROWS($A$1:A1492))</f>
        <v/>
      </c>
      <c r="B1496" s="26" t="str">
        <f>IF('Paste SD Data'!A1493="","",'Paste SD Data'!A1493)</f>
        <v/>
      </c>
      <c r="C1496" s="26" t="str">
        <f>IF('Paste SD Data'!B1493="","",'Paste SD Data'!B1493)</f>
        <v/>
      </c>
      <c r="D1496" s="26" t="str">
        <f>IF('Paste SD Data'!C1493="","",'Paste SD Data'!C1493)</f>
        <v/>
      </c>
      <c r="E1496" s="27" t="str">
        <f>IF('Paste SD Data'!E1493="","",UPPER('Paste SD Data'!E1493))</f>
        <v/>
      </c>
      <c r="F1496" s="27" t="str">
        <f>IF('Paste SD Data'!G1493="","",UPPER('Paste SD Data'!G1493))</f>
        <v/>
      </c>
      <c r="G1496" s="27" t="str">
        <f>IF('Paste SD Data'!H1493="","",UPPER('Paste SD Data'!H1493))</f>
        <v/>
      </c>
      <c r="H1496" s="26" t="str">
        <f>IF('Paste SD Data'!I1493="","",IF('Paste SD Data'!I1493="M","BOY","GIRL"))</f>
        <v/>
      </c>
      <c r="I1496" s="28" t="str">
        <f>IF('Paste SD Data'!J1493="","",'Paste SD Data'!J1493)</f>
        <v/>
      </c>
      <c r="J1496" s="34">
        <f t="shared" si="23"/>
        <v>1922</v>
      </c>
      <c r="K1496" s="29" t="str">
        <f>IF('Paste SD Data'!O1493="","",'Paste SD Data'!O1493)</f>
        <v/>
      </c>
    </row>
    <row r="1497" spans="1:11" ht="30" customHeight="1" x14ac:dyDescent="0.25">
      <c r="A1497" s="25" t="str">
        <f>IF(Table1[[#This Row],[Name of Student]]="","",ROWS($A$1:A1493))</f>
        <v/>
      </c>
      <c r="B1497" s="26" t="str">
        <f>IF('Paste SD Data'!A1494="","",'Paste SD Data'!A1494)</f>
        <v/>
      </c>
      <c r="C1497" s="26" t="str">
        <f>IF('Paste SD Data'!B1494="","",'Paste SD Data'!B1494)</f>
        <v/>
      </c>
      <c r="D1497" s="26" t="str">
        <f>IF('Paste SD Data'!C1494="","",'Paste SD Data'!C1494)</f>
        <v/>
      </c>
      <c r="E1497" s="27" t="str">
        <f>IF('Paste SD Data'!E1494="","",UPPER('Paste SD Data'!E1494))</f>
        <v/>
      </c>
      <c r="F1497" s="27" t="str">
        <f>IF('Paste SD Data'!G1494="","",UPPER('Paste SD Data'!G1494))</f>
        <v/>
      </c>
      <c r="G1497" s="27" t="str">
        <f>IF('Paste SD Data'!H1494="","",UPPER('Paste SD Data'!H1494))</f>
        <v/>
      </c>
      <c r="H1497" s="26" t="str">
        <f>IF('Paste SD Data'!I1494="","",IF('Paste SD Data'!I1494="M","BOY","GIRL"))</f>
        <v/>
      </c>
      <c r="I1497" s="28" t="str">
        <f>IF('Paste SD Data'!J1494="","",'Paste SD Data'!J1494)</f>
        <v/>
      </c>
      <c r="J1497" s="34">
        <f t="shared" si="23"/>
        <v>1923</v>
      </c>
      <c r="K1497" s="29" t="str">
        <f>IF('Paste SD Data'!O1494="","",'Paste SD Data'!O1494)</f>
        <v/>
      </c>
    </row>
    <row r="1498" spans="1:11" ht="30" customHeight="1" x14ac:dyDescent="0.25">
      <c r="A1498" s="25" t="str">
        <f>IF(Table1[[#This Row],[Name of Student]]="","",ROWS($A$1:A1494))</f>
        <v/>
      </c>
      <c r="B1498" s="26" t="str">
        <f>IF('Paste SD Data'!A1495="","",'Paste SD Data'!A1495)</f>
        <v/>
      </c>
      <c r="C1498" s="26" t="str">
        <f>IF('Paste SD Data'!B1495="","",'Paste SD Data'!B1495)</f>
        <v/>
      </c>
      <c r="D1498" s="26" t="str">
        <f>IF('Paste SD Data'!C1495="","",'Paste SD Data'!C1495)</f>
        <v/>
      </c>
      <c r="E1498" s="27" t="str">
        <f>IF('Paste SD Data'!E1495="","",UPPER('Paste SD Data'!E1495))</f>
        <v/>
      </c>
      <c r="F1498" s="27" t="str">
        <f>IF('Paste SD Data'!G1495="","",UPPER('Paste SD Data'!G1495))</f>
        <v/>
      </c>
      <c r="G1498" s="27" t="str">
        <f>IF('Paste SD Data'!H1495="","",UPPER('Paste SD Data'!H1495))</f>
        <v/>
      </c>
      <c r="H1498" s="26" t="str">
        <f>IF('Paste SD Data'!I1495="","",IF('Paste SD Data'!I1495="M","BOY","GIRL"))</f>
        <v/>
      </c>
      <c r="I1498" s="28" t="str">
        <f>IF('Paste SD Data'!J1495="","",'Paste SD Data'!J1495)</f>
        <v/>
      </c>
      <c r="J1498" s="34">
        <f t="shared" si="23"/>
        <v>1924</v>
      </c>
      <c r="K1498" s="29" t="str">
        <f>IF('Paste SD Data'!O1495="","",'Paste SD Data'!O1495)</f>
        <v/>
      </c>
    </row>
    <row r="1499" spans="1:11" ht="30" customHeight="1" x14ac:dyDescent="0.25">
      <c r="A1499" s="25" t="str">
        <f>IF(Table1[[#This Row],[Name of Student]]="","",ROWS($A$1:A1495))</f>
        <v/>
      </c>
      <c r="B1499" s="26" t="str">
        <f>IF('Paste SD Data'!A1496="","",'Paste SD Data'!A1496)</f>
        <v/>
      </c>
      <c r="C1499" s="26" t="str">
        <f>IF('Paste SD Data'!B1496="","",'Paste SD Data'!B1496)</f>
        <v/>
      </c>
      <c r="D1499" s="26" t="str">
        <f>IF('Paste SD Data'!C1496="","",'Paste SD Data'!C1496)</f>
        <v/>
      </c>
      <c r="E1499" s="27" t="str">
        <f>IF('Paste SD Data'!E1496="","",UPPER('Paste SD Data'!E1496))</f>
        <v/>
      </c>
      <c r="F1499" s="27" t="str">
        <f>IF('Paste SD Data'!G1496="","",UPPER('Paste SD Data'!G1496))</f>
        <v/>
      </c>
      <c r="G1499" s="27" t="str">
        <f>IF('Paste SD Data'!H1496="","",UPPER('Paste SD Data'!H1496))</f>
        <v/>
      </c>
      <c r="H1499" s="26" t="str">
        <f>IF('Paste SD Data'!I1496="","",IF('Paste SD Data'!I1496="M","BOY","GIRL"))</f>
        <v/>
      </c>
      <c r="I1499" s="28" t="str">
        <f>IF('Paste SD Data'!J1496="","",'Paste SD Data'!J1496)</f>
        <v/>
      </c>
      <c r="J1499" s="34">
        <f t="shared" si="23"/>
        <v>1925</v>
      </c>
      <c r="K1499" s="29" t="str">
        <f>IF('Paste SD Data'!O1496="","",'Paste SD Data'!O1496)</f>
        <v/>
      </c>
    </row>
    <row r="1500" spans="1:11" ht="30" customHeight="1" x14ac:dyDescent="0.25">
      <c r="A1500" s="25" t="str">
        <f>IF(Table1[[#This Row],[Name of Student]]="","",ROWS($A$1:A1496))</f>
        <v/>
      </c>
      <c r="B1500" s="26" t="str">
        <f>IF('Paste SD Data'!A1497="","",'Paste SD Data'!A1497)</f>
        <v/>
      </c>
      <c r="C1500" s="26" t="str">
        <f>IF('Paste SD Data'!B1497="","",'Paste SD Data'!B1497)</f>
        <v/>
      </c>
      <c r="D1500" s="26" t="str">
        <f>IF('Paste SD Data'!C1497="","",'Paste SD Data'!C1497)</f>
        <v/>
      </c>
      <c r="E1500" s="27" t="str">
        <f>IF('Paste SD Data'!E1497="","",UPPER('Paste SD Data'!E1497))</f>
        <v/>
      </c>
      <c r="F1500" s="27" t="str">
        <f>IF('Paste SD Data'!G1497="","",UPPER('Paste SD Data'!G1497))</f>
        <v/>
      </c>
      <c r="G1500" s="27" t="str">
        <f>IF('Paste SD Data'!H1497="","",UPPER('Paste SD Data'!H1497))</f>
        <v/>
      </c>
      <c r="H1500" s="26" t="str">
        <f>IF('Paste SD Data'!I1497="","",IF('Paste SD Data'!I1497="M","BOY","GIRL"))</f>
        <v/>
      </c>
      <c r="I1500" s="28" t="str">
        <f>IF('Paste SD Data'!J1497="","",'Paste SD Data'!J1497)</f>
        <v/>
      </c>
      <c r="J1500" s="34">
        <f t="shared" si="23"/>
        <v>1926</v>
      </c>
      <c r="K1500" s="29" t="str">
        <f>IF('Paste SD Data'!O1497="","",'Paste SD Data'!O1497)</f>
        <v/>
      </c>
    </row>
    <row r="1501" spans="1:11" ht="30" customHeight="1" x14ac:dyDescent="0.25">
      <c r="A1501" s="25" t="str">
        <f>IF(Table1[[#This Row],[Name of Student]]="","",ROWS($A$1:A1497))</f>
        <v/>
      </c>
      <c r="B1501" s="26" t="str">
        <f>IF('Paste SD Data'!A1498="","",'Paste SD Data'!A1498)</f>
        <v/>
      </c>
      <c r="C1501" s="26" t="str">
        <f>IF('Paste SD Data'!B1498="","",'Paste SD Data'!B1498)</f>
        <v/>
      </c>
      <c r="D1501" s="26" t="str">
        <f>IF('Paste SD Data'!C1498="","",'Paste SD Data'!C1498)</f>
        <v/>
      </c>
      <c r="E1501" s="27" t="str">
        <f>IF('Paste SD Data'!E1498="","",UPPER('Paste SD Data'!E1498))</f>
        <v/>
      </c>
      <c r="F1501" s="27" t="str">
        <f>IF('Paste SD Data'!G1498="","",UPPER('Paste SD Data'!G1498))</f>
        <v/>
      </c>
      <c r="G1501" s="27" t="str">
        <f>IF('Paste SD Data'!H1498="","",UPPER('Paste SD Data'!H1498))</f>
        <v/>
      </c>
      <c r="H1501" s="26" t="str">
        <f>IF('Paste SD Data'!I1498="","",IF('Paste SD Data'!I1498="M","BOY","GIRL"))</f>
        <v/>
      </c>
      <c r="I1501" s="28" t="str">
        <f>IF('Paste SD Data'!J1498="","",'Paste SD Data'!J1498)</f>
        <v/>
      </c>
      <c r="J1501" s="34">
        <f t="shared" si="23"/>
        <v>1927</v>
      </c>
      <c r="K1501" s="29" t="str">
        <f>IF('Paste SD Data'!O1498="","",'Paste SD Data'!O1498)</f>
        <v/>
      </c>
    </row>
    <row r="1502" spans="1:11" ht="30" customHeight="1" x14ac:dyDescent="0.25">
      <c r="A1502" s="25" t="str">
        <f>IF(Table1[[#This Row],[Name of Student]]="","",ROWS($A$1:A1498))</f>
        <v/>
      </c>
      <c r="B1502" s="26" t="str">
        <f>IF('Paste SD Data'!A1499="","",'Paste SD Data'!A1499)</f>
        <v/>
      </c>
      <c r="C1502" s="26" t="str">
        <f>IF('Paste SD Data'!B1499="","",'Paste SD Data'!B1499)</f>
        <v/>
      </c>
      <c r="D1502" s="26" t="str">
        <f>IF('Paste SD Data'!C1499="","",'Paste SD Data'!C1499)</f>
        <v/>
      </c>
      <c r="E1502" s="27" t="str">
        <f>IF('Paste SD Data'!E1499="","",UPPER('Paste SD Data'!E1499))</f>
        <v/>
      </c>
      <c r="F1502" s="27" t="str">
        <f>IF('Paste SD Data'!G1499="","",UPPER('Paste SD Data'!G1499))</f>
        <v/>
      </c>
      <c r="G1502" s="27" t="str">
        <f>IF('Paste SD Data'!H1499="","",UPPER('Paste SD Data'!H1499))</f>
        <v/>
      </c>
      <c r="H1502" s="26" t="str">
        <f>IF('Paste SD Data'!I1499="","",IF('Paste SD Data'!I1499="M","BOY","GIRL"))</f>
        <v/>
      </c>
      <c r="I1502" s="28" t="str">
        <f>IF('Paste SD Data'!J1499="","",'Paste SD Data'!J1499)</f>
        <v/>
      </c>
      <c r="J1502" s="34">
        <f t="shared" si="23"/>
        <v>1928</v>
      </c>
      <c r="K1502" s="29" t="str">
        <f>IF('Paste SD Data'!O1499="","",'Paste SD Data'!O1499)</f>
        <v/>
      </c>
    </row>
    <row r="1503" spans="1:11" ht="30" customHeight="1" x14ac:dyDescent="0.25">
      <c r="A1503" s="25" t="str">
        <f>IF(Table1[[#This Row],[Name of Student]]="","",ROWS($A$1:A1499))</f>
        <v/>
      </c>
      <c r="B1503" s="26" t="str">
        <f>IF('Paste SD Data'!A1500="","",'Paste SD Data'!A1500)</f>
        <v/>
      </c>
      <c r="C1503" s="26" t="str">
        <f>IF('Paste SD Data'!B1500="","",'Paste SD Data'!B1500)</f>
        <v/>
      </c>
      <c r="D1503" s="26" t="str">
        <f>IF('Paste SD Data'!C1500="","",'Paste SD Data'!C1500)</f>
        <v/>
      </c>
      <c r="E1503" s="27" t="str">
        <f>IF('Paste SD Data'!E1500="","",UPPER('Paste SD Data'!E1500))</f>
        <v/>
      </c>
      <c r="F1503" s="27" t="str">
        <f>IF('Paste SD Data'!G1500="","",UPPER('Paste SD Data'!G1500))</f>
        <v/>
      </c>
      <c r="G1503" s="27" t="str">
        <f>IF('Paste SD Data'!H1500="","",UPPER('Paste SD Data'!H1500))</f>
        <v/>
      </c>
      <c r="H1503" s="26" t="str">
        <f>IF('Paste SD Data'!I1500="","",IF('Paste SD Data'!I1500="M","BOY","GIRL"))</f>
        <v/>
      </c>
      <c r="I1503" s="28" t="str">
        <f>IF('Paste SD Data'!J1500="","",'Paste SD Data'!J1500)</f>
        <v/>
      </c>
      <c r="J1503" s="34">
        <f t="shared" si="23"/>
        <v>1929</v>
      </c>
      <c r="K1503" s="29" t="str">
        <f>IF('Paste SD Data'!O1500="","",'Paste SD Data'!O1500)</f>
        <v/>
      </c>
    </row>
    <row r="1504" spans="1:11" ht="30" customHeight="1" x14ac:dyDescent="0.25">
      <c r="A1504" s="25" t="str">
        <f>IF(Table1[[#This Row],[Name of Student]]="","",ROWS($A$1:A1500))</f>
        <v/>
      </c>
      <c r="B1504" s="26" t="str">
        <f>IF('Paste SD Data'!A1501="","",'Paste SD Data'!A1501)</f>
        <v/>
      </c>
      <c r="C1504" s="26" t="str">
        <f>IF('Paste SD Data'!B1501="","",'Paste SD Data'!B1501)</f>
        <v/>
      </c>
      <c r="D1504" s="26" t="str">
        <f>IF('Paste SD Data'!C1501="","",'Paste SD Data'!C1501)</f>
        <v/>
      </c>
      <c r="E1504" s="27" t="str">
        <f>IF('Paste SD Data'!E1501="","",UPPER('Paste SD Data'!E1501))</f>
        <v/>
      </c>
      <c r="F1504" s="27" t="str">
        <f>IF('Paste SD Data'!G1501="","",UPPER('Paste SD Data'!G1501))</f>
        <v/>
      </c>
      <c r="G1504" s="27" t="str">
        <f>IF('Paste SD Data'!H1501="","",UPPER('Paste SD Data'!H1501))</f>
        <v/>
      </c>
      <c r="H1504" s="26" t="str">
        <f>IF('Paste SD Data'!I1501="","",IF('Paste SD Data'!I1501="M","BOY","GIRL"))</f>
        <v/>
      </c>
      <c r="I1504" s="28" t="str">
        <f>IF('Paste SD Data'!J1501="","",'Paste SD Data'!J1501)</f>
        <v/>
      </c>
      <c r="J1504" s="34">
        <f t="shared" si="23"/>
        <v>1930</v>
      </c>
      <c r="K1504" s="29" t="str">
        <f>IF('Paste SD Data'!O1501="","",'Paste SD Data'!O1501)</f>
        <v/>
      </c>
    </row>
    <row r="1505" spans="1:11" ht="30" customHeight="1" x14ac:dyDescent="0.25">
      <c r="A1505" s="25" t="str">
        <f>IF(Table1[[#This Row],[Name of Student]]="","",ROWS($A$1:A1501))</f>
        <v/>
      </c>
      <c r="B1505" s="26" t="str">
        <f>IF('Paste SD Data'!A1502="","",'Paste SD Data'!A1502)</f>
        <v/>
      </c>
      <c r="C1505" s="26" t="str">
        <f>IF('Paste SD Data'!B1502="","",'Paste SD Data'!B1502)</f>
        <v/>
      </c>
      <c r="D1505" s="26" t="str">
        <f>IF('Paste SD Data'!C1502="","",'Paste SD Data'!C1502)</f>
        <v/>
      </c>
      <c r="E1505" s="27" t="str">
        <f>IF('Paste SD Data'!E1502="","",UPPER('Paste SD Data'!E1502))</f>
        <v/>
      </c>
      <c r="F1505" s="27" t="str">
        <f>IF('Paste SD Data'!G1502="","",UPPER('Paste SD Data'!G1502))</f>
        <v/>
      </c>
      <c r="G1505" s="27" t="str">
        <f>IF('Paste SD Data'!H1502="","",UPPER('Paste SD Data'!H1502))</f>
        <v/>
      </c>
      <c r="H1505" s="26" t="str">
        <f>IF('Paste SD Data'!I1502="","",IF('Paste SD Data'!I1502="M","BOY","GIRL"))</f>
        <v/>
      </c>
      <c r="I1505" s="28" t="str">
        <f>IF('Paste SD Data'!J1502="","",'Paste SD Data'!J1502)</f>
        <v/>
      </c>
      <c r="J1505" s="34">
        <f t="shared" si="23"/>
        <v>1931</v>
      </c>
      <c r="K1505" s="29" t="str">
        <f>IF('Paste SD Data'!O1502="","",'Paste SD Data'!O1502)</f>
        <v/>
      </c>
    </row>
    <row r="1506" spans="1:11" ht="30" customHeight="1" x14ac:dyDescent="0.25">
      <c r="A1506" s="25" t="str">
        <f>IF(Table1[[#This Row],[Name of Student]]="","",ROWS($A$1:A1502))</f>
        <v/>
      </c>
      <c r="B1506" s="26" t="str">
        <f>IF('Paste SD Data'!A1503="","",'Paste SD Data'!A1503)</f>
        <v/>
      </c>
      <c r="C1506" s="26" t="str">
        <f>IF('Paste SD Data'!B1503="","",'Paste SD Data'!B1503)</f>
        <v/>
      </c>
      <c r="D1506" s="26" t="str">
        <f>IF('Paste SD Data'!C1503="","",'Paste SD Data'!C1503)</f>
        <v/>
      </c>
      <c r="E1506" s="27" t="str">
        <f>IF('Paste SD Data'!E1503="","",UPPER('Paste SD Data'!E1503))</f>
        <v/>
      </c>
      <c r="F1506" s="27" t="str">
        <f>IF('Paste SD Data'!G1503="","",UPPER('Paste SD Data'!G1503))</f>
        <v/>
      </c>
      <c r="G1506" s="27" t="str">
        <f>IF('Paste SD Data'!H1503="","",UPPER('Paste SD Data'!H1503))</f>
        <v/>
      </c>
      <c r="H1506" s="26" t="str">
        <f>IF('Paste SD Data'!I1503="","",IF('Paste SD Data'!I1503="M","BOY","GIRL"))</f>
        <v/>
      </c>
      <c r="I1506" s="28" t="str">
        <f>IF('Paste SD Data'!J1503="","",'Paste SD Data'!J1503)</f>
        <v/>
      </c>
      <c r="J1506" s="34">
        <f t="shared" si="23"/>
        <v>1932</v>
      </c>
      <c r="K1506" s="29" t="str">
        <f>IF('Paste SD Data'!O1503="","",'Paste SD Data'!O1503)</f>
        <v/>
      </c>
    </row>
    <row r="1507" spans="1:11" ht="30" customHeight="1" x14ac:dyDescent="0.25">
      <c r="A1507" s="25" t="str">
        <f>IF(Table1[[#This Row],[Name of Student]]="","",ROWS($A$1:A1503))</f>
        <v/>
      </c>
      <c r="B1507" s="26" t="str">
        <f>IF('Paste SD Data'!A1504="","",'Paste SD Data'!A1504)</f>
        <v/>
      </c>
      <c r="C1507" s="26" t="str">
        <f>IF('Paste SD Data'!B1504="","",'Paste SD Data'!B1504)</f>
        <v/>
      </c>
      <c r="D1507" s="26" t="str">
        <f>IF('Paste SD Data'!C1504="","",'Paste SD Data'!C1504)</f>
        <v/>
      </c>
      <c r="E1507" s="27" t="str">
        <f>IF('Paste SD Data'!E1504="","",UPPER('Paste SD Data'!E1504))</f>
        <v/>
      </c>
      <c r="F1507" s="27" t="str">
        <f>IF('Paste SD Data'!G1504="","",UPPER('Paste SD Data'!G1504))</f>
        <v/>
      </c>
      <c r="G1507" s="27" t="str">
        <f>IF('Paste SD Data'!H1504="","",UPPER('Paste SD Data'!H1504))</f>
        <v/>
      </c>
      <c r="H1507" s="26" t="str">
        <f>IF('Paste SD Data'!I1504="","",IF('Paste SD Data'!I1504="M","BOY","GIRL"))</f>
        <v/>
      </c>
      <c r="I1507" s="28" t="str">
        <f>IF('Paste SD Data'!J1504="","",'Paste SD Data'!J1504)</f>
        <v/>
      </c>
      <c r="J1507" s="34">
        <f t="shared" si="23"/>
        <v>1933</v>
      </c>
      <c r="K1507" s="29" t="str">
        <f>IF('Paste SD Data'!O1504="","",'Paste SD Data'!O1504)</f>
        <v/>
      </c>
    </row>
    <row r="1508" spans="1:11" ht="30" customHeight="1" x14ac:dyDescent="0.25">
      <c r="A1508" s="25" t="str">
        <f>IF(Table1[[#This Row],[Name of Student]]="","",ROWS($A$1:A1504))</f>
        <v/>
      </c>
      <c r="B1508" s="26" t="str">
        <f>IF('Paste SD Data'!A1505="","",'Paste SD Data'!A1505)</f>
        <v/>
      </c>
      <c r="C1508" s="26" t="str">
        <f>IF('Paste SD Data'!B1505="","",'Paste SD Data'!B1505)</f>
        <v/>
      </c>
      <c r="D1508" s="26" t="str">
        <f>IF('Paste SD Data'!C1505="","",'Paste SD Data'!C1505)</f>
        <v/>
      </c>
      <c r="E1508" s="27" t="str">
        <f>IF('Paste SD Data'!E1505="","",UPPER('Paste SD Data'!E1505))</f>
        <v/>
      </c>
      <c r="F1508" s="27" t="str">
        <f>IF('Paste SD Data'!G1505="","",UPPER('Paste SD Data'!G1505))</f>
        <v/>
      </c>
      <c r="G1508" s="27" t="str">
        <f>IF('Paste SD Data'!H1505="","",UPPER('Paste SD Data'!H1505))</f>
        <v/>
      </c>
      <c r="H1508" s="26" t="str">
        <f>IF('Paste SD Data'!I1505="","",IF('Paste SD Data'!I1505="M","BOY","GIRL"))</f>
        <v/>
      </c>
      <c r="I1508" s="28" t="str">
        <f>IF('Paste SD Data'!J1505="","",'Paste SD Data'!J1505)</f>
        <v/>
      </c>
      <c r="J1508" s="34">
        <f t="shared" si="23"/>
        <v>1934</v>
      </c>
      <c r="K1508" s="29" t="str">
        <f>IF('Paste SD Data'!O1505="","",'Paste SD Data'!O1505)</f>
        <v/>
      </c>
    </row>
    <row r="1509" spans="1:11" ht="30" customHeight="1" x14ac:dyDescent="0.25">
      <c r="A1509" s="25" t="str">
        <f>IF(Table1[[#This Row],[Name of Student]]="","",ROWS($A$1:A1505))</f>
        <v/>
      </c>
      <c r="B1509" s="26" t="str">
        <f>IF('Paste SD Data'!A1506="","",'Paste SD Data'!A1506)</f>
        <v/>
      </c>
      <c r="C1509" s="26" t="str">
        <f>IF('Paste SD Data'!B1506="","",'Paste SD Data'!B1506)</f>
        <v/>
      </c>
      <c r="D1509" s="26" t="str">
        <f>IF('Paste SD Data'!C1506="","",'Paste SD Data'!C1506)</f>
        <v/>
      </c>
      <c r="E1509" s="27" t="str">
        <f>IF('Paste SD Data'!E1506="","",UPPER('Paste SD Data'!E1506))</f>
        <v/>
      </c>
      <c r="F1509" s="27" t="str">
        <f>IF('Paste SD Data'!G1506="","",UPPER('Paste SD Data'!G1506))</f>
        <v/>
      </c>
      <c r="G1509" s="27" t="str">
        <f>IF('Paste SD Data'!H1506="","",UPPER('Paste SD Data'!H1506))</f>
        <v/>
      </c>
      <c r="H1509" s="26" t="str">
        <f>IF('Paste SD Data'!I1506="","",IF('Paste SD Data'!I1506="M","BOY","GIRL"))</f>
        <v/>
      </c>
      <c r="I1509" s="28" t="str">
        <f>IF('Paste SD Data'!J1506="","",'Paste SD Data'!J1506)</f>
        <v/>
      </c>
      <c r="J1509" s="34">
        <f t="shared" si="23"/>
        <v>1935</v>
      </c>
      <c r="K1509" s="29" t="str">
        <f>IF('Paste SD Data'!O1506="","",'Paste SD Data'!O1506)</f>
        <v/>
      </c>
    </row>
    <row r="1510" spans="1:11" ht="30" customHeight="1" x14ac:dyDescent="0.25">
      <c r="A1510" s="25" t="str">
        <f>IF(Table1[[#This Row],[Name of Student]]="","",ROWS($A$1:A1506))</f>
        <v/>
      </c>
      <c r="B1510" s="26" t="str">
        <f>IF('Paste SD Data'!A1507="","",'Paste SD Data'!A1507)</f>
        <v/>
      </c>
      <c r="C1510" s="26" t="str">
        <f>IF('Paste SD Data'!B1507="","",'Paste SD Data'!B1507)</f>
        <v/>
      </c>
      <c r="D1510" s="26" t="str">
        <f>IF('Paste SD Data'!C1507="","",'Paste SD Data'!C1507)</f>
        <v/>
      </c>
      <c r="E1510" s="27" t="str">
        <f>IF('Paste SD Data'!E1507="","",UPPER('Paste SD Data'!E1507))</f>
        <v/>
      </c>
      <c r="F1510" s="27" t="str">
        <f>IF('Paste SD Data'!G1507="","",UPPER('Paste SD Data'!G1507))</f>
        <v/>
      </c>
      <c r="G1510" s="27" t="str">
        <f>IF('Paste SD Data'!H1507="","",UPPER('Paste SD Data'!H1507))</f>
        <v/>
      </c>
      <c r="H1510" s="26" t="str">
        <f>IF('Paste SD Data'!I1507="","",IF('Paste SD Data'!I1507="M","BOY","GIRL"))</f>
        <v/>
      </c>
      <c r="I1510" s="28" t="str">
        <f>IF('Paste SD Data'!J1507="","",'Paste SD Data'!J1507)</f>
        <v/>
      </c>
      <c r="J1510" s="34">
        <f t="shared" si="23"/>
        <v>1936</v>
      </c>
      <c r="K1510" s="29" t="str">
        <f>IF('Paste SD Data'!O1507="","",'Paste SD Data'!O1507)</f>
        <v/>
      </c>
    </row>
    <row r="1511" spans="1:11" ht="30" customHeight="1" x14ac:dyDescent="0.25">
      <c r="A1511" s="25" t="str">
        <f>IF(Table1[[#This Row],[Name of Student]]="","",ROWS($A$1:A1507))</f>
        <v/>
      </c>
      <c r="B1511" s="26" t="str">
        <f>IF('Paste SD Data'!A1508="","",'Paste SD Data'!A1508)</f>
        <v/>
      </c>
      <c r="C1511" s="26" t="str">
        <f>IF('Paste SD Data'!B1508="","",'Paste SD Data'!B1508)</f>
        <v/>
      </c>
      <c r="D1511" s="26" t="str">
        <f>IF('Paste SD Data'!C1508="","",'Paste SD Data'!C1508)</f>
        <v/>
      </c>
      <c r="E1511" s="27" t="str">
        <f>IF('Paste SD Data'!E1508="","",UPPER('Paste SD Data'!E1508))</f>
        <v/>
      </c>
      <c r="F1511" s="27" t="str">
        <f>IF('Paste SD Data'!G1508="","",UPPER('Paste SD Data'!G1508))</f>
        <v/>
      </c>
      <c r="G1511" s="27" t="str">
        <f>IF('Paste SD Data'!H1508="","",UPPER('Paste SD Data'!H1508))</f>
        <v/>
      </c>
      <c r="H1511" s="26" t="str">
        <f>IF('Paste SD Data'!I1508="","",IF('Paste SD Data'!I1508="M","BOY","GIRL"))</f>
        <v/>
      </c>
      <c r="I1511" s="28" t="str">
        <f>IF('Paste SD Data'!J1508="","",'Paste SD Data'!J1508)</f>
        <v/>
      </c>
      <c r="J1511" s="34">
        <f t="shared" si="23"/>
        <v>1937</v>
      </c>
      <c r="K1511" s="29" t="str">
        <f>IF('Paste SD Data'!O1508="","",'Paste SD Data'!O1508)</f>
        <v/>
      </c>
    </row>
    <row r="1512" spans="1:11" ht="30" customHeight="1" x14ac:dyDescent="0.25">
      <c r="A1512" s="25" t="str">
        <f>IF(Table1[[#This Row],[Name of Student]]="","",ROWS($A$1:A1508))</f>
        <v/>
      </c>
      <c r="B1512" s="26" t="str">
        <f>IF('Paste SD Data'!A1509="","",'Paste SD Data'!A1509)</f>
        <v/>
      </c>
      <c r="C1512" s="26" t="str">
        <f>IF('Paste SD Data'!B1509="","",'Paste SD Data'!B1509)</f>
        <v/>
      </c>
      <c r="D1512" s="26" t="str">
        <f>IF('Paste SD Data'!C1509="","",'Paste SD Data'!C1509)</f>
        <v/>
      </c>
      <c r="E1512" s="27" t="str">
        <f>IF('Paste SD Data'!E1509="","",UPPER('Paste SD Data'!E1509))</f>
        <v/>
      </c>
      <c r="F1512" s="27" t="str">
        <f>IF('Paste SD Data'!G1509="","",UPPER('Paste SD Data'!G1509))</f>
        <v/>
      </c>
      <c r="G1512" s="27" t="str">
        <f>IF('Paste SD Data'!H1509="","",UPPER('Paste SD Data'!H1509))</f>
        <v/>
      </c>
      <c r="H1512" s="26" t="str">
        <f>IF('Paste SD Data'!I1509="","",IF('Paste SD Data'!I1509="M","BOY","GIRL"))</f>
        <v/>
      </c>
      <c r="I1512" s="28" t="str">
        <f>IF('Paste SD Data'!J1509="","",'Paste SD Data'!J1509)</f>
        <v/>
      </c>
      <c r="J1512" s="34">
        <f t="shared" si="23"/>
        <v>1938</v>
      </c>
      <c r="K1512" s="29" t="str">
        <f>IF('Paste SD Data'!O1509="","",'Paste SD Data'!O1509)</f>
        <v/>
      </c>
    </row>
    <row r="1513" spans="1:11" ht="30" customHeight="1" x14ac:dyDescent="0.25">
      <c r="A1513" s="25" t="str">
        <f>IF(Table1[[#This Row],[Name of Student]]="","",ROWS($A$1:A1509))</f>
        <v/>
      </c>
      <c r="B1513" s="26" t="str">
        <f>IF('Paste SD Data'!A1510="","",'Paste SD Data'!A1510)</f>
        <v/>
      </c>
      <c r="C1513" s="26" t="str">
        <f>IF('Paste SD Data'!B1510="","",'Paste SD Data'!B1510)</f>
        <v/>
      </c>
      <c r="D1513" s="26" t="str">
        <f>IF('Paste SD Data'!C1510="","",'Paste SD Data'!C1510)</f>
        <v/>
      </c>
      <c r="E1513" s="27" t="str">
        <f>IF('Paste SD Data'!E1510="","",UPPER('Paste SD Data'!E1510))</f>
        <v/>
      </c>
      <c r="F1513" s="27" t="str">
        <f>IF('Paste SD Data'!G1510="","",UPPER('Paste SD Data'!G1510))</f>
        <v/>
      </c>
      <c r="G1513" s="27" t="str">
        <f>IF('Paste SD Data'!H1510="","",UPPER('Paste SD Data'!H1510))</f>
        <v/>
      </c>
      <c r="H1513" s="26" t="str">
        <f>IF('Paste SD Data'!I1510="","",IF('Paste SD Data'!I1510="M","BOY","GIRL"))</f>
        <v/>
      </c>
      <c r="I1513" s="28" t="str">
        <f>IF('Paste SD Data'!J1510="","",'Paste SD Data'!J1510)</f>
        <v/>
      </c>
      <c r="J1513" s="34">
        <f t="shared" si="23"/>
        <v>1939</v>
      </c>
      <c r="K1513" s="29" t="str">
        <f>IF('Paste SD Data'!O1510="","",'Paste SD Data'!O1510)</f>
        <v/>
      </c>
    </row>
    <row r="1514" spans="1:11" ht="30" customHeight="1" x14ac:dyDescent="0.25">
      <c r="A1514" s="25" t="str">
        <f>IF(Table1[[#This Row],[Name of Student]]="","",ROWS($A$1:A1510))</f>
        <v/>
      </c>
      <c r="B1514" s="26" t="str">
        <f>IF('Paste SD Data'!A1511="","",'Paste SD Data'!A1511)</f>
        <v/>
      </c>
      <c r="C1514" s="26" t="str">
        <f>IF('Paste SD Data'!B1511="","",'Paste SD Data'!B1511)</f>
        <v/>
      </c>
      <c r="D1514" s="26" t="str">
        <f>IF('Paste SD Data'!C1511="","",'Paste SD Data'!C1511)</f>
        <v/>
      </c>
      <c r="E1514" s="27" t="str">
        <f>IF('Paste SD Data'!E1511="","",UPPER('Paste SD Data'!E1511))</f>
        <v/>
      </c>
      <c r="F1514" s="27" t="str">
        <f>IF('Paste SD Data'!G1511="","",UPPER('Paste SD Data'!G1511))</f>
        <v/>
      </c>
      <c r="G1514" s="27" t="str">
        <f>IF('Paste SD Data'!H1511="","",UPPER('Paste SD Data'!H1511))</f>
        <v/>
      </c>
      <c r="H1514" s="26" t="str">
        <f>IF('Paste SD Data'!I1511="","",IF('Paste SD Data'!I1511="M","BOY","GIRL"))</f>
        <v/>
      </c>
      <c r="I1514" s="28" t="str">
        <f>IF('Paste SD Data'!J1511="","",'Paste SD Data'!J1511)</f>
        <v/>
      </c>
      <c r="J1514" s="34">
        <f t="shared" si="23"/>
        <v>1940</v>
      </c>
      <c r="K1514" s="29" t="str">
        <f>IF('Paste SD Data'!O1511="","",'Paste SD Data'!O1511)</f>
        <v/>
      </c>
    </row>
    <row r="1515" spans="1:11" ht="30" customHeight="1" x14ac:dyDescent="0.25">
      <c r="A1515" s="25" t="str">
        <f>IF(Table1[[#This Row],[Name of Student]]="","",ROWS($A$1:A1511))</f>
        <v/>
      </c>
      <c r="B1515" s="26" t="str">
        <f>IF('Paste SD Data'!A1512="","",'Paste SD Data'!A1512)</f>
        <v/>
      </c>
      <c r="C1515" s="26" t="str">
        <f>IF('Paste SD Data'!B1512="","",'Paste SD Data'!B1512)</f>
        <v/>
      </c>
      <c r="D1515" s="26" t="str">
        <f>IF('Paste SD Data'!C1512="","",'Paste SD Data'!C1512)</f>
        <v/>
      </c>
      <c r="E1515" s="27" t="str">
        <f>IF('Paste SD Data'!E1512="","",UPPER('Paste SD Data'!E1512))</f>
        <v/>
      </c>
      <c r="F1515" s="27" t="str">
        <f>IF('Paste SD Data'!G1512="","",UPPER('Paste SD Data'!G1512))</f>
        <v/>
      </c>
      <c r="G1515" s="27" t="str">
        <f>IF('Paste SD Data'!H1512="","",UPPER('Paste SD Data'!H1512))</f>
        <v/>
      </c>
      <c r="H1515" s="26" t="str">
        <f>IF('Paste SD Data'!I1512="","",IF('Paste SD Data'!I1512="M","BOY","GIRL"))</f>
        <v/>
      </c>
      <c r="I1515" s="28" t="str">
        <f>IF('Paste SD Data'!J1512="","",'Paste SD Data'!J1512)</f>
        <v/>
      </c>
      <c r="J1515" s="34">
        <f t="shared" si="23"/>
        <v>1941</v>
      </c>
      <c r="K1515" s="29" t="str">
        <f>IF('Paste SD Data'!O1512="","",'Paste SD Data'!O1512)</f>
        <v/>
      </c>
    </row>
    <row r="1516" spans="1:11" ht="30" customHeight="1" x14ac:dyDescent="0.25">
      <c r="A1516" s="25" t="str">
        <f>IF(Table1[[#This Row],[Name of Student]]="","",ROWS($A$1:A1512))</f>
        <v/>
      </c>
      <c r="B1516" s="26" t="str">
        <f>IF('Paste SD Data'!A1513="","",'Paste SD Data'!A1513)</f>
        <v/>
      </c>
      <c r="C1516" s="26" t="str">
        <f>IF('Paste SD Data'!B1513="","",'Paste SD Data'!B1513)</f>
        <v/>
      </c>
      <c r="D1516" s="26" t="str">
        <f>IF('Paste SD Data'!C1513="","",'Paste SD Data'!C1513)</f>
        <v/>
      </c>
      <c r="E1516" s="27" t="str">
        <f>IF('Paste SD Data'!E1513="","",UPPER('Paste SD Data'!E1513))</f>
        <v/>
      </c>
      <c r="F1516" s="27" t="str">
        <f>IF('Paste SD Data'!G1513="","",UPPER('Paste SD Data'!G1513))</f>
        <v/>
      </c>
      <c r="G1516" s="27" t="str">
        <f>IF('Paste SD Data'!H1513="","",UPPER('Paste SD Data'!H1513))</f>
        <v/>
      </c>
      <c r="H1516" s="26" t="str">
        <f>IF('Paste SD Data'!I1513="","",IF('Paste SD Data'!I1513="M","BOY","GIRL"))</f>
        <v/>
      </c>
      <c r="I1516" s="28" t="str">
        <f>IF('Paste SD Data'!J1513="","",'Paste SD Data'!J1513)</f>
        <v/>
      </c>
      <c r="J1516" s="34">
        <f t="shared" si="23"/>
        <v>1942</v>
      </c>
      <c r="K1516" s="29" t="str">
        <f>IF('Paste SD Data'!O1513="","",'Paste SD Data'!O1513)</f>
        <v/>
      </c>
    </row>
    <row r="1517" spans="1:11" ht="30" customHeight="1" x14ac:dyDescent="0.25">
      <c r="A1517" s="25" t="str">
        <f>IF(Table1[[#This Row],[Name of Student]]="","",ROWS($A$1:A1513))</f>
        <v/>
      </c>
      <c r="B1517" s="26" t="str">
        <f>IF('Paste SD Data'!A1514="","",'Paste SD Data'!A1514)</f>
        <v/>
      </c>
      <c r="C1517" s="26" t="str">
        <f>IF('Paste SD Data'!B1514="","",'Paste SD Data'!B1514)</f>
        <v/>
      </c>
      <c r="D1517" s="26" t="str">
        <f>IF('Paste SD Data'!C1514="","",'Paste SD Data'!C1514)</f>
        <v/>
      </c>
      <c r="E1517" s="27" t="str">
        <f>IF('Paste SD Data'!E1514="","",UPPER('Paste SD Data'!E1514))</f>
        <v/>
      </c>
      <c r="F1517" s="27" t="str">
        <f>IF('Paste SD Data'!G1514="","",UPPER('Paste SD Data'!G1514))</f>
        <v/>
      </c>
      <c r="G1517" s="27" t="str">
        <f>IF('Paste SD Data'!H1514="","",UPPER('Paste SD Data'!H1514))</f>
        <v/>
      </c>
      <c r="H1517" s="26" t="str">
        <f>IF('Paste SD Data'!I1514="","",IF('Paste SD Data'!I1514="M","BOY","GIRL"))</f>
        <v/>
      </c>
      <c r="I1517" s="28" t="str">
        <f>IF('Paste SD Data'!J1514="","",'Paste SD Data'!J1514)</f>
        <v/>
      </c>
      <c r="J1517" s="34">
        <f t="shared" si="23"/>
        <v>1943</v>
      </c>
      <c r="K1517" s="29" t="str">
        <f>IF('Paste SD Data'!O1514="","",'Paste SD Data'!O1514)</f>
        <v/>
      </c>
    </row>
    <row r="1518" spans="1:11" ht="30" customHeight="1" x14ac:dyDescent="0.25">
      <c r="A1518" s="25" t="str">
        <f>IF(Table1[[#This Row],[Name of Student]]="","",ROWS($A$1:A1514))</f>
        <v/>
      </c>
      <c r="B1518" s="26" t="str">
        <f>IF('Paste SD Data'!A1515="","",'Paste SD Data'!A1515)</f>
        <v/>
      </c>
      <c r="C1518" s="26" t="str">
        <f>IF('Paste SD Data'!B1515="","",'Paste SD Data'!B1515)</f>
        <v/>
      </c>
      <c r="D1518" s="26" t="str">
        <f>IF('Paste SD Data'!C1515="","",'Paste SD Data'!C1515)</f>
        <v/>
      </c>
      <c r="E1518" s="27" t="str">
        <f>IF('Paste SD Data'!E1515="","",UPPER('Paste SD Data'!E1515))</f>
        <v/>
      </c>
      <c r="F1518" s="27" t="str">
        <f>IF('Paste SD Data'!G1515="","",UPPER('Paste SD Data'!G1515))</f>
        <v/>
      </c>
      <c r="G1518" s="27" t="str">
        <f>IF('Paste SD Data'!H1515="","",UPPER('Paste SD Data'!H1515))</f>
        <v/>
      </c>
      <c r="H1518" s="26" t="str">
        <f>IF('Paste SD Data'!I1515="","",IF('Paste SD Data'!I1515="M","BOY","GIRL"))</f>
        <v/>
      </c>
      <c r="I1518" s="28" t="str">
        <f>IF('Paste SD Data'!J1515="","",'Paste SD Data'!J1515)</f>
        <v/>
      </c>
      <c r="J1518" s="34">
        <f t="shared" si="23"/>
        <v>1944</v>
      </c>
      <c r="K1518" s="29" t="str">
        <f>IF('Paste SD Data'!O1515="","",'Paste SD Data'!O1515)</f>
        <v/>
      </c>
    </row>
    <row r="1519" spans="1:11" ht="30" customHeight="1" x14ac:dyDescent="0.25">
      <c r="A1519" s="25" t="str">
        <f>IF(Table1[[#This Row],[Name of Student]]="","",ROWS($A$1:A1515))</f>
        <v/>
      </c>
      <c r="B1519" s="26" t="str">
        <f>IF('Paste SD Data'!A1516="","",'Paste SD Data'!A1516)</f>
        <v/>
      </c>
      <c r="C1519" s="26" t="str">
        <f>IF('Paste SD Data'!B1516="","",'Paste SD Data'!B1516)</f>
        <v/>
      </c>
      <c r="D1519" s="26" t="str">
        <f>IF('Paste SD Data'!C1516="","",'Paste SD Data'!C1516)</f>
        <v/>
      </c>
      <c r="E1519" s="27" t="str">
        <f>IF('Paste SD Data'!E1516="","",UPPER('Paste SD Data'!E1516))</f>
        <v/>
      </c>
      <c r="F1519" s="27" t="str">
        <f>IF('Paste SD Data'!G1516="","",UPPER('Paste SD Data'!G1516))</f>
        <v/>
      </c>
      <c r="G1519" s="27" t="str">
        <f>IF('Paste SD Data'!H1516="","",UPPER('Paste SD Data'!H1516))</f>
        <v/>
      </c>
      <c r="H1519" s="26" t="str">
        <f>IF('Paste SD Data'!I1516="","",IF('Paste SD Data'!I1516="M","BOY","GIRL"))</f>
        <v/>
      </c>
      <c r="I1519" s="28" t="str">
        <f>IF('Paste SD Data'!J1516="","",'Paste SD Data'!J1516)</f>
        <v/>
      </c>
      <c r="J1519" s="34">
        <f t="shared" si="23"/>
        <v>1945</v>
      </c>
      <c r="K1519" s="29" t="str">
        <f>IF('Paste SD Data'!O1516="","",'Paste SD Data'!O1516)</f>
        <v/>
      </c>
    </row>
    <row r="1520" spans="1:11" ht="30" customHeight="1" x14ac:dyDescent="0.25">
      <c r="A1520" s="25" t="str">
        <f>IF(Table1[[#This Row],[Name of Student]]="","",ROWS($A$1:A1516))</f>
        <v/>
      </c>
      <c r="B1520" s="26" t="str">
        <f>IF('Paste SD Data'!A1517="","",'Paste SD Data'!A1517)</f>
        <v/>
      </c>
      <c r="C1520" s="26" t="str">
        <f>IF('Paste SD Data'!B1517="","",'Paste SD Data'!B1517)</f>
        <v/>
      </c>
      <c r="D1520" s="26" t="str">
        <f>IF('Paste SD Data'!C1517="","",'Paste SD Data'!C1517)</f>
        <v/>
      </c>
      <c r="E1520" s="27" t="str">
        <f>IF('Paste SD Data'!E1517="","",UPPER('Paste SD Data'!E1517))</f>
        <v/>
      </c>
      <c r="F1520" s="27" t="str">
        <f>IF('Paste SD Data'!G1517="","",UPPER('Paste SD Data'!G1517))</f>
        <v/>
      </c>
      <c r="G1520" s="27" t="str">
        <f>IF('Paste SD Data'!H1517="","",UPPER('Paste SD Data'!H1517))</f>
        <v/>
      </c>
      <c r="H1520" s="26" t="str">
        <f>IF('Paste SD Data'!I1517="","",IF('Paste SD Data'!I1517="M","BOY","GIRL"))</f>
        <v/>
      </c>
      <c r="I1520" s="28" t="str">
        <f>IF('Paste SD Data'!J1517="","",'Paste SD Data'!J1517)</f>
        <v/>
      </c>
      <c r="J1520" s="34">
        <f t="shared" si="23"/>
        <v>1946</v>
      </c>
      <c r="K1520" s="29" t="str">
        <f>IF('Paste SD Data'!O1517="","",'Paste SD Data'!O1517)</f>
        <v/>
      </c>
    </row>
    <row r="1521" spans="1:11" ht="30" customHeight="1" x14ac:dyDescent="0.25">
      <c r="A1521" s="25" t="str">
        <f>IF(Table1[[#This Row],[Name of Student]]="","",ROWS($A$1:A1517))</f>
        <v/>
      </c>
      <c r="B1521" s="26" t="str">
        <f>IF('Paste SD Data'!A1518="","",'Paste SD Data'!A1518)</f>
        <v/>
      </c>
      <c r="C1521" s="26" t="str">
        <f>IF('Paste SD Data'!B1518="","",'Paste SD Data'!B1518)</f>
        <v/>
      </c>
      <c r="D1521" s="26" t="str">
        <f>IF('Paste SD Data'!C1518="","",'Paste SD Data'!C1518)</f>
        <v/>
      </c>
      <c r="E1521" s="27" t="str">
        <f>IF('Paste SD Data'!E1518="","",UPPER('Paste SD Data'!E1518))</f>
        <v/>
      </c>
      <c r="F1521" s="27" t="str">
        <f>IF('Paste SD Data'!G1518="","",UPPER('Paste SD Data'!G1518))</f>
        <v/>
      </c>
      <c r="G1521" s="27" t="str">
        <f>IF('Paste SD Data'!H1518="","",UPPER('Paste SD Data'!H1518))</f>
        <v/>
      </c>
      <c r="H1521" s="26" t="str">
        <f>IF('Paste SD Data'!I1518="","",IF('Paste SD Data'!I1518="M","BOY","GIRL"))</f>
        <v/>
      </c>
      <c r="I1521" s="28" t="str">
        <f>IF('Paste SD Data'!J1518="","",'Paste SD Data'!J1518)</f>
        <v/>
      </c>
      <c r="J1521" s="34">
        <f t="shared" si="23"/>
        <v>1947</v>
      </c>
      <c r="K1521" s="29" t="str">
        <f>IF('Paste SD Data'!O1518="","",'Paste SD Data'!O1518)</f>
        <v/>
      </c>
    </row>
    <row r="1522" spans="1:11" ht="30" customHeight="1" x14ac:dyDescent="0.25">
      <c r="A1522" s="25" t="str">
        <f>IF(Table1[[#This Row],[Name of Student]]="","",ROWS($A$1:A1518))</f>
        <v/>
      </c>
      <c r="B1522" s="26" t="str">
        <f>IF('Paste SD Data'!A1519="","",'Paste SD Data'!A1519)</f>
        <v/>
      </c>
      <c r="C1522" s="26" t="str">
        <f>IF('Paste SD Data'!B1519="","",'Paste SD Data'!B1519)</f>
        <v/>
      </c>
      <c r="D1522" s="26" t="str">
        <f>IF('Paste SD Data'!C1519="","",'Paste SD Data'!C1519)</f>
        <v/>
      </c>
      <c r="E1522" s="27" t="str">
        <f>IF('Paste SD Data'!E1519="","",UPPER('Paste SD Data'!E1519))</f>
        <v/>
      </c>
      <c r="F1522" s="27" t="str">
        <f>IF('Paste SD Data'!G1519="","",UPPER('Paste SD Data'!G1519))</f>
        <v/>
      </c>
      <c r="G1522" s="27" t="str">
        <f>IF('Paste SD Data'!H1519="","",UPPER('Paste SD Data'!H1519))</f>
        <v/>
      </c>
      <c r="H1522" s="26" t="str">
        <f>IF('Paste SD Data'!I1519="","",IF('Paste SD Data'!I1519="M","BOY","GIRL"))</f>
        <v/>
      </c>
      <c r="I1522" s="28" t="str">
        <f>IF('Paste SD Data'!J1519="","",'Paste SD Data'!J1519)</f>
        <v/>
      </c>
      <c r="J1522" s="34">
        <f t="shared" si="23"/>
        <v>1948</v>
      </c>
      <c r="K1522" s="29" t="str">
        <f>IF('Paste SD Data'!O1519="","",'Paste SD Data'!O1519)</f>
        <v/>
      </c>
    </row>
    <row r="1523" spans="1:11" ht="30" customHeight="1" x14ac:dyDescent="0.25">
      <c r="A1523" s="25" t="str">
        <f>IF(Table1[[#This Row],[Name of Student]]="","",ROWS($A$1:A1519))</f>
        <v/>
      </c>
      <c r="B1523" s="26" t="str">
        <f>IF('Paste SD Data'!A1520="","",'Paste SD Data'!A1520)</f>
        <v/>
      </c>
      <c r="C1523" s="26" t="str">
        <f>IF('Paste SD Data'!B1520="","",'Paste SD Data'!B1520)</f>
        <v/>
      </c>
      <c r="D1523" s="26" t="str">
        <f>IF('Paste SD Data'!C1520="","",'Paste SD Data'!C1520)</f>
        <v/>
      </c>
      <c r="E1523" s="27" t="str">
        <f>IF('Paste SD Data'!E1520="","",UPPER('Paste SD Data'!E1520))</f>
        <v/>
      </c>
      <c r="F1523" s="27" t="str">
        <f>IF('Paste SD Data'!G1520="","",UPPER('Paste SD Data'!G1520))</f>
        <v/>
      </c>
      <c r="G1523" s="27" t="str">
        <f>IF('Paste SD Data'!H1520="","",UPPER('Paste SD Data'!H1520))</f>
        <v/>
      </c>
      <c r="H1523" s="26" t="str">
        <f>IF('Paste SD Data'!I1520="","",IF('Paste SD Data'!I1520="M","BOY","GIRL"))</f>
        <v/>
      </c>
      <c r="I1523" s="28" t="str">
        <f>IF('Paste SD Data'!J1520="","",'Paste SD Data'!J1520)</f>
        <v/>
      </c>
      <c r="J1523" s="34">
        <f t="shared" si="23"/>
        <v>1949</v>
      </c>
      <c r="K1523" s="29" t="str">
        <f>IF('Paste SD Data'!O1520="","",'Paste SD Data'!O1520)</f>
        <v/>
      </c>
    </row>
    <row r="1524" spans="1:11" ht="30" customHeight="1" x14ac:dyDescent="0.25">
      <c r="A1524" s="25" t="str">
        <f>IF(Table1[[#This Row],[Name of Student]]="","",ROWS($A$1:A1520))</f>
        <v/>
      </c>
      <c r="B1524" s="26" t="str">
        <f>IF('Paste SD Data'!A1521="","",'Paste SD Data'!A1521)</f>
        <v/>
      </c>
      <c r="C1524" s="26" t="str">
        <f>IF('Paste SD Data'!B1521="","",'Paste SD Data'!B1521)</f>
        <v/>
      </c>
      <c r="D1524" s="26" t="str">
        <f>IF('Paste SD Data'!C1521="","",'Paste SD Data'!C1521)</f>
        <v/>
      </c>
      <c r="E1524" s="27" t="str">
        <f>IF('Paste SD Data'!E1521="","",UPPER('Paste SD Data'!E1521))</f>
        <v/>
      </c>
      <c r="F1524" s="27" t="str">
        <f>IF('Paste SD Data'!G1521="","",UPPER('Paste SD Data'!G1521))</f>
        <v/>
      </c>
      <c r="G1524" s="27" t="str">
        <f>IF('Paste SD Data'!H1521="","",UPPER('Paste SD Data'!H1521))</f>
        <v/>
      </c>
      <c r="H1524" s="26" t="str">
        <f>IF('Paste SD Data'!I1521="","",IF('Paste SD Data'!I1521="M","BOY","GIRL"))</f>
        <v/>
      </c>
      <c r="I1524" s="28" t="str">
        <f>IF('Paste SD Data'!J1521="","",'Paste SD Data'!J1521)</f>
        <v/>
      </c>
      <c r="J1524" s="34">
        <f t="shared" si="23"/>
        <v>1950</v>
      </c>
      <c r="K1524" s="29" t="str">
        <f>IF('Paste SD Data'!O1521="","",'Paste SD Data'!O1521)</f>
        <v/>
      </c>
    </row>
    <row r="1525" spans="1:11" ht="30" customHeight="1" x14ac:dyDescent="0.25">
      <c r="A1525" s="25" t="str">
        <f>IF(Table1[[#This Row],[Name of Student]]="","",ROWS($A$1:A1521))</f>
        <v/>
      </c>
      <c r="B1525" s="26" t="str">
        <f>IF('Paste SD Data'!A1522="","",'Paste SD Data'!A1522)</f>
        <v/>
      </c>
      <c r="C1525" s="26" t="str">
        <f>IF('Paste SD Data'!B1522="","",'Paste SD Data'!B1522)</f>
        <v/>
      </c>
      <c r="D1525" s="26" t="str">
        <f>IF('Paste SD Data'!C1522="","",'Paste SD Data'!C1522)</f>
        <v/>
      </c>
      <c r="E1525" s="27" t="str">
        <f>IF('Paste SD Data'!E1522="","",UPPER('Paste SD Data'!E1522))</f>
        <v/>
      </c>
      <c r="F1525" s="27" t="str">
        <f>IF('Paste SD Data'!G1522="","",UPPER('Paste SD Data'!G1522))</f>
        <v/>
      </c>
      <c r="G1525" s="27" t="str">
        <f>IF('Paste SD Data'!H1522="","",UPPER('Paste SD Data'!H1522))</f>
        <v/>
      </c>
      <c r="H1525" s="26" t="str">
        <f>IF('Paste SD Data'!I1522="","",IF('Paste SD Data'!I1522="M","BOY","GIRL"))</f>
        <v/>
      </c>
      <c r="I1525" s="28" t="str">
        <f>IF('Paste SD Data'!J1522="","",'Paste SD Data'!J1522)</f>
        <v/>
      </c>
      <c r="J1525" s="34">
        <f t="shared" si="23"/>
        <v>1951</v>
      </c>
      <c r="K1525" s="29" t="str">
        <f>IF('Paste SD Data'!O1522="","",'Paste SD Data'!O1522)</f>
        <v/>
      </c>
    </row>
    <row r="1526" spans="1:11" ht="30" customHeight="1" x14ac:dyDescent="0.25">
      <c r="A1526" s="25" t="str">
        <f>IF(Table1[[#This Row],[Name of Student]]="","",ROWS($A$1:A1522))</f>
        <v/>
      </c>
      <c r="B1526" s="26" t="str">
        <f>IF('Paste SD Data'!A1523="","",'Paste SD Data'!A1523)</f>
        <v/>
      </c>
      <c r="C1526" s="26" t="str">
        <f>IF('Paste SD Data'!B1523="","",'Paste SD Data'!B1523)</f>
        <v/>
      </c>
      <c r="D1526" s="26" t="str">
        <f>IF('Paste SD Data'!C1523="","",'Paste SD Data'!C1523)</f>
        <v/>
      </c>
      <c r="E1526" s="27" t="str">
        <f>IF('Paste SD Data'!E1523="","",UPPER('Paste SD Data'!E1523))</f>
        <v/>
      </c>
      <c r="F1526" s="27" t="str">
        <f>IF('Paste SD Data'!G1523="","",UPPER('Paste SD Data'!G1523))</f>
        <v/>
      </c>
      <c r="G1526" s="27" t="str">
        <f>IF('Paste SD Data'!H1523="","",UPPER('Paste SD Data'!H1523))</f>
        <v/>
      </c>
      <c r="H1526" s="26" t="str">
        <f>IF('Paste SD Data'!I1523="","",IF('Paste SD Data'!I1523="M","BOY","GIRL"))</f>
        <v/>
      </c>
      <c r="I1526" s="28" t="str">
        <f>IF('Paste SD Data'!J1523="","",'Paste SD Data'!J1523)</f>
        <v/>
      </c>
      <c r="J1526" s="34">
        <f t="shared" si="23"/>
        <v>1952</v>
      </c>
      <c r="K1526" s="29" t="str">
        <f>IF('Paste SD Data'!O1523="","",'Paste SD Data'!O1523)</f>
        <v/>
      </c>
    </row>
    <row r="1527" spans="1:11" ht="30" customHeight="1" x14ac:dyDescent="0.25">
      <c r="A1527" s="25" t="str">
        <f>IF(Table1[[#This Row],[Name of Student]]="","",ROWS($A$1:A1523))</f>
        <v/>
      </c>
      <c r="B1527" s="26" t="str">
        <f>IF('Paste SD Data'!A1524="","",'Paste SD Data'!A1524)</f>
        <v/>
      </c>
      <c r="C1527" s="26" t="str">
        <f>IF('Paste SD Data'!B1524="","",'Paste SD Data'!B1524)</f>
        <v/>
      </c>
      <c r="D1527" s="26" t="str">
        <f>IF('Paste SD Data'!C1524="","",'Paste SD Data'!C1524)</f>
        <v/>
      </c>
      <c r="E1527" s="27" t="str">
        <f>IF('Paste SD Data'!E1524="","",UPPER('Paste SD Data'!E1524))</f>
        <v/>
      </c>
      <c r="F1527" s="27" t="str">
        <f>IF('Paste SD Data'!G1524="","",UPPER('Paste SD Data'!G1524))</f>
        <v/>
      </c>
      <c r="G1527" s="27" t="str">
        <f>IF('Paste SD Data'!H1524="","",UPPER('Paste SD Data'!H1524))</f>
        <v/>
      </c>
      <c r="H1527" s="26" t="str">
        <f>IF('Paste SD Data'!I1524="","",IF('Paste SD Data'!I1524="M","BOY","GIRL"))</f>
        <v/>
      </c>
      <c r="I1527" s="28" t="str">
        <f>IF('Paste SD Data'!J1524="","",'Paste SD Data'!J1524)</f>
        <v/>
      </c>
      <c r="J1527" s="34">
        <f t="shared" si="23"/>
        <v>1953</v>
      </c>
      <c r="K1527" s="29" t="str">
        <f>IF('Paste SD Data'!O1524="","",'Paste SD Data'!O1524)</f>
        <v/>
      </c>
    </row>
    <row r="1528" spans="1:11" ht="30" customHeight="1" x14ac:dyDescent="0.25">
      <c r="A1528" s="25" t="str">
        <f>IF(Table1[[#This Row],[Name of Student]]="","",ROWS($A$1:A1524))</f>
        <v/>
      </c>
      <c r="B1528" s="26" t="str">
        <f>IF('Paste SD Data'!A1525="","",'Paste SD Data'!A1525)</f>
        <v/>
      </c>
      <c r="C1528" s="26" t="str">
        <f>IF('Paste SD Data'!B1525="","",'Paste SD Data'!B1525)</f>
        <v/>
      </c>
      <c r="D1528" s="26" t="str">
        <f>IF('Paste SD Data'!C1525="","",'Paste SD Data'!C1525)</f>
        <v/>
      </c>
      <c r="E1528" s="27" t="str">
        <f>IF('Paste SD Data'!E1525="","",UPPER('Paste SD Data'!E1525))</f>
        <v/>
      </c>
      <c r="F1528" s="27" t="str">
        <f>IF('Paste SD Data'!G1525="","",UPPER('Paste SD Data'!G1525))</f>
        <v/>
      </c>
      <c r="G1528" s="27" t="str">
        <f>IF('Paste SD Data'!H1525="","",UPPER('Paste SD Data'!H1525))</f>
        <v/>
      </c>
      <c r="H1528" s="26" t="str">
        <f>IF('Paste SD Data'!I1525="","",IF('Paste SD Data'!I1525="M","BOY","GIRL"))</f>
        <v/>
      </c>
      <c r="I1528" s="28" t="str">
        <f>IF('Paste SD Data'!J1525="","",'Paste SD Data'!J1525)</f>
        <v/>
      </c>
      <c r="J1528" s="34">
        <f t="shared" si="23"/>
        <v>1954</v>
      </c>
      <c r="K1528" s="29" t="str">
        <f>IF('Paste SD Data'!O1525="","",'Paste SD Data'!O1525)</f>
        <v/>
      </c>
    </row>
    <row r="1529" spans="1:11" ht="30" customHeight="1" x14ac:dyDescent="0.25">
      <c r="A1529" s="25" t="str">
        <f>IF(Table1[[#This Row],[Name of Student]]="","",ROWS($A$1:A1525))</f>
        <v/>
      </c>
      <c r="B1529" s="26" t="str">
        <f>IF('Paste SD Data'!A1526="","",'Paste SD Data'!A1526)</f>
        <v/>
      </c>
      <c r="C1529" s="26" t="str">
        <f>IF('Paste SD Data'!B1526="","",'Paste SD Data'!B1526)</f>
        <v/>
      </c>
      <c r="D1529" s="26" t="str">
        <f>IF('Paste SD Data'!C1526="","",'Paste SD Data'!C1526)</f>
        <v/>
      </c>
      <c r="E1529" s="27" t="str">
        <f>IF('Paste SD Data'!E1526="","",UPPER('Paste SD Data'!E1526))</f>
        <v/>
      </c>
      <c r="F1529" s="27" t="str">
        <f>IF('Paste SD Data'!G1526="","",UPPER('Paste SD Data'!G1526))</f>
        <v/>
      </c>
      <c r="G1529" s="27" t="str">
        <f>IF('Paste SD Data'!H1526="","",UPPER('Paste SD Data'!H1526))</f>
        <v/>
      </c>
      <c r="H1529" s="26" t="str">
        <f>IF('Paste SD Data'!I1526="","",IF('Paste SD Data'!I1526="M","BOY","GIRL"))</f>
        <v/>
      </c>
      <c r="I1529" s="28" t="str">
        <f>IF('Paste SD Data'!J1526="","",'Paste SD Data'!J1526)</f>
        <v/>
      </c>
      <c r="J1529" s="34">
        <f t="shared" si="23"/>
        <v>1955</v>
      </c>
      <c r="K1529" s="29" t="str">
        <f>IF('Paste SD Data'!O1526="","",'Paste SD Data'!O1526)</f>
        <v/>
      </c>
    </row>
    <row r="1530" spans="1:11" ht="30" customHeight="1" x14ac:dyDescent="0.25">
      <c r="A1530" s="25" t="str">
        <f>IF(Table1[[#This Row],[Name of Student]]="","",ROWS($A$1:A1526))</f>
        <v/>
      </c>
      <c r="B1530" s="26" t="str">
        <f>IF('Paste SD Data'!A1527="","",'Paste SD Data'!A1527)</f>
        <v/>
      </c>
      <c r="C1530" s="26" t="str">
        <f>IF('Paste SD Data'!B1527="","",'Paste SD Data'!B1527)</f>
        <v/>
      </c>
      <c r="D1530" s="26" t="str">
        <f>IF('Paste SD Data'!C1527="","",'Paste SD Data'!C1527)</f>
        <v/>
      </c>
      <c r="E1530" s="27" t="str">
        <f>IF('Paste SD Data'!E1527="","",UPPER('Paste SD Data'!E1527))</f>
        <v/>
      </c>
      <c r="F1530" s="27" t="str">
        <f>IF('Paste SD Data'!G1527="","",UPPER('Paste SD Data'!G1527))</f>
        <v/>
      </c>
      <c r="G1530" s="27" t="str">
        <f>IF('Paste SD Data'!H1527="","",UPPER('Paste SD Data'!H1527))</f>
        <v/>
      </c>
      <c r="H1530" s="26" t="str">
        <f>IF('Paste SD Data'!I1527="","",IF('Paste SD Data'!I1527="M","BOY","GIRL"))</f>
        <v/>
      </c>
      <c r="I1530" s="28" t="str">
        <f>IF('Paste SD Data'!J1527="","",'Paste SD Data'!J1527)</f>
        <v/>
      </c>
      <c r="J1530" s="34">
        <f t="shared" si="23"/>
        <v>1956</v>
      </c>
      <c r="K1530" s="29" t="str">
        <f>IF('Paste SD Data'!O1527="","",'Paste SD Data'!O1527)</f>
        <v/>
      </c>
    </row>
    <row r="1531" spans="1:11" ht="30" customHeight="1" x14ac:dyDescent="0.25">
      <c r="A1531" s="25" t="str">
        <f>IF(Table1[[#This Row],[Name of Student]]="","",ROWS($A$1:A1527))</f>
        <v/>
      </c>
      <c r="B1531" s="26" t="str">
        <f>IF('Paste SD Data'!A1528="","",'Paste SD Data'!A1528)</f>
        <v/>
      </c>
      <c r="C1531" s="26" t="str">
        <f>IF('Paste SD Data'!B1528="","",'Paste SD Data'!B1528)</f>
        <v/>
      </c>
      <c r="D1531" s="26" t="str">
        <f>IF('Paste SD Data'!C1528="","",'Paste SD Data'!C1528)</f>
        <v/>
      </c>
      <c r="E1531" s="27" t="str">
        <f>IF('Paste SD Data'!E1528="","",UPPER('Paste SD Data'!E1528))</f>
        <v/>
      </c>
      <c r="F1531" s="27" t="str">
        <f>IF('Paste SD Data'!G1528="","",UPPER('Paste SD Data'!G1528))</f>
        <v/>
      </c>
      <c r="G1531" s="27" t="str">
        <f>IF('Paste SD Data'!H1528="","",UPPER('Paste SD Data'!H1528))</f>
        <v/>
      </c>
      <c r="H1531" s="26" t="str">
        <f>IF('Paste SD Data'!I1528="","",IF('Paste SD Data'!I1528="M","BOY","GIRL"))</f>
        <v/>
      </c>
      <c r="I1531" s="28" t="str">
        <f>IF('Paste SD Data'!J1528="","",'Paste SD Data'!J1528)</f>
        <v/>
      </c>
      <c r="J1531" s="34">
        <f t="shared" si="23"/>
        <v>1957</v>
      </c>
      <c r="K1531" s="29" t="str">
        <f>IF('Paste SD Data'!O1528="","",'Paste SD Data'!O1528)</f>
        <v/>
      </c>
    </row>
    <row r="1532" spans="1:11" ht="30" customHeight="1" x14ac:dyDescent="0.25">
      <c r="A1532" s="25" t="str">
        <f>IF(Table1[[#This Row],[Name of Student]]="","",ROWS($A$1:A1528))</f>
        <v/>
      </c>
      <c r="B1532" s="26" t="str">
        <f>IF('Paste SD Data'!A1529="","",'Paste SD Data'!A1529)</f>
        <v/>
      </c>
      <c r="C1532" s="26" t="str">
        <f>IF('Paste SD Data'!B1529="","",'Paste SD Data'!B1529)</f>
        <v/>
      </c>
      <c r="D1532" s="26" t="str">
        <f>IF('Paste SD Data'!C1529="","",'Paste SD Data'!C1529)</f>
        <v/>
      </c>
      <c r="E1532" s="27" t="str">
        <f>IF('Paste SD Data'!E1529="","",UPPER('Paste SD Data'!E1529))</f>
        <v/>
      </c>
      <c r="F1532" s="27" t="str">
        <f>IF('Paste SD Data'!G1529="","",UPPER('Paste SD Data'!G1529))</f>
        <v/>
      </c>
      <c r="G1532" s="27" t="str">
        <f>IF('Paste SD Data'!H1529="","",UPPER('Paste SD Data'!H1529))</f>
        <v/>
      </c>
      <c r="H1532" s="26" t="str">
        <f>IF('Paste SD Data'!I1529="","",IF('Paste SD Data'!I1529="M","BOY","GIRL"))</f>
        <v/>
      </c>
      <c r="I1532" s="28" t="str">
        <f>IF('Paste SD Data'!J1529="","",'Paste SD Data'!J1529)</f>
        <v/>
      </c>
      <c r="J1532" s="34">
        <f t="shared" si="23"/>
        <v>1958</v>
      </c>
      <c r="K1532" s="29" t="str">
        <f>IF('Paste SD Data'!O1529="","",'Paste SD Data'!O1529)</f>
        <v/>
      </c>
    </row>
    <row r="1533" spans="1:11" ht="30" customHeight="1" x14ac:dyDescent="0.25">
      <c r="A1533" s="25" t="str">
        <f>IF(Table1[[#This Row],[Name of Student]]="","",ROWS($A$1:A1529))</f>
        <v/>
      </c>
      <c r="B1533" s="26" t="str">
        <f>IF('Paste SD Data'!A1530="","",'Paste SD Data'!A1530)</f>
        <v/>
      </c>
      <c r="C1533" s="26" t="str">
        <f>IF('Paste SD Data'!B1530="","",'Paste SD Data'!B1530)</f>
        <v/>
      </c>
      <c r="D1533" s="26" t="str">
        <f>IF('Paste SD Data'!C1530="","",'Paste SD Data'!C1530)</f>
        <v/>
      </c>
      <c r="E1533" s="27" t="str">
        <f>IF('Paste SD Data'!E1530="","",UPPER('Paste SD Data'!E1530))</f>
        <v/>
      </c>
      <c r="F1533" s="27" t="str">
        <f>IF('Paste SD Data'!G1530="","",UPPER('Paste SD Data'!G1530))</f>
        <v/>
      </c>
      <c r="G1533" s="27" t="str">
        <f>IF('Paste SD Data'!H1530="","",UPPER('Paste SD Data'!H1530))</f>
        <v/>
      </c>
      <c r="H1533" s="26" t="str">
        <f>IF('Paste SD Data'!I1530="","",IF('Paste SD Data'!I1530="M","BOY","GIRL"))</f>
        <v/>
      </c>
      <c r="I1533" s="28" t="str">
        <f>IF('Paste SD Data'!J1530="","",'Paste SD Data'!J1530)</f>
        <v/>
      </c>
      <c r="J1533" s="34">
        <f t="shared" si="23"/>
        <v>1959</v>
      </c>
      <c r="K1533" s="29" t="str">
        <f>IF('Paste SD Data'!O1530="","",'Paste SD Data'!O1530)</f>
        <v/>
      </c>
    </row>
    <row r="1534" spans="1:11" ht="30" customHeight="1" x14ac:dyDescent="0.25">
      <c r="A1534" s="25" t="str">
        <f>IF(Table1[[#This Row],[Name of Student]]="","",ROWS($A$1:A1530))</f>
        <v/>
      </c>
      <c r="B1534" s="26" t="str">
        <f>IF('Paste SD Data'!A1531="","",'Paste SD Data'!A1531)</f>
        <v/>
      </c>
      <c r="C1534" s="26" t="str">
        <f>IF('Paste SD Data'!B1531="","",'Paste SD Data'!B1531)</f>
        <v/>
      </c>
      <c r="D1534" s="26" t="str">
        <f>IF('Paste SD Data'!C1531="","",'Paste SD Data'!C1531)</f>
        <v/>
      </c>
      <c r="E1534" s="27" t="str">
        <f>IF('Paste SD Data'!E1531="","",UPPER('Paste SD Data'!E1531))</f>
        <v/>
      </c>
      <c r="F1534" s="27" t="str">
        <f>IF('Paste SD Data'!G1531="","",UPPER('Paste SD Data'!G1531))</f>
        <v/>
      </c>
      <c r="G1534" s="27" t="str">
        <f>IF('Paste SD Data'!H1531="","",UPPER('Paste SD Data'!H1531))</f>
        <v/>
      </c>
      <c r="H1534" s="26" t="str">
        <f>IF('Paste SD Data'!I1531="","",IF('Paste SD Data'!I1531="M","BOY","GIRL"))</f>
        <v/>
      </c>
      <c r="I1534" s="28" t="str">
        <f>IF('Paste SD Data'!J1531="","",'Paste SD Data'!J1531)</f>
        <v/>
      </c>
      <c r="J1534" s="34">
        <f t="shared" si="23"/>
        <v>1960</v>
      </c>
      <c r="K1534" s="29" t="str">
        <f>IF('Paste SD Data'!O1531="","",'Paste SD Data'!O1531)</f>
        <v/>
      </c>
    </row>
    <row r="1535" spans="1:11" ht="30" customHeight="1" x14ac:dyDescent="0.25">
      <c r="A1535" s="25" t="str">
        <f>IF(Table1[[#This Row],[Name of Student]]="","",ROWS($A$1:A1531))</f>
        <v/>
      </c>
      <c r="B1535" s="26" t="str">
        <f>IF('Paste SD Data'!A1532="","",'Paste SD Data'!A1532)</f>
        <v/>
      </c>
      <c r="C1535" s="26" t="str">
        <f>IF('Paste SD Data'!B1532="","",'Paste SD Data'!B1532)</f>
        <v/>
      </c>
      <c r="D1535" s="26" t="str">
        <f>IF('Paste SD Data'!C1532="","",'Paste SD Data'!C1532)</f>
        <v/>
      </c>
      <c r="E1535" s="27" t="str">
        <f>IF('Paste SD Data'!E1532="","",UPPER('Paste SD Data'!E1532))</f>
        <v/>
      </c>
      <c r="F1535" s="27" t="str">
        <f>IF('Paste SD Data'!G1532="","",UPPER('Paste SD Data'!G1532))</f>
        <v/>
      </c>
      <c r="G1535" s="27" t="str">
        <f>IF('Paste SD Data'!H1532="","",UPPER('Paste SD Data'!H1532))</f>
        <v/>
      </c>
      <c r="H1535" s="26" t="str">
        <f>IF('Paste SD Data'!I1532="","",IF('Paste SD Data'!I1532="M","BOY","GIRL"))</f>
        <v/>
      </c>
      <c r="I1535" s="28" t="str">
        <f>IF('Paste SD Data'!J1532="","",'Paste SD Data'!J1532)</f>
        <v/>
      </c>
      <c r="J1535" s="34">
        <f t="shared" si="23"/>
        <v>1961</v>
      </c>
      <c r="K1535" s="29" t="str">
        <f>IF('Paste SD Data'!O1532="","",'Paste SD Data'!O1532)</f>
        <v/>
      </c>
    </row>
    <row r="1536" spans="1:11" ht="30" customHeight="1" x14ac:dyDescent="0.25">
      <c r="A1536" s="25" t="str">
        <f>IF(Table1[[#This Row],[Name of Student]]="","",ROWS($A$1:A1532))</f>
        <v/>
      </c>
      <c r="B1536" s="26" t="str">
        <f>IF('Paste SD Data'!A1533="","",'Paste SD Data'!A1533)</f>
        <v/>
      </c>
      <c r="C1536" s="26" t="str">
        <f>IF('Paste SD Data'!B1533="","",'Paste SD Data'!B1533)</f>
        <v/>
      </c>
      <c r="D1536" s="26" t="str">
        <f>IF('Paste SD Data'!C1533="","",'Paste SD Data'!C1533)</f>
        <v/>
      </c>
      <c r="E1536" s="27" t="str">
        <f>IF('Paste SD Data'!E1533="","",UPPER('Paste SD Data'!E1533))</f>
        <v/>
      </c>
      <c r="F1536" s="27" t="str">
        <f>IF('Paste SD Data'!G1533="","",UPPER('Paste SD Data'!G1533))</f>
        <v/>
      </c>
      <c r="G1536" s="27" t="str">
        <f>IF('Paste SD Data'!H1533="","",UPPER('Paste SD Data'!H1533))</f>
        <v/>
      </c>
      <c r="H1536" s="26" t="str">
        <f>IF('Paste SD Data'!I1533="","",IF('Paste SD Data'!I1533="M","BOY","GIRL"))</f>
        <v/>
      </c>
      <c r="I1536" s="28" t="str">
        <f>IF('Paste SD Data'!J1533="","",'Paste SD Data'!J1533)</f>
        <v/>
      </c>
      <c r="J1536" s="34">
        <f t="shared" si="23"/>
        <v>1962</v>
      </c>
      <c r="K1536" s="29" t="str">
        <f>IF('Paste SD Data'!O1533="","",'Paste SD Data'!O1533)</f>
        <v/>
      </c>
    </row>
    <row r="1537" spans="1:11" ht="30" customHeight="1" x14ac:dyDescent="0.25">
      <c r="A1537" s="25" t="str">
        <f>IF(Table1[[#This Row],[Name of Student]]="","",ROWS($A$1:A1533))</f>
        <v/>
      </c>
      <c r="B1537" s="26" t="str">
        <f>IF('Paste SD Data'!A1534="","",'Paste SD Data'!A1534)</f>
        <v/>
      </c>
      <c r="C1537" s="26" t="str">
        <f>IF('Paste SD Data'!B1534="","",'Paste SD Data'!B1534)</f>
        <v/>
      </c>
      <c r="D1537" s="26" t="str">
        <f>IF('Paste SD Data'!C1534="","",'Paste SD Data'!C1534)</f>
        <v/>
      </c>
      <c r="E1537" s="27" t="str">
        <f>IF('Paste SD Data'!E1534="","",UPPER('Paste SD Data'!E1534))</f>
        <v/>
      </c>
      <c r="F1537" s="27" t="str">
        <f>IF('Paste SD Data'!G1534="","",UPPER('Paste SD Data'!G1534))</f>
        <v/>
      </c>
      <c r="G1537" s="27" t="str">
        <f>IF('Paste SD Data'!H1534="","",UPPER('Paste SD Data'!H1534))</f>
        <v/>
      </c>
      <c r="H1537" s="26" t="str">
        <f>IF('Paste SD Data'!I1534="","",IF('Paste SD Data'!I1534="M","BOY","GIRL"))</f>
        <v/>
      </c>
      <c r="I1537" s="28" t="str">
        <f>IF('Paste SD Data'!J1534="","",'Paste SD Data'!J1534)</f>
        <v/>
      </c>
      <c r="J1537" s="34">
        <f t="shared" si="23"/>
        <v>1963</v>
      </c>
      <c r="K1537" s="29" t="str">
        <f>IF('Paste SD Data'!O1534="","",'Paste SD Data'!O1534)</f>
        <v/>
      </c>
    </row>
    <row r="1538" spans="1:11" ht="30" customHeight="1" x14ac:dyDescent="0.25">
      <c r="A1538" s="25" t="str">
        <f>IF(Table1[[#This Row],[Name of Student]]="","",ROWS($A$1:A1534))</f>
        <v/>
      </c>
      <c r="B1538" s="26" t="str">
        <f>IF('Paste SD Data'!A1535="","",'Paste SD Data'!A1535)</f>
        <v/>
      </c>
      <c r="C1538" s="26" t="str">
        <f>IF('Paste SD Data'!B1535="","",'Paste SD Data'!B1535)</f>
        <v/>
      </c>
      <c r="D1538" s="26" t="str">
        <f>IF('Paste SD Data'!C1535="","",'Paste SD Data'!C1535)</f>
        <v/>
      </c>
      <c r="E1538" s="27" t="str">
        <f>IF('Paste SD Data'!E1535="","",UPPER('Paste SD Data'!E1535))</f>
        <v/>
      </c>
      <c r="F1538" s="27" t="str">
        <f>IF('Paste SD Data'!G1535="","",UPPER('Paste SD Data'!G1535))</f>
        <v/>
      </c>
      <c r="G1538" s="27" t="str">
        <f>IF('Paste SD Data'!H1535="","",UPPER('Paste SD Data'!H1535))</f>
        <v/>
      </c>
      <c r="H1538" s="26" t="str">
        <f>IF('Paste SD Data'!I1535="","",IF('Paste SD Data'!I1535="M","BOY","GIRL"))</f>
        <v/>
      </c>
      <c r="I1538" s="28" t="str">
        <f>IF('Paste SD Data'!J1535="","",'Paste SD Data'!J1535)</f>
        <v/>
      </c>
      <c r="J1538" s="34">
        <f t="shared" si="23"/>
        <v>1964</v>
      </c>
      <c r="K1538" s="29" t="str">
        <f>IF('Paste SD Data'!O1535="","",'Paste SD Data'!O1535)</f>
        <v/>
      </c>
    </row>
    <row r="1539" spans="1:11" ht="30" customHeight="1" x14ac:dyDescent="0.25">
      <c r="A1539" s="25" t="str">
        <f>IF(Table1[[#This Row],[Name of Student]]="","",ROWS($A$1:A1535))</f>
        <v/>
      </c>
      <c r="B1539" s="26" t="str">
        <f>IF('Paste SD Data'!A1536="","",'Paste SD Data'!A1536)</f>
        <v/>
      </c>
      <c r="C1539" s="26" t="str">
        <f>IF('Paste SD Data'!B1536="","",'Paste SD Data'!B1536)</f>
        <v/>
      </c>
      <c r="D1539" s="26" t="str">
        <f>IF('Paste SD Data'!C1536="","",'Paste SD Data'!C1536)</f>
        <v/>
      </c>
      <c r="E1539" s="27" t="str">
        <f>IF('Paste SD Data'!E1536="","",UPPER('Paste SD Data'!E1536))</f>
        <v/>
      </c>
      <c r="F1539" s="27" t="str">
        <f>IF('Paste SD Data'!G1536="","",UPPER('Paste SD Data'!G1536))</f>
        <v/>
      </c>
      <c r="G1539" s="27" t="str">
        <f>IF('Paste SD Data'!H1536="","",UPPER('Paste SD Data'!H1536))</f>
        <v/>
      </c>
      <c r="H1539" s="26" t="str">
        <f>IF('Paste SD Data'!I1536="","",IF('Paste SD Data'!I1536="M","BOY","GIRL"))</f>
        <v/>
      </c>
      <c r="I1539" s="28" t="str">
        <f>IF('Paste SD Data'!J1536="","",'Paste SD Data'!J1536)</f>
        <v/>
      </c>
      <c r="J1539" s="34">
        <f t="shared" si="23"/>
        <v>1965</v>
      </c>
      <c r="K1539" s="29" t="str">
        <f>IF('Paste SD Data'!O1536="","",'Paste SD Data'!O1536)</f>
        <v/>
      </c>
    </row>
    <row r="1540" spans="1:11" ht="30" customHeight="1" x14ac:dyDescent="0.25">
      <c r="A1540" s="25" t="str">
        <f>IF(Table1[[#This Row],[Name of Student]]="","",ROWS($A$1:A1536))</f>
        <v/>
      </c>
      <c r="B1540" s="26" t="str">
        <f>IF('Paste SD Data'!A1537="","",'Paste SD Data'!A1537)</f>
        <v/>
      </c>
      <c r="C1540" s="26" t="str">
        <f>IF('Paste SD Data'!B1537="","",'Paste SD Data'!B1537)</f>
        <v/>
      </c>
      <c r="D1540" s="26" t="str">
        <f>IF('Paste SD Data'!C1537="","",'Paste SD Data'!C1537)</f>
        <v/>
      </c>
      <c r="E1540" s="27" t="str">
        <f>IF('Paste SD Data'!E1537="","",UPPER('Paste SD Data'!E1537))</f>
        <v/>
      </c>
      <c r="F1540" s="27" t="str">
        <f>IF('Paste SD Data'!G1537="","",UPPER('Paste SD Data'!G1537))</f>
        <v/>
      </c>
      <c r="G1540" s="27" t="str">
        <f>IF('Paste SD Data'!H1537="","",UPPER('Paste SD Data'!H1537))</f>
        <v/>
      </c>
      <c r="H1540" s="26" t="str">
        <f>IF('Paste SD Data'!I1537="","",IF('Paste SD Data'!I1537="M","BOY","GIRL"))</f>
        <v/>
      </c>
      <c r="I1540" s="28" t="str">
        <f>IF('Paste SD Data'!J1537="","",'Paste SD Data'!J1537)</f>
        <v/>
      </c>
      <c r="J1540" s="34">
        <f t="shared" si="23"/>
        <v>1966</v>
      </c>
      <c r="K1540" s="29" t="str">
        <f>IF('Paste SD Data'!O1537="","",'Paste SD Data'!O1537)</f>
        <v/>
      </c>
    </row>
    <row r="1541" spans="1:11" ht="30" customHeight="1" x14ac:dyDescent="0.25">
      <c r="A1541" s="25" t="str">
        <f>IF(Table1[[#This Row],[Name of Student]]="","",ROWS($A$1:A1537))</f>
        <v/>
      </c>
      <c r="B1541" s="26" t="str">
        <f>IF('Paste SD Data'!A1538="","",'Paste SD Data'!A1538)</f>
        <v/>
      </c>
      <c r="C1541" s="26" t="str">
        <f>IF('Paste SD Data'!B1538="","",'Paste SD Data'!B1538)</f>
        <v/>
      </c>
      <c r="D1541" s="26" t="str">
        <f>IF('Paste SD Data'!C1538="","",'Paste SD Data'!C1538)</f>
        <v/>
      </c>
      <c r="E1541" s="27" t="str">
        <f>IF('Paste SD Data'!E1538="","",UPPER('Paste SD Data'!E1538))</f>
        <v/>
      </c>
      <c r="F1541" s="27" t="str">
        <f>IF('Paste SD Data'!G1538="","",UPPER('Paste SD Data'!G1538))</f>
        <v/>
      </c>
      <c r="G1541" s="27" t="str">
        <f>IF('Paste SD Data'!H1538="","",UPPER('Paste SD Data'!H1538))</f>
        <v/>
      </c>
      <c r="H1541" s="26" t="str">
        <f>IF('Paste SD Data'!I1538="","",IF('Paste SD Data'!I1538="M","BOY","GIRL"))</f>
        <v/>
      </c>
      <c r="I1541" s="28" t="str">
        <f>IF('Paste SD Data'!J1538="","",'Paste SD Data'!J1538)</f>
        <v/>
      </c>
      <c r="J1541" s="34">
        <f t="shared" si="23"/>
        <v>1967</v>
      </c>
      <c r="K1541" s="29" t="str">
        <f>IF('Paste SD Data'!O1538="","",'Paste SD Data'!O1538)</f>
        <v/>
      </c>
    </row>
    <row r="1542" spans="1:11" ht="30" customHeight="1" x14ac:dyDescent="0.25">
      <c r="A1542" s="25" t="str">
        <f>IF(Table1[[#This Row],[Name of Student]]="","",ROWS($A$1:A1538))</f>
        <v/>
      </c>
      <c r="B1542" s="26" t="str">
        <f>IF('Paste SD Data'!A1539="","",'Paste SD Data'!A1539)</f>
        <v/>
      </c>
      <c r="C1542" s="26" t="str">
        <f>IF('Paste SD Data'!B1539="","",'Paste SD Data'!B1539)</f>
        <v/>
      </c>
      <c r="D1542" s="26" t="str">
        <f>IF('Paste SD Data'!C1539="","",'Paste SD Data'!C1539)</f>
        <v/>
      </c>
      <c r="E1542" s="27" t="str">
        <f>IF('Paste SD Data'!E1539="","",UPPER('Paste SD Data'!E1539))</f>
        <v/>
      </c>
      <c r="F1542" s="27" t="str">
        <f>IF('Paste SD Data'!G1539="","",UPPER('Paste SD Data'!G1539))</f>
        <v/>
      </c>
      <c r="G1542" s="27" t="str">
        <f>IF('Paste SD Data'!H1539="","",UPPER('Paste SD Data'!H1539))</f>
        <v/>
      </c>
      <c r="H1542" s="26" t="str">
        <f>IF('Paste SD Data'!I1539="","",IF('Paste SD Data'!I1539="M","BOY","GIRL"))</f>
        <v/>
      </c>
      <c r="I1542" s="28" t="str">
        <f>IF('Paste SD Data'!J1539="","",'Paste SD Data'!J1539)</f>
        <v/>
      </c>
      <c r="J1542" s="34">
        <f t="shared" si="23"/>
        <v>1968</v>
      </c>
      <c r="K1542" s="29" t="str">
        <f>IF('Paste SD Data'!O1539="","",'Paste SD Data'!O1539)</f>
        <v/>
      </c>
    </row>
    <row r="1543" spans="1:11" ht="30" customHeight="1" x14ac:dyDescent="0.25">
      <c r="A1543" s="25" t="str">
        <f>IF(Table1[[#This Row],[Name of Student]]="","",ROWS($A$1:A1539))</f>
        <v/>
      </c>
      <c r="B1543" s="26" t="str">
        <f>IF('Paste SD Data'!A1540="","",'Paste SD Data'!A1540)</f>
        <v/>
      </c>
      <c r="C1543" s="26" t="str">
        <f>IF('Paste SD Data'!B1540="","",'Paste SD Data'!B1540)</f>
        <v/>
      </c>
      <c r="D1543" s="26" t="str">
        <f>IF('Paste SD Data'!C1540="","",'Paste SD Data'!C1540)</f>
        <v/>
      </c>
      <c r="E1543" s="27" t="str">
        <f>IF('Paste SD Data'!E1540="","",UPPER('Paste SD Data'!E1540))</f>
        <v/>
      </c>
      <c r="F1543" s="27" t="str">
        <f>IF('Paste SD Data'!G1540="","",UPPER('Paste SD Data'!G1540))</f>
        <v/>
      </c>
      <c r="G1543" s="27" t="str">
        <f>IF('Paste SD Data'!H1540="","",UPPER('Paste SD Data'!H1540))</f>
        <v/>
      </c>
      <c r="H1543" s="26" t="str">
        <f>IF('Paste SD Data'!I1540="","",IF('Paste SD Data'!I1540="M","BOY","GIRL"))</f>
        <v/>
      </c>
      <c r="I1543" s="28" t="str">
        <f>IF('Paste SD Data'!J1540="","",'Paste SD Data'!J1540)</f>
        <v/>
      </c>
      <c r="J1543" s="34">
        <f t="shared" ref="J1543:J1606" si="24">J1542+1</f>
        <v>1969</v>
      </c>
      <c r="K1543" s="29" t="str">
        <f>IF('Paste SD Data'!O1540="","",'Paste SD Data'!O1540)</f>
        <v/>
      </c>
    </row>
    <row r="1544" spans="1:11" ht="30" customHeight="1" x14ac:dyDescent="0.25">
      <c r="A1544" s="25" t="str">
        <f>IF(Table1[[#This Row],[Name of Student]]="","",ROWS($A$1:A1540))</f>
        <v/>
      </c>
      <c r="B1544" s="26" t="str">
        <f>IF('Paste SD Data'!A1541="","",'Paste SD Data'!A1541)</f>
        <v/>
      </c>
      <c r="C1544" s="26" t="str">
        <f>IF('Paste SD Data'!B1541="","",'Paste SD Data'!B1541)</f>
        <v/>
      </c>
      <c r="D1544" s="26" t="str">
        <f>IF('Paste SD Data'!C1541="","",'Paste SD Data'!C1541)</f>
        <v/>
      </c>
      <c r="E1544" s="27" t="str">
        <f>IF('Paste SD Data'!E1541="","",UPPER('Paste SD Data'!E1541))</f>
        <v/>
      </c>
      <c r="F1544" s="27" t="str">
        <f>IF('Paste SD Data'!G1541="","",UPPER('Paste SD Data'!G1541))</f>
        <v/>
      </c>
      <c r="G1544" s="27" t="str">
        <f>IF('Paste SD Data'!H1541="","",UPPER('Paste SD Data'!H1541))</f>
        <v/>
      </c>
      <c r="H1544" s="26" t="str">
        <f>IF('Paste SD Data'!I1541="","",IF('Paste SD Data'!I1541="M","BOY","GIRL"))</f>
        <v/>
      </c>
      <c r="I1544" s="28" t="str">
        <f>IF('Paste SD Data'!J1541="","",'Paste SD Data'!J1541)</f>
        <v/>
      </c>
      <c r="J1544" s="34">
        <f t="shared" si="24"/>
        <v>1970</v>
      </c>
      <c r="K1544" s="29" t="str">
        <f>IF('Paste SD Data'!O1541="","",'Paste SD Data'!O1541)</f>
        <v/>
      </c>
    </row>
    <row r="1545" spans="1:11" ht="30" customHeight="1" x14ac:dyDescent="0.25">
      <c r="A1545" s="25" t="str">
        <f>IF(Table1[[#This Row],[Name of Student]]="","",ROWS($A$1:A1541))</f>
        <v/>
      </c>
      <c r="B1545" s="26" t="str">
        <f>IF('Paste SD Data'!A1542="","",'Paste SD Data'!A1542)</f>
        <v/>
      </c>
      <c r="C1545" s="26" t="str">
        <f>IF('Paste SD Data'!B1542="","",'Paste SD Data'!B1542)</f>
        <v/>
      </c>
      <c r="D1545" s="26" t="str">
        <f>IF('Paste SD Data'!C1542="","",'Paste SD Data'!C1542)</f>
        <v/>
      </c>
      <c r="E1545" s="27" t="str">
        <f>IF('Paste SD Data'!E1542="","",UPPER('Paste SD Data'!E1542))</f>
        <v/>
      </c>
      <c r="F1545" s="27" t="str">
        <f>IF('Paste SD Data'!G1542="","",UPPER('Paste SD Data'!G1542))</f>
        <v/>
      </c>
      <c r="G1545" s="27" t="str">
        <f>IF('Paste SD Data'!H1542="","",UPPER('Paste SD Data'!H1542))</f>
        <v/>
      </c>
      <c r="H1545" s="26" t="str">
        <f>IF('Paste SD Data'!I1542="","",IF('Paste SD Data'!I1542="M","BOY","GIRL"))</f>
        <v/>
      </c>
      <c r="I1545" s="28" t="str">
        <f>IF('Paste SD Data'!J1542="","",'Paste SD Data'!J1542)</f>
        <v/>
      </c>
      <c r="J1545" s="34">
        <f t="shared" si="24"/>
        <v>1971</v>
      </c>
      <c r="K1545" s="29" t="str">
        <f>IF('Paste SD Data'!O1542="","",'Paste SD Data'!O1542)</f>
        <v/>
      </c>
    </row>
    <row r="1546" spans="1:11" ht="30" customHeight="1" x14ac:dyDescent="0.25">
      <c r="A1546" s="25" t="str">
        <f>IF(Table1[[#This Row],[Name of Student]]="","",ROWS($A$1:A1542))</f>
        <v/>
      </c>
      <c r="B1546" s="26" t="str">
        <f>IF('Paste SD Data'!A1543="","",'Paste SD Data'!A1543)</f>
        <v/>
      </c>
      <c r="C1546" s="26" t="str">
        <f>IF('Paste SD Data'!B1543="","",'Paste SD Data'!B1543)</f>
        <v/>
      </c>
      <c r="D1546" s="26" t="str">
        <f>IF('Paste SD Data'!C1543="","",'Paste SD Data'!C1543)</f>
        <v/>
      </c>
      <c r="E1546" s="27" t="str">
        <f>IF('Paste SD Data'!E1543="","",UPPER('Paste SD Data'!E1543))</f>
        <v/>
      </c>
      <c r="F1546" s="27" t="str">
        <f>IF('Paste SD Data'!G1543="","",UPPER('Paste SD Data'!G1543))</f>
        <v/>
      </c>
      <c r="G1546" s="27" t="str">
        <f>IF('Paste SD Data'!H1543="","",UPPER('Paste SD Data'!H1543))</f>
        <v/>
      </c>
      <c r="H1546" s="26" t="str">
        <f>IF('Paste SD Data'!I1543="","",IF('Paste SD Data'!I1543="M","BOY","GIRL"))</f>
        <v/>
      </c>
      <c r="I1546" s="28" t="str">
        <f>IF('Paste SD Data'!J1543="","",'Paste SD Data'!J1543)</f>
        <v/>
      </c>
      <c r="J1546" s="34">
        <f t="shared" si="24"/>
        <v>1972</v>
      </c>
      <c r="K1546" s="29" t="str">
        <f>IF('Paste SD Data'!O1543="","",'Paste SD Data'!O1543)</f>
        <v/>
      </c>
    </row>
    <row r="1547" spans="1:11" ht="30" customHeight="1" x14ac:dyDescent="0.25">
      <c r="A1547" s="25" t="str">
        <f>IF(Table1[[#This Row],[Name of Student]]="","",ROWS($A$1:A1543))</f>
        <v/>
      </c>
      <c r="B1547" s="26" t="str">
        <f>IF('Paste SD Data'!A1544="","",'Paste SD Data'!A1544)</f>
        <v/>
      </c>
      <c r="C1547" s="26" t="str">
        <f>IF('Paste SD Data'!B1544="","",'Paste SD Data'!B1544)</f>
        <v/>
      </c>
      <c r="D1547" s="26" t="str">
        <f>IF('Paste SD Data'!C1544="","",'Paste SD Data'!C1544)</f>
        <v/>
      </c>
      <c r="E1547" s="27" t="str">
        <f>IF('Paste SD Data'!E1544="","",UPPER('Paste SD Data'!E1544))</f>
        <v/>
      </c>
      <c r="F1547" s="27" t="str">
        <f>IF('Paste SD Data'!G1544="","",UPPER('Paste SD Data'!G1544))</f>
        <v/>
      </c>
      <c r="G1547" s="27" t="str">
        <f>IF('Paste SD Data'!H1544="","",UPPER('Paste SD Data'!H1544))</f>
        <v/>
      </c>
      <c r="H1547" s="26" t="str">
        <f>IF('Paste SD Data'!I1544="","",IF('Paste SD Data'!I1544="M","BOY","GIRL"))</f>
        <v/>
      </c>
      <c r="I1547" s="28" t="str">
        <f>IF('Paste SD Data'!J1544="","",'Paste SD Data'!J1544)</f>
        <v/>
      </c>
      <c r="J1547" s="34">
        <f t="shared" si="24"/>
        <v>1973</v>
      </c>
      <c r="K1547" s="29" t="str">
        <f>IF('Paste SD Data'!O1544="","",'Paste SD Data'!O1544)</f>
        <v/>
      </c>
    </row>
    <row r="1548" spans="1:11" ht="30" customHeight="1" x14ac:dyDescent="0.25">
      <c r="A1548" s="25" t="str">
        <f>IF(Table1[[#This Row],[Name of Student]]="","",ROWS($A$1:A1544))</f>
        <v/>
      </c>
      <c r="B1548" s="26" t="str">
        <f>IF('Paste SD Data'!A1545="","",'Paste SD Data'!A1545)</f>
        <v/>
      </c>
      <c r="C1548" s="26" t="str">
        <f>IF('Paste SD Data'!B1545="","",'Paste SD Data'!B1545)</f>
        <v/>
      </c>
      <c r="D1548" s="26" t="str">
        <f>IF('Paste SD Data'!C1545="","",'Paste SD Data'!C1545)</f>
        <v/>
      </c>
      <c r="E1548" s="27" t="str">
        <f>IF('Paste SD Data'!E1545="","",UPPER('Paste SD Data'!E1545))</f>
        <v/>
      </c>
      <c r="F1548" s="27" t="str">
        <f>IF('Paste SD Data'!G1545="","",UPPER('Paste SD Data'!G1545))</f>
        <v/>
      </c>
      <c r="G1548" s="27" t="str">
        <f>IF('Paste SD Data'!H1545="","",UPPER('Paste SD Data'!H1545))</f>
        <v/>
      </c>
      <c r="H1548" s="26" t="str">
        <f>IF('Paste SD Data'!I1545="","",IF('Paste SD Data'!I1545="M","BOY","GIRL"))</f>
        <v/>
      </c>
      <c r="I1548" s="28" t="str">
        <f>IF('Paste SD Data'!J1545="","",'Paste SD Data'!J1545)</f>
        <v/>
      </c>
      <c r="J1548" s="34">
        <f t="shared" si="24"/>
        <v>1974</v>
      </c>
      <c r="K1548" s="29" t="str">
        <f>IF('Paste SD Data'!O1545="","",'Paste SD Data'!O1545)</f>
        <v/>
      </c>
    </row>
    <row r="1549" spans="1:11" ht="30" customHeight="1" x14ac:dyDescent="0.25">
      <c r="A1549" s="25" t="str">
        <f>IF(Table1[[#This Row],[Name of Student]]="","",ROWS($A$1:A1545))</f>
        <v/>
      </c>
      <c r="B1549" s="26" t="str">
        <f>IF('Paste SD Data'!A1546="","",'Paste SD Data'!A1546)</f>
        <v/>
      </c>
      <c r="C1549" s="26" t="str">
        <f>IF('Paste SD Data'!B1546="","",'Paste SD Data'!B1546)</f>
        <v/>
      </c>
      <c r="D1549" s="26" t="str">
        <f>IF('Paste SD Data'!C1546="","",'Paste SD Data'!C1546)</f>
        <v/>
      </c>
      <c r="E1549" s="27" t="str">
        <f>IF('Paste SD Data'!E1546="","",UPPER('Paste SD Data'!E1546))</f>
        <v/>
      </c>
      <c r="F1549" s="27" t="str">
        <f>IF('Paste SD Data'!G1546="","",UPPER('Paste SD Data'!G1546))</f>
        <v/>
      </c>
      <c r="G1549" s="27" t="str">
        <f>IF('Paste SD Data'!H1546="","",UPPER('Paste SD Data'!H1546))</f>
        <v/>
      </c>
      <c r="H1549" s="26" t="str">
        <f>IF('Paste SD Data'!I1546="","",IF('Paste SD Data'!I1546="M","BOY","GIRL"))</f>
        <v/>
      </c>
      <c r="I1549" s="28" t="str">
        <f>IF('Paste SD Data'!J1546="","",'Paste SD Data'!J1546)</f>
        <v/>
      </c>
      <c r="J1549" s="34">
        <f t="shared" si="24"/>
        <v>1975</v>
      </c>
      <c r="K1549" s="29" t="str">
        <f>IF('Paste SD Data'!O1546="","",'Paste SD Data'!O1546)</f>
        <v/>
      </c>
    </row>
    <row r="1550" spans="1:11" ht="30" customHeight="1" x14ac:dyDescent="0.25">
      <c r="A1550" s="25" t="str">
        <f>IF(Table1[[#This Row],[Name of Student]]="","",ROWS($A$1:A1546))</f>
        <v/>
      </c>
      <c r="B1550" s="26" t="str">
        <f>IF('Paste SD Data'!A1547="","",'Paste SD Data'!A1547)</f>
        <v/>
      </c>
      <c r="C1550" s="26" t="str">
        <f>IF('Paste SD Data'!B1547="","",'Paste SD Data'!B1547)</f>
        <v/>
      </c>
      <c r="D1550" s="26" t="str">
        <f>IF('Paste SD Data'!C1547="","",'Paste SD Data'!C1547)</f>
        <v/>
      </c>
      <c r="E1550" s="27" t="str">
        <f>IF('Paste SD Data'!E1547="","",UPPER('Paste SD Data'!E1547))</f>
        <v/>
      </c>
      <c r="F1550" s="27" t="str">
        <f>IF('Paste SD Data'!G1547="","",UPPER('Paste SD Data'!G1547))</f>
        <v/>
      </c>
      <c r="G1550" s="27" t="str">
        <f>IF('Paste SD Data'!H1547="","",UPPER('Paste SD Data'!H1547))</f>
        <v/>
      </c>
      <c r="H1550" s="26" t="str">
        <f>IF('Paste SD Data'!I1547="","",IF('Paste SD Data'!I1547="M","BOY","GIRL"))</f>
        <v/>
      </c>
      <c r="I1550" s="28" t="str">
        <f>IF('Paste SD Data'!J1547="","",'Paste SD Data'!J1547)</f>
        <v/>
      </c>
      <c r="J1550" s="34">
        <f t="shared" si="24"/>
        <v>1976</v>
      </c>
      <c r="K1550" s="29" t="str">
        <f>IF('Paste SD Data'!O1547="","",'Paste SD Data'!O1547)</f>
        <v/>
      </c>
    </row>
    <row r="1551" spans="1:11" ht="30" customHeight="1" x14ac:dyDescent="0.25">
      <c r="A1551" s="25" t="str">
        <f>IF(Table1[[#This Row],[Name of Student]]="","",ROWS($A$1:A1547))</f>
        <v/>
      </c>
      <c r="B1551" s="26" t="str">
        <f>IF('Paste SD Data'!A1548="","",'Paste SD Data'!A1548)</f>
        <v/>
      </c>
      <c r="C1551" s="26" t="str">
        <f>IF('Paste SD Data'!B1548="","",'Paste SD Data'!B1548)</f>
        <v/>
      </c>
      <c r="D1551" s="26" t="str">
        <f>IF('Paste SD Data'!C1548="","",'Paste SD Data'!C1548)</f>
        <v/>
      </c>
      <c r="E1551" s="27" t="str">
        <f>IF('Paste SD Data'!E1548="","",UPPER('Paste SD Data'!E1548))</f>
        <v/>
      </c>
      <c r="F1551" s="27" t="str">
        <f>IF('Paste SD Data'!G1548="","",UPPER('Paste SD Data'!G1548))</f>
        <v/>
      </c>
      <c r="G1551" s="27" t="str">
        <f>IF('Paste SD Data'!H1548="","",UPPER('Paste SD Data'!H1548))</f>
        <v/>
      </c>
      <c r="H1551" s="26" t="str">
        <f>IF('Paste SD Data'!I1548="","",IF('Paste SD Data'!I1548="M","BOY","GIRL"))</f>
        <v/>
      </c>
      <c r="I1551" s="28" t="str">
        <f>IF('Paste SD Data'!J1548="","",'Paste SD Data'!J1548)</f>
        <v/>
      </c>
      <c r="J1551" s="34">
        <f t="shared" si="24"/>
        <v>1977</v>
      </c>
      <c r="K1551" s="29" t="str">
        <f>IF('Paste SD Data'!O1548="","",'Paste SD Data'!O1548)</f>
        <v/>
      </c>
    </row>
    <row r="1552" spans="1:11" ht="30" customHeight="1" x14ac:dyDescent="0.25">
      <c r="A1552" s="25" t="str">
        <f>IF(Table1[[#This Row],[Name of Student]]="","",ROWS($A$1:A1548))</f>
        <v/>
      </c>
      <c r="B1552" s="26" t="str">
        <f>IF('Paste SD Data'!A1549="","",'Paste SD Data'!A1549)</f>
        <v/>
      </c>
      <c r="C1552" s="26" t="str">
        <f>IF('Paste SD Data'!B1549="","",'Paste SD Data'!B1549)</f>
        <v/>
      </c>
      <c r="D1552" s="26" t="str">
        <f>IF('Paste SD Data'!C1549="","",'Paste SD Data'!C1549)</f>
        <v/>
      </c>
      <c r="E1552" s="27" t="str">
        <f>IF('Paste SD Data'!E1549="","",UPPER('Paste SD Data'!E1549))</f>
        <v/>
      </c>
      <c r="F1552" s="27" t="str">
        <f>IF('Paste SD Data'!G1549="","",UPPER('Paste SD Data'!G1549))</f>
        <v/>
      </c>
      <c r="G1552" s="27" t="str">
        <f>IF('Paste SD Data'!H1549="","",UPPER('Paste SD Data'!H1549))</f>
        <v/>
      </c>
      <c r="H1552" s="26" t="str">
        <f>IF('Paste SD Data'!I1549="","",IF('Paste SD Data'!I1549="M","BOY","GIRL"))</f>
        <v/>
      </c>
      <c r="I1552" s="28" t="str">
        <f>IF('Paste SD Data'!J1549="","",'Paste SD Data'!J1549)</f>
        <v/>
      </c>
      <c r="J1552" s="34">
        <f t="shared" si="24"/>
        <v>1978</v>
      </c>
      <c r="K1552" s="29" t="str">
        <f>IF('Paste SD Data'!O1549="","",'Paste SD Data'!O1549)</f>
        <v/>
      </c>
    </row>
    <row r="1553" spans="1:11" ht="30" customHeight="1" x14ac:dyDescent="0.25">
      <c r="A1553" s="25" t="str">
        <f>IF(Table1[[#This Row],[Name of Student]]="","",ROWS($A$1:A1549))</f>
        <v/>
      </c>
      <c r="B1553" s="26" t="str">
        <f>IF('Paste SD Data'!A1550="","",'Paste SD Data'!A1550)</f>
        <v/>
      </c>
      <c r="C1553" s="26" t="str">
        <f>IF('Paste SD Data'!B1550="","",'Paste SD Data'!B1550)</f>
        <v/>
      </c>
      <c r="D1553" s="26" t="str">
        <f>IF('Paste SD Data'!C1550="","",'Paste SD Data'!C1550)</f>
        <v/>
      </c>
      <c r="E1553" s="27" t="str">
        <f>IF('Paste SD Data'!E1550="","",UPPER('Paste SD Data'!E1550))</f>
        <v/>
      </c>
      <c r="F1553" s="27" t="str">
        <f>IF('Paste SD Data'!G1550="","",UPPER('Paste SD Data'!G1550))</f>
        <v/>
      </c>
      <c r="G1553" s="27" t="str">
        <f>IF('Paste SD Data'!H1550="","",UPPER('Paste SD Data'!H1550))</f>
        <v/>
      </c>
      <c r="H1553" s="26" t="str">
        <f>IF('Paste SD Data'!I1550="","",IF('Paste SD Data'!I1550="M","BOY","GIRL"))</f>
        <v/>
      </c>
      <c r="I1553" s="28" t="str">
        <f>IF('Paste SD Data'!J1550="","",'Paste SD Data'!J1550)</f>
        <v/>
      </c>
      <c r="J1553" s="34">
        <f t="shared" si="24"/>
        <v>1979</v>
      </c>
      <c r="K1553" s="29" t="str">
        <f>IF('Paste SD Data'!O1550="","",'Paste SD Data'!O1550)</f>
        <v/>
      </c>
    </row>
    <row r="1554" spans="1:11" ht="30" customHeight="1" x14ac:dyDescent="0.25">
      <c r="A1554" s="25" t="str">
        <f>IF(Table1[[#This Row],[Name of Student]]="","",ROWS($A$1:A1550))</f>
        <v/>
      </c>
      <c r="B1554" s="26" t="str">
        <f>IF('Paste SD Data'!A1551="","",'Paste SD Data'!A1551)</f>
        <v/>
      </c>
      <c r="C1554" s="26" t="str">
        <f>IF('Paste SD Data'!B1551="","",'Paste SD Data'!B1551)</f>
        <v/>
      </c>
      <c r="D1554" s="26" t="str">
        <f>IF('Paste SD Data'!C1551="","",'Paste SD Data'!C1551)</f>
        <v/>
      </c>
      <c r="E1554" s="27" t="str">
        <f>IF('Paste SD Data'!E1551="","",UPPER('Paste SD Data'!E1551))</f>
        <v/>
      </c>
      <c r="F1554" s="27" t="str">
        <f>IF('Paste SD Data'!G1551="","",UPPER('Paste SD Data'!G1551))</f>
        <v/>
      </c>
      <c r="G1554" s="27" t="str">
        <f>IF('Paste SD Data'!H1551="","",UPPER('Paste SD Data'!H1551))</f>
        <v/>
      </c>
      <c r="H1554" s="26" t="str">
        <f>IF('Paste SD Data'!I1551="","",IF('Paste SD Data'!I1551="M","BOY","GIRL"))</f>
        <v/>
      </c>
      <c r="I1554" s="28" t="str">
        <f>IF('Paste SD Data'!J1551="","",'Paste SD Data'!J1551)</f>
        <v/>
      </c>
      <c r="J1554" s="34">
        <f t="shared" si="24"/>
        <v>1980</v>
      </c>
      <c r="K1554" s="29" t="str">
        <f>IF('Paste SD Data'!O1551="","",'Paste SD Data'!O1551)</f>
        <v/>
      </c>
    </row>
    <row r="1555" spans="1:11" ht="30" customHeight="1" x14ac:dyDescent="0.25">
      <c r="A1555" s="25" t="str">
        <f>IF(Table1[[#This Row],[Name of Student]]="","",ROWS($A$1:A1551))</f>
        <v/>
      </c>
      <c r="B1555" s="26" t="str">
        <f>IF('Paste SD Data'!A1552="","",'Paste SD Data'!A1552)</f>
        <v/>
      </c>
      <c r="C1555" s="26" t="str">
        <f>IF('Paste SD Data'!B1552="","",'Paste SD Data'!B1552)</f>
        <v/>
      </c>
      <c r="D1555" s="26" t="str">
        <f>IF('Paste SD Data'!C1552="","",'Paste SD Data'!C1552)</f>
        <v/>
      </c>
      <c r="E1555" s="27" t="str">
        <f>IF('Paste SD Data'!E1552="","",UPPER('Paste SD Data'!E1552))</f>
        <v/>
      </c>
      <c r="F1555" s="27" t="str">
        <f>IF('Paste SD Data'!G1552="","",UPPER('Paste SD Data'!G1552))</f>
        <v/>
      </c>
      <c r="G1555" s="27" t="str">
        <f>IF('Paste SD Data'!H1552="","",UPPER('Paste SD Data'!H1552))</f>
        <v/>
      </c>
      <c r="H1555" s="26" t="str">
        <f>IF('Paste SD Data'!I1552="","",IF('Paste SD Data'!I1552="M","BOY","GIRL"))</f>
        <v/>
      </c>
      <c r="I1555" s="28" t="str">
        <f>IF('Paste SD Data'!J1552="","",'Paste SD Data'!J1552)</f>
        <v/>
      </c>
      <c r="J1555" s="34">
        <f t="shared" si="24"/>
        <v>1981</v>
      </c>
      <c r="K1555" s="29" t="str">
        <f>IF('Paste SD Data'!O1552="","",'Paste SD Data'!O1552)</f>
        <v/>
      </c>
    </row>
    <row r="1556" spans="1:11" ht="30" customHeight="1" x14ac:dyDescent="0.25">
      <c r="A1556" s="25" t="str">
        <f>IF(Table1[[#This Row],[Name of Student]]="","",ROWS($A$1:A1552))</f>
        <v/>
      </c>
      <c r="B1556" s="26" t="str">
        <f>IF('Paste SD Data'!A1553="","",'Paste SD Data'!A1553)</f>
        <v/>
      </c>
      <c r="C1556" s="26" t="str">
        <f>IF('Paste SD Data'!B1553="","",'Paste SD Data'!B1553)</f>
        <v/>
      </c>
      <c r="D1556" s="26" t="str">
        <f>IF('Paste SD Data'!C1553="","",'Paste SD Data'!C1553)</f>
        <v/>
      </c>
      <c r="E1556" s="27" t="str">
        <f>IF('Paste SD Data'!E1553="","",UPPER('Paste SD Data'!E1553))</f>
        <v/>
      </c>
      <c r="F1556" s="27" t="str">
        <f>IF('Paste SD Data'!G1553="","",UPPER('Paste SD Data'!G1553))</f>
        <v/>
      </c>
      <c r="G1556" s="27" t="str">
        <f>IF('Paste SD Data'!H1553="","",UPPER('Paste SD Data'!H1553))</f>
        <v/>
      </c>
      <c r="H1556" s="26" t="str">
        <f>IF('Paste SD Data'!I1553="","",IF('Paste SD Data'!I1553="M","BOY","GIRL"))</f>
        <v/>
      </c>
      <c r="I1556" s="28" t="str">
        <f>IF('Paste SD Data'!J1553="","",'Paste SD Data'!J1553)</f>
        <v/>
      </c>
      <c r="J1556" s="34">
        <f t="shared" si="24"/>
        <v>1982</v>
      </c>
      <c r="K1556" s="29" t="str">
        <f>IF('Paste SD Data'!O1553="","",'Paste SD Data'!O1553)</f>
        <v/>
      </c>
    </row>
    <row r="1557" spans="1:11" ht="30" customHeight="1" x14ac:dyDescent="0.25">
      <c r="A1557" s="25" t="str">
        <f>IF(Table1[[#This Row],[Name of Student]]="","",ROWS($A$1:A1553))</f>
        <v/>
      </c>
      <c r="B1557" s="26" t="str">
        <f>IF('Paste SD Data'!A1554="","",'Paste SD Data'!A1554)</f>
        <v/>
      </c>
      <c r="C1557" s="26" t="str">
        <f>IF('Paste SD Data'!B1554="","",'Paste SD Data'!B1554)</f>
        <v/>
      </c>
      <c r="D1557" s="26" t="str">
        <f>IF('Paste SD Data'!C1554="","",'Paste SD Data'!C1554)</f>
        <v/>
      </c>
      <c r="E1557" s="27" t="str">
        <f>IF('Paste SD Data'!E1554="","",UPPER('Paste SD Data'!E1554))</f>
        <v/>
      </c>
      <c r="F1557" s="27" t="str">
        <f>IF('Paste SD Data'!G1554="","",UPPER('Paste SD Data'!G1554))</f>
        <v/>
      </c>
      <c r="G1557" s="27" t="str">
        <f>IF('Paste SD Data'!H1554="","",UPPER('Paste SD Data'!H1554))</f>
        <v/>
      </c>
      <c r="H1557" s="26" t="str">
        <f>IF('Paste SD Data'!I1554="","",IF('Paste SD Data'!I1554="M","BOY","GIRL"))</f>
        <v/>
      </c>
      <c r="I1557" s="28" t="str">
        <f>IF('Paste SD Data'!J1554="","",'Paste SD Data'!J1554)</f>
        <v/>
      </c>
      <c r="J1557" s="34">
        <f t="shared" si="24"/>
        <v>1983</v>
      </c>
      <c r="K1557" s="29" t="str">
        <f>IF('Paste SD Data'!O1554="","",'Paste SD Data'!O1554)</f>
        <v/>
      </c>
    </row>
    <row r="1558" spans="1:11" ht="30" customHeight="1" x14ac:dyDescent="0.25">
      <c r="A1558" s="25" t="str">
        <f>IF(Table1[[#This Row],[Name of Student]]="","",ROWS($A$1:A1554))</f>
        <v/>
      </c>
      <c r="B1558" s="26" t="str">
        <f>IF('Paste SD Data'!A1555="","",'Paste SD Data'!A1555)</f>
        <v/>
      </c>
      <c r="C1558" s="26" t="str">
        <f>IF('Paste SD Data'!B1555="","",'Paste SD Data'!B1555)</f>
        <v/>
      </c>
      <c r="D1558" s="26" t="str">
        <f>IF('Paste SD Data'!C1555="","",'Paste SD Data'!C1555)</f>
        <v/>
      </c>
      <c r="E1558" s="27" t="str">
        <f>IF('Paste SD Data'!E1555="","",UPPER('Paste SD Data'!E1555))</f>
        <v/>
      </c>
      <c r="F1558" s="27" t="str">
        <f>IF('Paste SD Data'!G1555="","",UPPER('Paste SD Data'!G1555))</f>
        <v/>
      </c>
      <c r="G1558" s="27" t="str">
        <f>IF('Paste SD Data'!H1555="","",UPPER('Paste SD Data'!H1555))</f>
        <v/>
      </c>
      <c r="H1558" s="26" t="str">
        <f>IF('Paste SD Data'!I1555="","",IF('Paste SD Data'!I1555="M","BOY","GIRL"))</f>
        <v/>
      </c>
      <c r="I1558" s="28" t="str">
        <f>IF('Paste SD Data'!J1555="","",'Paste SD Data'!J1555)</f>
        <v/>
      </c>
      <c r="J1558" s="34">
        <f t="shared" si="24"/>
        <v>1984</v>
      </c>
      <c r="K1558" s="29" t="str">
        <f>IF('Paste SD Data'!O1555="","",'Paste SD Data'!O1555)</f>
        <v/>
      </c>
    </row>
    <row r="1559" spans="1:11" ht="30" customHeight="1" x14ac:dyDescent="0.25">
      <c r="A1559" s="25" t="str">
        <f>IF(Table1[[#This Row],[Name of Student]]="","",ROWS($A$1:A1555))</f>
        <v/>
      </c>
      <c r="B1559" s="26" t="str">
        <f>IF('Paste SD Data'!A1556="","",'Paste SD Data'!A1556)</f>
        <v/>
      </c>
      <c r="C1559" s="26" t="str">
        <f>IF('Paste SD Data'!B1556="","",'Paste SD Data'!B1556)</f>
        <v/>
      </c>
      <c r="D1559" s="26" t="str">
        <f>IF('Paste SD Data'!C1556="","",'Paste SD Data'!C1556)</f>
        <v/>
      </c>
      <c r="E1559" s="27" t="str">
        <f>IF('Paste SD Data'!E1556="","",UPPER('Paste SD Data'!E1556))</f>
        <v/>
      </c>
      <c r="F1559" s="27" t="str">
        <f>IF('Paste SD Data'!G1556="","",UPPER('Paste SD Data'!G1556))</f>
        <v/>
      </c>
      <c r="G1559" s="27" t="str">
        <f>IF('Paste SD Data'!H1556="","",UPPER('Paste SD Data'!H1556))</f>
        <v/>
      </c>
      <c r="H1559" s="26" t="str">
        <f>IF('Paste SD Data'!I1556="","",IF('Paste SD Data'!I1556="M","BOY","GIRL"))</f>
        <v/>
      </c>
      <c r="I1559" s="28" t="str">
        <f>IF('Paste SD Data'!J1556="","",'Paste SD Data'!J1556)</f>
        <v/>
      </c>
      <c r="J1559" s="34">
        <f t="shared" si="24"/>
        <v>1985</v>
      </c>
      <c r="K1559" s="29" t="str">
        <f>IF('Paste SD Data'!O1556="","",'Paste SD Data'!O1556)</f>
        <v/>
      </c>
    </row>
    <row r="1560" spans="1:11" ht="30" customHeight="1" x14ac:dyDescent="0.25">
      <c r="A1560" s="25" t="str">
        <f>IF(Table1[[#This Row],[Name of Student]]="","",ROWS($A$1:A1556))</f>
        <v/>
      </c>
      <c r="B1560" s="26" t="str">
        <f>IF('Paste SD Data'!A1557="","",'Paste SD Data'!A1557)</f>
        <v/>
      </c>
      <c r="C1560" s="26" t="str">
        <f>IF('Paste SD Data'!B1557="","",'Paste SD Data'!B1557)</f>
        <v/>
      </c>
      <c r="D1560" s="26" t="str">
        <f>IF('Paste SD Data'!C1557="","",'Paste SD Data'!C1557)</f>
        <v/>
      </c>
      <c r="E1560" s="27" t="str">
        <f>IF('Paste SD Data'!E1557="","",UPPER('Paste SD Data'!E1557))</f>
        <v/>
      </c>
      <c r="F1560" s="27" t="str">
        <f>IF('Paste SD Data'!G1557="","",UPPER('Paste SD Data'!G1557))</f>
        <v/>
      </c>
      <c r="G1560" s="27" t="str">
        <f>IF('Paste SD Data'!H1557="","",UPPER('Paste SD Data'!H1557))</f>
        <v/>
      </c>
      <c r="H1560" s="26" t="str">
        <f>IF('Paste SD Data'!I1557="","",IF('Paste SD Data'!I1557="M","BOY","GIRL"))</f>
        <v/>
      </c>
      <c r="I1560" s="28" t="str">
        <f>IF('Paste SD Data'!J1557="","",'Paste SD Data'!J1557)</f>
        <v/>
      </c>
      <c r="J1560" s="34">
        <f t="shared" si="24"/>
        <v>1986</v>
      </c>
      <c r="K1560" s="29" t="str">
        <f>IF('Paste SD Data'!O1557="","",'Paste SD Data'!O1557)</f>
        <v/>
      </c>
    </row>
    <row r="1561" spans="1:11" ht="30" customHeight="1" x14ac:dyDescent="0.25">
      <c r="A1561" s="25" t="str">
        <f>IF(Table1[[#This Row],[Name of Student]]="","",ROWS($A$1:A1557))</f>
        <v/>
      </c>
      <c r="B1561" s="26" t="str">
        <f>IF('Paste SD Data'!A1558="","",'Paste SD Data'!A1558)</f>
        <v/>
      </c>
      <c r="C1561" s="26" t="str">
        <f>IF('Paste SD Data'!B1558="","",'Paste SD Data'!B1558)</f>
        <v/>
      </c>
      <c r="D1561" s="26" t="str">
        <f>IF('Paste SD Data'!C1558="","",'Paste SD Data'!C1558)</f>
        <v/>
      </c>
      <c r="E1561" s="27" t="str">
        <f>IF('Paste SD Data'!E1558="","",UPPER('Paste SD Data'!E1558))</f>
        <v/>
      </c>
      <c r="F1561" s="27" t="str">
        <f>IF('Paste SD Data'!G1558="","",UPPER('Paste SD Data'!G1558))</f>
        <v/>
      </c>
      <c r="G1561" s="27" t="str">
        <f>IF('Paste SD Data'!H1558="","",UPPER('Paste SD Data'!H1558))</f>
        <v/>
      </c>
      <c r="H1561" s="26" t="str">
        <f>IF('Paste SD Data'!I1558="","",IF('Paste SD Data'!I1558="M","BOY","GIRL"))</f>
        <v/>
      </c>
      <c r="I1561" s="28" t="str">
        <f>IF('Paste SD Data'!J1558="","",'Paste SD Data'!J1558)</f>
        <v/>
      </c>
      <c r="J1561" s="34">
        <f t="shared" si="24"/>
        <v>1987</v>
      </c>
      <c r="K1561" s="29" t="str">
        <f>IF('Paste SD Data'!O1558="","",'Paste SD Data'!O1558)</f>
        <v/>
      </c>
    </row>
    <row r="1562" spans="1:11" ht="30" customHeight="1" x14ac:dyDescent="0.25">
      <c r="A1562" s="25" t="str">
        <f>IF(Table1[[#This Row],[Name of Student]]="","",ROWS($A$1:A1558))</f>
        <v/>
      </c>
      <c r="B1562" s="26" t="str">
        <f>IF('Paste SD Data'!A1559="","",'Paste SD Data'!A1559)</f>
        <v/>
      </c>
      <c r="C1562" s="26" t="str">
        <f>IF('Paste SD Data'!B1559="","",'Paste SD Data'!B1559)</f>
        <v/>
      </c>
      <c r="D1562" s="26" t="str">
        <f>IF('Paste SD Data'!C1559="","",'Paste SD Data'!C1559)</f>
        <v/>
      </c>
      <c r="E1562" s="27" t="str">
        <f>IF('Paste SD Data'!E1559="","",UPPER('Paste SD Data'!E1559))</f>
        <v/>
      </c>
      <c r="F1562" s="27" t="str">
        <f>IF('Paste SD Data'!G1559="","",UPPER('Paste SD Data'!G1559))</f>
        <v/>
      </c>
      <c r="G1562" s="27" t="str">
        <f>IF('Paste SD Data'!H1559="","",UPPER('Paste SD Data'!H1559))</f>
        <v/>
      </c>
      <c r="H1562" s="26" t="str">
        <f>IF('Paste SD Data'!I1559="","",IF('Paste SD Data'!I1559="M","BOY","GIRL"))</f>
        <v/>
      </c>
      <c r="I1562" s="28" t="str">
        <f>IF('Paste SD Data'!J1559="","",'Paste SD Data'!J1559)</f>
        <v/>
      </c>
      <c r="J1562" s="34">
        <f t="shared" si="24"/>
        <v>1988</v>
      </c>
      <c r="K1562" s="29" t="str">
        <f>IF('Paste SD Data'!O1559="","",'Paste SD Data'!O1559)</f>
        <v/>
      </c>
    </row>
    <row r="1563" spans="1:11" ht="30" customHeight="1" x14ac:dyDescent="0.25">
      <c r="A1563" s="25" t="str">
        <f>IF(Table1[[#This Row],[Name of Student]]="","",ROWS($A$1:A1559))</f>
        <v/>
      </c>
      <c r="B1563" s="26" t="str">
        <f>IF('Paste SD Data'!A1560="","",'Paste SD Data'!A1560)</f>
        <v/>
      </c>
      <c r="C1563" s="26" t="str">
        <f>IF('Paste SD Data'!B1560="","",'Paste SD Data'!B1560)</f>
        <v/>
      </c>
      <c r="D1563" s="26" t="str">
        <f>IF('Paste SD Data'!C1560="","",'Paste SD Data'!C1560)</f>
        <v/>
      </c>
      <c r="E1563" s="27" t="str">
        <f>IF('Paste SD Data'!E1560="","",UPPER('Paste SD Data'!E1560))</f>
        <v/>
      </c>
      <c r="F1563" s="27" t="str">
        <f>IF('Paste SD Data'!G1560="","",UPPER('Paste SD Data'!G1560))</f>
        <v/>
      </c>
      <c r="G1563" s="27" t="str">
        <f>IF('Paste SD Data'!H1560="","",UPPER('Paste SD Data'!H1560))</f>
        <v/>
      </c>
      <c r="H1563" s="26" t="str">
        <f>IF('Paste SD Data'!I1560="","",IF('Paste SD Data'!I1560="M","BOY","GIRL"))</f>
        <v/>
      </c>
      <c r="I1563" s="28" t="str">
        <f>IF('Paste SD Data'!J1560="","",'Paste SD Data'!J1560)</f>
        <v/>
      </c>
      <c r="J1563" s="34">
        <f t="shared" si="24"/>
        <v>1989</v>
      </c>
      <c r="K1563" s="29" t="str">
        <f>IF('Paste SD Data'!O1560="","",'Paste SD Data'!O1560)</f>
        <v/>
      </c>
    </row>
    <row r="1564" spans="1:11" ht="30" customHeight="1" x14ac:dyDescent="0.25">
      <c r="A1564" s="25" t="str">
        <f>IF(Table1[[#This Row],[Name of Student]]="","",ROWS($A$1:A1560))</f>
        <v/>
      </c>
      <c r="B1564" s="26" t="str">
        <f>IF('Paste SD Data'!A1561="","",'Paste SD Data'!A1561)</f>
        <v/>
      </c>
      <c r="C1564" s="26" t="str">
        <f>IF('Paste SD Data'!B1561="","",'Paste SD Data'!B1561)</f>
        <v/>
      </c>
      <c r="D1564" s="26" t="str">
        <f>IF('Paste SD Data'!C1561="","",'Paste SD Data'!C1561)</f>
        <v/>
      </c>
      <c r="E1564" s="27" t="str">
        <f>IF('Paste SD Data'!E1561="","",UPPER('Paste SD Data'!E1561))</f>
        <v/>
      </c>
      <c r="F1564" s="27" t="str">
        <f>IF('Paste SD Data'!G1561="","",UPPER('Paste SD Data'!G1561))</f>
        <v/>
      </c>
      <c r="G1564" s="27" t="str">
        <f>IF('Paste SD Data'!H1561="","",UPPER('Paste SD Data'!H1561))</f>
        <v/>
      </c>
      <c r="H1564" s="26" t="str">
        <f>IF('Paste SD Data'!I1561="","",IF('Paste SD Data'!I1561="M","BOY","GIRL"))</f>
        <v/>
      </c>
      <c r="I1564" s="28" t="str">
        <f>IF('Paste SD Data'!J1561="","",'Paste SD Data'!J1561)</f>
        <v/>
      </c>
      <c r="J1564" s="34">
        <f t="shared" si="24"/>
        <v>1990</v>
      </c>
      <c r="K1564" s="29" t="str">
        <f>IF('Paste SD Data'!O1561="","",'Paste SD Data'!O1561)</f>
        <v/>
      </c>
    </row>
    <row r="1565" spans="1:11" ht="30" customHeight="1" x14ac:dyDescent="0.25">
      <c r="A1565" s="25" t="str">
        <f>IF(Table1[[#This Row],[Name of Student]]="","",ROWS($A$1:A1561))</f>
        <v/>
      </c>
      <c r="B1565" s="26" t="str">
        <f>IF('Paste SD Data'!A1562="","",'Paste SD Data'!A1562)</f>
        <v/>
      </c>
      <c r="C1565" s="26" t="str">
        <f>IF('Paste SD Data'!B1562="","",'Paste SD Data'!B1562)</f>
        <v/>
      </c>
      <c r="D1565" s="26" t="str">
        <f>IF('Paste SD Data'!C1562="","",'Paste SD Data'!C1562)</f>
        <v/>
      </c>
      <c r="E1565" s="27" t="str">
        <f>IF('Paste SD Data'!E1562="","",UPPER('Paste SD Data'!E1562))</f>
        <v/>
      </c>
      <c r="F1565" s="27" t="str">
        <f>IF('Paste SD Data'!G1562="","",UPPER('Paste SD Data'!G1562))</f>
        <v/>
      </c>
      <c r="G1565" s="27" t="str">
        <f>IF('Paste SD Data'!H1562="","",UPPER('Paste SD Data'!H1562))</f>
        <v/>
      </c>
      <c r="H1565" s="26" t="str">
        <f>IF('Paste SD Data'!I1562="","",IF('Paste SD Data'!I1562="M","BOY","GIRL"))</f>
        <v/>
      </c>
      <c r="I1565" s="28" t="str">
        <f>IF('Paste SD Data'!J1562="","",'Paste SD Data'!J1562)</f>
        <v/>
      </c>
      <c r="J1565" s="34">
        <f t="shared" si="24"/>
        <v>1991</v>
      </c>
      <c r="K1565" s="29" t="str">
        <f>IF('Paste SD Data'!O1562="","",'Paste SD Data'!O1562)</f>
        <v/>
      </c>
    </row>
    <row r="1566" spans="1:11" ht="30" customHeight="1" x14ac:dyDescent="0.25">
      <c r="A1566" s="25" t="str">
        <f>IF(Table1[[#This Row],[Name of Student]]="","",ROWS($A$1:A1562))</f>
        <v/>
      </c>
      <c r="B1566" s="26" t="str">
        <f>IF('Paste SD Data'!A1563="","",'Paste SD Data'!A1563)</f>
        <v/>
      </c>
      <c r="C1566" s="26" t="str">
        <f>IF('Paste SD Data'!B1563="","",'Paste SD Data'!B1563)</f>
        <v/>
      </c>
      <c r="D1566" s="26" t="str">
        <f>IF('Paste SD Data'!C1563="","",'Paste SD Data'!C1563)</f>
        <v/>
      </c>
      <c r="E1566" s="27" t="str">
        <f>IF('Paste SD Data'!E1563="","",UPPER('Paste SD Data'!E1563))</f>
        <v/>
      </c>
      <c r="F1566" s="27" t="str">
        <f>IF('Paste SD Data'!G1563="","",UPPER('Paste SD Data'!G1563))</f>
        <v/>
      </c>
      <c r="G1566" s="27" t="str">
        <f>IF('Paste SD Data'!H1563="","",UPPER('Paste SD Data'!H1563))</f>
        <v/>
      </c>
      <c r="H1566" s="26" t="str">
        <f>IF('Paste SD Data'!I1563="","",IF('Paste SD Data'!I1563="M","BOY","GIRL"))</f>
        <v/>
      </c>
      <c r="I1566" s="28" t="str">
        <f>IF('Paste SD Data'!J1563="","",'Paste SD Data'!J1563)</f>
        <v/>
      </c>
      <c r="J1566" s="34">
        <f t="shared" si="24"/>
        <v>1992</v>
      </c>
      <c r="K1566" s="29" t="str">
        <f>IF('Paste SD Data'!O1563="","",'Paste SD Data'!O1563)</f>
        <v/>
      </c>
    </row>
    <row r="1567" spans="1:11" ht="30" customHeight="1" x14ac:dyDescent="0.25">
      <c r="A1567" s="25" t="str">
        <f>IF(Table1[[#This Row],[Name of Student]]="","",ROWS($A$1:A1563))</f>
        <v/>
      </c>
      <c r="B1567" s="26" t="str">
        <f>IF('Paste SD Data'!A1564="","",'Paste SD Data'!A1564)</f>
        <v/>
      </c>
      <c r="C1567" s="26" t="str">
        <f>IF('Paste SD Data'!B1564="","",'Paste SD Data'!B1564)</f>
        <v/>
      </c>
      <c r="D1567" s="26" t="str">
        <f>IF('Paste SD Data'!C1564="","",'Paste SD Data'!C1564)</f>
        <v/>
      </c>
      <c r="E1567" s="27" t="str">
        <f>IF('Paste SD Data'!E1564="","",UPPER('Paste SD Data'!E1564))</f>
        <v/>
      </c>
      <c r="F1567" s="27" t="str">
        <f>IF('Paste SD Data'!G1564="","",UPPER('Paste SD Data'!G1564))</f>
        <v/>
      </c>
      <c r="G1567" s="27" t="str">
        <f>IF('Paste SD Data'!H1564="","",UPPER('Paste SD Data'!H1564))</f>
        <v/>
      </c>
      <c r="H1567" s="26" t="str">
        <f>IF('Paste SD Data'!I1564="","",IF('Paste SD Data'!I1564="M","BOY","GIRL"))</f>
        <v/>
      </c>
      <c r="I1567" s="28" t="str">
        <f>IF('Paste SD Data'!J1564="","",'Paste SD Data'!J1564)</f>
        <v/>
      </c>
      <c r="J1567" s="34">
        <f t="shared" si="24"/>
        <v>1993</v>
      </c>
      <c r="K1567" s="29" t="str">
        <f>IF('Paste SD Data'!O1564="","",'Paste SD Data'!O1564)</f>
        <v/>
      </c>
    </row>
    <row r="1568" spans="1:11" ht="30" customHeight="1" x14ac:dyDescent="0.25">
      <c r="A1568" s="25" t="str">
        <f>IF(Table1[[#This Row],[Name of Student]]="","",ROWS($A$1:A1564))</f>
        <v/>
      </c>
      <c r="B1568" s="26" t="str">
        <f>IF('Paste SD Data'!A1565="","",'Paste SD Data'!A1565)</f>
        <v/>
      </c>
      <c r="C1568" s="26" t="str">
        <f>IF('Paste SD Data'!B1565="","",'Paste SD Data'!B1565)</f>
        <v/>
      </c>
      <c r="D1568" s="26" t="str">
        <f>IF('Paste SD Data'!C1565="","",'Paste SD Data'!C1565)</f>
        <v/>
      </c>
      <c r="E1568" s="27" t="str">
        <f>IF('Paste SD Data'!E1565="","",UPPER('Paste SD Data'!E1565))</f>
        <v/>
      </c>
      <c r="F1568" s="27" t="str">
        <f>IF('Paste SD Data'!G1565="","",UPPER('Paste SD Data'!G1565))</f>
        <v/>
      </c>
      <c r="G1568" s="27" t="str">
        <f>IF('Paste SD Data'!H1565="","",UPPER('Paste SD Data'!H1565))</f>
        <v/>
      </c>
      <c r="H1568" s="26" t="str">
        <f>IF('Paste SD Data'!I1565="","",IF('Paste SD Data'!I1565="M","BOY","GIRL"))</f>
        <v/>
      </c>
      <c r="I1568" s="28" t="str">
        <f>IF('Paste SD Data'!J1565="","",'Paste SD Data'!J1565)</f>
        <v/>
      </c>
      <c r="J1568" s="34">
        <f t="shared" si="24"/>
        <v>1994</v>
      </c>
      <c r="K1568" s="29" t="str">
        <f>IF('Paste SD Data'!O1565="","",'Paste SD Data'!O1565)</f>
        <v/>
      </c>
    </row>
    <row r="1569" spans="1:11" ht="30" customHeight="1" x14ac:dyDescent="0.25">
      <c r="A1569" s="25" t="str">
        <f>IF(Table1[[#This Row],[Name of Student]]="","",ROWS($A$1:A1565))</f>
        <v/>
      </c>
      <c r="B1569" s="26" t="str">
        <f>IF('Paste SD Data'!A1566="","",'Paste SD Data'!A1566)</f>
        <v/>
      </c>
      <c r="C1569" s="26" t="str">
        <f>IF('Paste SD Data'!B1566="","",'Paste SD Data'!B1566)</f>
        <v/>
      </c>
      <c r="D1569" s="26" t="str">
        <f>IF('Paste SD Data'!C1566="","",'Paste SD Data'!C1566)</f>
        <v/>
      </c>
      <c r="E1569" s="27" t="str">
        <f>IF('Paste SD Data'!E1566="","",UPPER('Paste SD Data'!E1566))</f>
        <v/>
      </c>
      <c r="F1569" s="27" t="str">
        <f>IF('Paste SD Data'!G1566="","",UPPER('Paste SD Data'!G1566))</f>
        <v/>
      </c>
      <c r="G1569" s="27" t="str">
        <f>IF('Paste SD Data'!H1566="","",UPPER('Paste SD Data'!H1566))</f>
        <v/>
      </c>
      <c r="H1569" s="26" t="str">
        <f>IF('Paste SD Data'!I1566="","",IF('Paste SD Data'!I1566="M","BOY","GIRL"))</f>
        <v/>
      </c>
      <c r="I1569" s="28" t="str">
        <f>IF('Paste SD Data'!J1566="","",'Paste SD Data'!J1566)</f>
        <v/>
      </c>
      <c r="J1569" s="34">
        <f t="shared" si="24"/>
        <v>1995</v>
      </c>
      <c r="K1569" s="29" t="str">
        <f>IF('Paste SD Data'!O1566="","",'Paste SD Data'!O1566)</f>
        <v/>
      </c>
    </row>
    <row r="1570" spans="1:11" ht="30" customHeight="1" x14ac:dyDescent="0.25">
      <c r="A1570" s="25" t="str">
        <f>IF(Table1[[#This Row],[Name of Student]]="","",ROWS($A$1:A1566))</f>
        <v/>
      </c>
      <c r="B1570" s="26" t="str">
        <f>IF('Paste SD Data'!A1567="","",'Paste SD Data'!A1567)</f>
        <v/>
      </c>
      <c r="C1570" s="26" t="str">
        <f>IF('Paste SD Data'!B1567="","",'Paste SD Data'!B1567)</f>
        <v/>
      </c>
      <c r="D1570" s="26" t="str">
        <f>IF('Paste SD Data'!C1567="","",'Paste SD Data'!C1567)</f>
        <v/>
      </c>
      <c r="E1570" s="27" t="str">
        <f>IF('Paste SD Data'!E1567="","",UPPER('Paste SD Data'!E1567))</f>
        <v/>
      </c>
      <c r="F1570" s="27" t="str">
        <f>IF('Paste SD Data'!G1567="","",UPPER('Paste SD Data'!G1567))</f>
        <v/>
      </c>
      <c r="G1570" s="27" t="str">
        <f>IF('Paste SD Data'!H1567="","",UPPER('Paste SD Data'!H1567))</f>
        <v/>
      </c>
      <c r="H1570" s="26" t="str">
        <f>IF('Paste SD Data'!I1567="","",IF('Paste SD Data'!I1567="M","BOY","GIRL"))</f>
        <v/>
      </c>
      <c r="I1570" s="28" t="str">
        <f>IF('Paste SD Data'!J1567="","",'Paste SD Data'!J1567)</f>
        <v/>
      </c>
      <c r="J1570" s="34">
        <f t="shared" si="24"/>
        <v>1996</v>
      </c>
      <c r="K1570" s="29" t="str">
        <f>IF('Paste SD Data'!O1567="","",'Paste SD Data'!O1567)</f>
        <v/>
      </c>
    </row>
    <row r="1571" spans="1:11" ht="30" customHeight="1" x14ac:dyDescent="0.25">
      <c r="A1571" s="25" t="str">
        <f>IF(Table1[[#This Row],[Name of Student]]="","",ROWS($A$1:A1567))</f>
        <v/>
      </c>
      <c r="B1571" s="26" t="str">
        <f>IF('Paste SD Data'!A1568="","",'Paste SD Data'!A1568)</f>
        <v/>
      </c>
      <c r="C1571" s="26" t="str">
        <f>IF('Paste SD Data'!B1568="","",'Paste SD Data'!B1568)</f>
        <v/>
      </c>
      <c r="D1571" s="26" t="str">
        <f>IF('Paste SD Data'!C1568="","",'Paste SD Data'!C1568)</f>
        <v/>
      </c>
      <c r="E1571" s="27" t="str">
        <f>IF('Paste SD Data'!E1568="","",UPPER('Paste SD Data'!E1568))</f>
        <v/>
      </c>
      <c r="F1571" s="27" t="str">
        <f>IF('Paste SD Data'!G1568="","",UPPER('Paste SD Data'!G1568))</f>
        <v/>
      </c>
      <c r="G1571" s="27" t="str">
        <f>IF('Paste SD Data'!H1568="","",UPPER('Paste SD Data'!H1568))</f>
        <v/>
      </c>
      <c r="H1571" s="26" t="str">
        <f>IF('Paste SD Data'!I1568="","",IF('Paste SD Data'!I1568="M","BOY","GIRL"))</f>
        <v/>
      </c>
      <c r="I1571" s="28" t="str">
        <f>IF('Paste SD Data'!J1568="","",'Paste SD Data'!J1568)</f>
        <v/>
      </c>
      <c r="J1571" s="34">
        <f t="shared" si="24"/>
        <v>1997</v>
      </c>
      <c r="K1571" s="29" t="str">
        <f>IF('Paste SD Data'!O1568="","",'Paste SD Data'!O1568)</f>
        <v/>
      </c>
    </row>
    <row r="1572" spans="1:11" ht="30" customHeight="1" x14ac:dyDescent="0.25">
      <c r="A1572" s="25" t="str">
        <f>IF(Table1[[#This Row],[Name of Student]]="","",ROWS($A$1:A1568))</f>
        <v/>
      </c>
      <c r="B1572" s="26" t="str">
        <f>IF('Paste SD Data'!A1569="","",'Paste SD Data'!A1569)</f>
        <v/>
      </c>
      <c r="C1572" s="26" t="str">
        <f>IF('Paste SD Data'!B1569="","",'Paste SD Data'!B1569)</f>
        <v/>
      </c>
      <c r="D1572" s="26" t="str">
        <f>IF('Paste SD Data'!C1569="","",'Paste SD Data'!C1569)</f>
        <v/>
      </c>
      <c r="E1572" s="27" t="str">
        <f>IF('Paste SD Data'!E1569="","",UPPER('Paste SD Data'!E1569))</f>
        <v/>
      </c>
      <c r="F1572" s="27" t="str">
        <f>IF('Paste SD Data'!G1569="","",UPPER('Paste SD Data'!G1569))</f>
        <v/>
      </c>
      <c r="G1572" s="27" t="str">
        <f>IF('Paste SD Data'!H1569="","",UPPER('Paste SD Data'!H1569))</f>
        <v/>
      </c>
      <c r="H1572" s="26" t="str">
        <f>IF('Paste SD Data'!I1569="","",IF('Paste SD Data'!I1569="M","BOY","GIRL"))</f>
        <v/>
      </c>
      <c r="I1572" s="28" t="str">
        <f>IF('Paste SD Data'!J1569="","",'Paste SD Data'!J1569)</f>
        <v/>
      </c>
      <c r="J1572" s="34">
        <f t="shared" si="24"/>
        <v>1998</v>
      </c>
      <c r="K1572" s="29" t="str">
        <f>IF('Paste SD Data'!O1569="","",'Paste SD Data'!O1569)</f>
        <v/>
      </c>
    </row>
    <row r="1573" spans="1:11" ht="30" customHeight="1" x14ac:dyDescent="0.25">
      <c r="A1573" s="25" t="str">
        <f>IF(Table1[[#This Row],[Name of Student]]="","",ROWS($A$1:A1569))</f>
        <v/>
      </c>
      <c r="B1573" s="26" t="str">
        <f>IF('Paste SD Data'!A1570="","",'Paste SD Data'!A1570)</f>
        <v/>
      </c>
      <c r="C1573" s="26" t="str">
        <f>IF('Paste SD Data'!B1570="","",'Paste SD Data'!B1570)</f>
        <v/>
      </c>
      <c r="D1573" s="26" t="str">
        <f>IF('Paste SD Data'!C1570="","",'Paste SD Data'!C1570)</f>
        <v/>
      </c>
      <c r="E1573" s="27" t="str">
        <f>IF('Paste SD Data'!E1570="","",UPPER('Paste SD Data'!E1570))</f>
        <v/>
      </c>
      <c r="F1573" s="27" t="str">
        <f>IF('Paste SD Data'!G1570="","",UPPER('Paste SD Data'!G1570))</f>
        <v/>
      </c>
      <c r="G1573" s="27" t="str">
        <f>IF('Paste SD Data'!H1570="","",UPPER('Paste SD Data'!H1570))</f>
        <v/>
      </c>
      <c r="H1573" s="26" t="str">
        <f>IF('Paste SD Data'!I1570="","",IF('Paste SD Data'!I1570="M","BOY","GIRL"))</f>
        <v/>
      </c>
      <c r="I1573" s="28" t="str">
        <f>IF('Paste SD Data'!J1570="","",'Paste SD Data'!J1570)</f>
        <v/>
      </c>
      <c r="J1573" s="34">
        <f t="shared" si="24"/>
        <v>1999</v>
      </c>
      <c r="K1573" s="29" t="str">
        <f>IF('Paste SD Data'!O1570="","",'Paste SD Data'!O1570)</f>
        <v/>
      </c>
    </row>
    <row r="1574" spans="1:11" ht="30" customHeight="1" x14ac:dyDescent="0.25">
      <c r="A1574" s="25" t="str">
        <f>IF(Table1[[#This Row],[Name of Student]]="","",ROWS($A$1:A1570))</f>
        <v/>
      </c>
      <c r="B1574" s="26" t="str">
        <f>IF('Paste SD Data'!A1571="","",'Paste SD Data'!A1571)</f>
        <v/>
      </c>
      <c r="C1574" s="26" t="str">
        <f>IF('Paste SD Data'!B1571="","",'Paste SD Data'!B1571)</f>
        <v/>
      </c>
      <c r="D1574" s="26" t="str">
        <f>IF('Paste SD Data'!C1571="","",'Paste SD Data'!C1571)</f>
        <v/>
      </c>
      <c r="E1574" s="27" t="str">
        <f>IF('Paste SD Data'!E1571="","",UPPER('Paste SD Data'!E1571))</f>
        <v/>
      </c>
      <c r="F1574" s="27" t="str">
        <f>IF('Paste SD Data'!G1571="","",UPPER('Paste SD Data'!G1571))</f>
        <v/>
      </c>
      <c r="G1574" s="27" t="str">
        <f>IF('Paste SD Data'!H1571="","",UPPER('Paste SD Data'!H1571))</f>
        <v/>
      </c>
      <c r="H1574" s="26" t="str">
        <f>IF('Paste SD Data'!I1571="","",IF('Paste SD Data'!I1571="M","BOY","GIRL"))</f>
        <v/>
      </c>
      <c r="I1574" s="28" t="str">
        <f>IF('Paste SD Data'!J1571="","",'Paste SD Data'!J1571)</f>
        <v/>
      </c>
      <c r="J1574" s="34">
        <f t="shared" si="24"/>
        <v>2000</v>
      </c>
      <c r="K1574" s="29" t="str">
        <f>IF('Paste SD Data'!O1571="","",'Paste SD Data'!O1571)</f>
        <v/>
      </c>
    </row>
    <row r="1575" spans="1:11" ht="30" customHeight="1" x14ac:dyDescent="0.25">
      <c r="A1575" s="25" t="str">
        <f>IF(Table1[[#This Row],[Name of Student]]="","",ROWS($A$1:A1571))</f>
        <v/>
      </c>
      <c r="B1575" s="26" t="str">
        <f>IF('Paste SD Data'!A1572="","",'Paste SD Data'!A1572)</f>
        <v/>
      </c>
      <c r="C1575" s="26" t="str">
        <f>IF('Paste SD Data'!B1572="","",'Paste SD Data'!B1572)</f>
        <v/>
      </c>
      <c r="D1575" s="26" t="str">
        <f>IF('Paste SD Data'!C1572="","",'Paste SD Data'!C1572)</f>
        <v/>
      </c>
      <c r="E1575" s="27" t="str">
        <f>IF('Paste SD Data'!E1572="","",UPPER('Paste SD Data'!E1572))</f>
        <v/>
      </c>
      <c r="F1575" s="27" t="str">
        <f>IF('Paste SD Data'!G1572="","",UPPER('Paste SD Data'!G1572))</f>
        <v/>
      </c>
      <c r="G1575" s="27" t="str">
        <f>IF('Paste SD Data'!H1572="","",UPPER('Paste SD Data'!H1572))</f>
        <v/>
      </c>
      <c r="H1575" s="26" t="str">
        <f>IF('Paste SD Data'!I1572="","",IF('Paste SD Data'!I1572="M","BOY","GIRL"))</f>
        <v/>
      </c>
      <c r="I1575" s="28" t="str">
        <f>IF('Paste SD Data'!J1572="","",'Paste SD Data'!J1572)</f>
        <v/>
      </c>
      <c r="J1575" s="34">
        <f t="shared" si="24"/>
        <v>2001</v>
      </c>
      <c r="K1575" s="29" t="str">
        <f>IF('Paste SD Data'!O1572="","",'Paste SD Data'!O1572)</f>
        <v/>
      </c>
    </row>
    <row r="1576" spans="1:11" ht="30" customHeight="1" x14ac:dyDescent="0.25">
      <c r="A1576" s="25" t="str">
        <f>IF(Table1[[#This Row],[Name of Student]]="","",ROWS($A$1:A1572))</f>
        <v/>
      </c>
      <c r="B1576" s="26" t="str">
        <f>IF('Paste SD Data'!A1573="","",'Paste SD Data'!A1573)</f>
        <v/>
      </c>
      <c r="C1576" s="26" t="str">
        <f>IF('Paste SD Data'!B1573="","",'Paste SD Data'!B1573)</f>
        <v/>
      </c>
      <c r="D1576" s="26" t="str">
        <f>IF('Paste SD Data'!C1573="","",'Paste SD Data'!C1573)</f>
        <v/>
      </c>
      <c r="E1576" s="27" t="str">
        <f>IF('Paste SD Data'!E1573="","",UPPER('Paste SD Data'!E1573))</f>
        <v/>
      </c>
      <c r="F1576" s="27" t="str">
        <f>IF('Paste SD Data'!G1573="","",UPPER('Paste SD Data'!G1573))</f>
        <v/>
      </c>
      <c r="G1576" s="27" t="str">
        <f>IF('Paste SD Data'!H1573="","",UPPER('Paste SD Data'!H1573))</f>
        <v/>
      </c>
      <c r="H1576" s="26" t="str">
        <f>IF('Paste SD Data'!I1573="","",IF('Paste SD Data'!I1573="M","BOY","GIRL"))</f>
        <v/>
      </c>
      <c r="I1576" s="28" t="str">
        <f>IF('Paste SD Data'!J1573="","",'Paste SD Data'!J1573)</f>
        <v/>
      </c>
      <c r="J1576" s="34">
        <f t="shared" si="24"/>
        <v>2002</v>
      </c>
      <c r="K1576" s="29" t="str">
        <f>IF('Paste SD Data'!O1573="","",'Paste SD Data'!O1573)</f>
        <v/>
      </c>
    </row>
    <row r="1577" spans="1:11" ht="30" customHeight="1" x14ac:dyDescent="0.25">
      <c r="A1577" s="25" t="str">
        <f>IF(Table1[[#This Row],[Name of Student]]="","",ROWS($A$1:A1573))</f>
        <v/>
      </c>
      <c r="B1577" s="26" t="str">
        <f>IF('Paste SD Data'!A1574="","",'Paste SD Data'!A1574)</f>
        <v/>
      </c>
      <c r="C1577" s="26" t="str">
        <f>IF('Paste SD Data'!B1574="","",'Paste SD Data'!B1574)</f>
        <v/>
      </c>
      <c r="D1577" s="26" t="str">
        <f>IF('Paste SD Data'!C1574="","",'Paste SD Data'!C1574)</f>
        <v/>
      </c>
      <c r="E1577" s="27" t="str">
        <f>IF('Paste SD Data'!E1574="","",UPPER('Paste SD Data'!E1574))</f>
        <v/>
      </c>
      <c r="F1577" s="27" t="str">
        <f>IF('Paste SD Data'!G1574="","",UPPER('Paste SD Data'!G1574))</f>
        <v/>
      </c>
      <c r="G1577" s="27" t="str">
        <f>IF('Paste SD Data'!H1574="","",UPPER('Paste SD Data'!H1574))</f>
        <v/>
      </c>
      <c r="H1577" s="26" t="str">
        <f>IF('Paste SD Data'!I1574="","",IF('Paste SD Data'!I1574="M","BOY","GIRL"))</f>
        <v/>
      </c>
      <c r="I1577" s="28" t="str">
        <f>IF('Paste SD Data'!J1574="","",'Paste SD Data'!J1574)</f>
        <v/>
      </c>
      <c r="J1577" s="34">
        <f t="shared" si="24"/>
        <v>2003</v>
      </c>
      <c r="K1577" s="29" t="str">
        <f>IF('Paste SD Data'!O1574="","",'Paste SD Data'!O1574)</f>
        <v/>
      </c>
    </row>
    <row r="1578" spans="1:11" ht="30" customHeight="1" x14ac:dyDescent="0.25">
      <c r="A1578" s="25" t="str">
        <f>IF(Table1[[#This Row],[Name of Student]]="","",ROWS($A$1:A1574))</f>
        <v/>
      </c>
      <c r="B1578" s="26" t="str">
        <f>IF('Paste SD Data'!A1575="","",'Paste SD Data'!A1575)</f>
        <v/>
      </c>
      <c r="C1578" s="26" t="str">
        <f>IF('Paste SD Data'!B1575="","",'Paste SD Data'!B1575)</f>
        <v/>
      </c>
      <c r="D1578" s="26" t="str">
        <f>IF('Paste SD Data'!C1575="","",'Paste SD Data'!C1575)</f>
        <v/>
      </c>
      <c r="E1578" s="27" t="str">
        <f>IF('Paste SD Data'!E1575="","",UPPER('Paste SD Data'!E1575))</f>
        <v/>
      </c>
      <c r="F1578" s="27" t="str">
        <f>IF('Paste SD Data'!G1575="","",UPPER('Paste SD Data'!G1575))</f>
        <v/>
      </c>
      <c r="G1578" s="27" t="str">
        <f>IF('Paste SD Data'!H1575="","",UPPER('Paste SD Data'!H1575))</f>
        <v/>
      </c>
      <c r="H1578" s="26" t="str">
        <f>IF('Paste SD Data'!I1575="","",IF('Paste SD Data'!I1575="M","BOY","GIRL"))</f>
        <v/>
      </c>
      <c r="I1578" s="28" t="str">
        <f>IF('Paste SD Data'!J1575="","",'Paste SD Data'!J1575)</f>
        <v/>
      </c>
      <c r="J1578" s="34">
        <f t="shared" si="24"/>
        <v>2004</v>
      </c>
      <c r="K1578" s="29" t="str">
        <f>IF('Paste SD Data'!O1575="","",'Paste SD Data'!O1575)</f>
        <v/>
      </c>
    </row>
    <row r="1579" spans="1:11" ht="30" customHeight="1" x14ac:dyDescent="0.25">
      <c r="A1579" s="25" t="str">
        <f>IF(Table1[[#This Row],[Name of Student]]="","",ROWS($A$1:A1575))</f>
        <v/>
      </c>
      <c r="B1579" s="26" t="str">
        <f>IF('Paste SD Data'!A1576="","",'Paste SD Data'!A1576)</f>
        <v/>
      </c>
      <c r="C1579" s="26" t="str">
        <f>IF('Paste SD Data'!B1576="","",'Paste SD Data'!B1576)</f>
        <v/>
      </c>
      <c r="D1579" s="26" t="str">
        <f>IF('Paste SD Data'!C1576="","",'Paste SD Data'!C1576)</f>
        <v/>
      </c>
      <c r="E1579" s="27" t="str">
        <f>IF('Paste SD Data'!E1576="","",UPPER('Paste SD Data'!E1576))</f>
        <v/>
      </c>
      <c r="F1579" s="27" t="str">
        <f>IF('Paste SD Data'!G1576="","",UPPER('Paste SD Data'!G1576))</f>
        <v/>
      </c>
      <c r="G1579" s="27" t="str">
        <f>IF('Paste SD Data'!H1576="","",UPPER('Paste SD Data'!H1576))</f>
        <v/>
      </c>
      <c r="H1579" s="26" t="str">
        <f>IF('Paste SD Data'!I1576="","",IF('Paste SD Data'!I1576="M","BOY","GIRL"))</f>
        <v/>
      </c>
      <c r="I1579" s="28" t="str">
        <f>IF('Paste SD Data'!J1576="","",'Paste SD Data'!J1576)</f>
        <v/>
      </c>
      <c r="J1579" s="34">
        <f t="shared" si="24"/>
        <v>2005</v>
      </c>
      <c r="K1579" s="29" t="str">
        <f>IF('Paste SD Data'!O1576="","",'Paste SD Data'!O1576)</f>
        <v/>
      </c>
    </row>
    <row r="1580" spans="1:11" ht="30" customHeight="1" x14ac:dyDescent="0.25">
      <c r="A1580" s="25" t="str">
        <f>IF(Table1[[#This Row],[Name of Student]]="","",ROWS($A$1:A1576))</f>
        <v/>
      </c>
      <c r="B1580" s="26" t="str">
        <f>IF('Paste SD Data'!A1577="","",'Paste SD Data'!A1577)</f>
        <v/>
      </c>
      <c r="C1580" s="26" t="str">
        <f>IF('Paste SD Data'!B1577="","",'Paste SD Data'!B1577)</f>
        <v/>
      </c>
      <c r="D1580" s="26" t="str">
        <f>IF('Paste SD Data'!C1577="","",'Paste SD Data'!C1577)</f>
        <v/>
      </c>
      <c r="E1580" s="27" t="str">
        <f>IF('Paste SD Data'!E1577="","",UPPER('Paste SD Data'!E1577))</f>
        <v/>
      </c>
      <c r="F1580" s="27" t="str">
        <f>IF('Paste SD Data'!G1577="","",UPPER('Paste SD Data'!G1577))</f>
        <v/>
      </c>
      <c r="G1580" s="27" t="str">
        <f>IF('Paste SD Data'!H1577="","",UPPER('Paste SD Data'!H1577))</f>
        <v/>
      </c>
      <c r="H1580" s="26" t="str">
        <f>IF('Paste SD Data'!I1577="","",IF('Paste SD Data'!I1577="M","BOY","GIRL"))</f>
        <v/>
      </c>
      <c r="I1580" s="28" t="str">
        <f>IF('Paste SD Data'!J1577="","",'Paste SD Data'!J1577)</f>
        <v/>
      </c>
      <c r="J1580" s="34">
        <f t="shared" si="24"/>
        <v>2006</v>
      </c>
      <c r="K1580" s="29" t="str">
        <f>IF('Paste SD Data'!O1577="","",'Paste SD Data'!O1577)</f>
        <v/>
      </c>
    </row>
    <row r="1581" spans="1:11" ht="30" customHeight="1" x14ac:dyDescent="0.25">
      <c r="A1581" s="25" t="str">
        <f>IF(Table1[[#This Row],[Name of Student]]="","",ROWS($A$1:A1577))</f>
        <v/>
      </c>
      <c r="B1581" s="26" t="str">
        <f>IF('Paste SD Data'!A1578="","",'Paste SD Data'!A1578)</f>
        <v/>
      </c>
      <c r="C1581" s="26" t="str">
        <f>IF('Paste SD Data'!B1578="","",'Paste SD Data'!B1578)</f>
        <v/>
      </c>
      <c r="D1581" s="26" t="str">
        <f>IF('Paste SD Data'!C1578="","",'Paste SD Data'!C1578)</f>
        <v/>
      </c>
      <c r="E1581" s="27" t="str">
        <f>IF('Paste SD Data'!E1578="","",UPPER('Paste SD Data'!E1578))</f>
        <v/>
      </c>
      <c r="F1581" s="27" t="str">
        <f>IF('Paste SD Data'!G1578="","",UPPER('Paste SD Data'!G1578))</f>
        <v/>
      </c>
      <c r="G1581" s="27" t="str">
        <f>IF('Paste SD Data'!H1578="","",UPPER('Paste SD Data'!H1578))</f>
        <v/>
      </c>
      <c r="H1581" s="26" t="str">
        <f>IF('Paste SD Data'!I1578="","",IF('Paste SD Data'!I1578="M","BOY","GIRL"))</f>
        <v/>
      </c>
      <c r="I1581" s="28" t="str">
        <f>IF('Paste SD Data'!J1578="","",'Paste SD Data'!J1578)</f>
        <v/>
      </c>
      <c r="J1581" s="34">
        <f t="shared" si="24"/>
        <v>2007</v>
      </c>
      <c r="K1581" s="29" t="str">
        <f>IF('Paste SD Data'!O1578="","",'Paste SD Data'!O1578)</f>
        <v/>
      </c>
    </row>
    <row r="1582" spans="1:11" ht="30" customHeight="1" x14ac:dyDescent="0.25">
      <c r="A1582" s="25" t="str">
        <f>IF(Table1[[#This Row],[Name of Student]]="","",ROWS($A$1:A1578))</f>
        <v/>
      </c>
      <c r="B1582" s="26" t="str">
        <f>IF('Paste SD Data'!A1579="","",'Paste SD Data'!A1579)</f>
        <v/>
      </c>
      <c r="C1582" s="26" t="str">
        <f>IF('Paste SD Data'!B1579="","",'Paste SD Data'!B1579)</f>
        <v/>
      </c>
      <c r="D1582" s="26" t="str">
        <f>IF('Paste SD Data'!C1579="","",'Paste SD Data'!C1579)</f>
        <v/>
      </c>
      <c r="E1582" s="27" t="str">
        <f>IF('Paste SD Data'!E1579="","",UPPER('Paste SD Data'!E1579))</f>
        <v/>
      </c>
      <c r="F1582" s="27" t="str">
        <f>IF('Paste SD Data'!G1579="","",UPPER('Paste SD Data'!G1579))</f>
        <v/>
      </c>
      <c r="G1582" s="27" t="str">
        <f>IF('Paste SD Data'!H1579="","",UPPER('Paste SD Data'!H1579))</f>
        <v/>
      </c>
      <c r="H1582" s="26" t="str">
        <f>IF('Paste SD Data'!I1579="","",IF('Paste SD Data'!I1579="M","BOY","GIRL"))</f>
        <v/>
      </c>
      <c r="I1582" s="28" t="str">
        <f>IF('Paste SD Data'!J1579="","",'Paste SD Data'!J1579)</f>
        <v/>
      </c>
      <c r="J1582" s="34">
        <f t="shared" si="24"/>
        <v>2008</v>
      </c>
      <c r="K1582" s="29" t="str">
        <f>IF('Paste SD Data'!O1579="","",'Paste SD Data'!O1579)</f>
        <v/>
      </c>
    </row>
    <row r="1583" spans="1:11" ht="30" customHeight="1" x14ac:dyDescent="0.25">
      <c r="A1583" s="25" t="str">
        <f>IF(Table1[[#This Row],[Name of Student]]="","",ROWS($A$1:A1579))</f>
        <v/>
      </c>
      <c r="B1583" s="26" t="str">
        <f>IF('Paste SD Data'!A1580="","",'Paste SD Data'!A1580)</f>
        <v/>
      </c>
      <c r="C1583" s="26" t="str">
        <f>IF('Paste SD Data'!B1580="","",'Paste SD Data'!B1580)</f>
        <v/>
      </c>
      <c r="D1583" s="26" t="str">
        <f>IF('Paste SD Data'!C1580="","",'Paste SD Data'!C1580)</f>
        <v/>
      </c>
      <c r="E1583" s="27" t="str">
        <f>IF('Paste SD Data'!E1580="","",UPPER('Paste SD Data'!E1580))</f>
        <v/>
      </c>
      <c r="F1583" s="27" t="str">
        <f>IF('Paste SD Data'!G1580="","",UPPER('Paste SD Data'!G1580))</f>
        <v/>
      </c>
      <c r="G1583" s="27" t="str">
        <f>IF('Paste SD Data'!H1580="","",UPPER('Paste SD Data'!H1580))</f>
        <v/>
      </c>
      <c r="H1583" s="26" t="str">
        <f>IF('Paste SD Data'!I1580="","",IF('Paste SD Data'!I1580="M","BOY","GIRL"))</f>
        <v/>
      </c>
      <c r="I1583" s="28" t="str">
        <f>IF('Paste SD Data'!J1580="","",'Paste SD Data'!J1580)</f>
        <v/>
      </c>
      <c r="J1583" s="34">
        <f t="shared" si="24"/>
        <v>2009</v>
      </c>
      <c r="K1583" s="29" t="str">
        <f>IF('Paste SD Data'!O1580="","",'Paste SD Data'!O1580)</f>
        <v/>
      </c>
    </row>
    <row r="1584" spans="1:11" ht="30" customHeight="1" x14ac:dyDescent="0.25">
      <c r="A1584" s="25" t="str">
        <f>IF(Table1[[#This Row],[Name of Student]]="","",ROWS($A$1:A1580))</f>
        <v/>
      </c>
      <c r="B1584" s="26" t="str">
        <f>IF('Paste SD Data'!A1581="","",'Paste SD Data'!A1581)</f>
        <v/>
      </c>
      <c r="C1584" s="26" t="str">
        <f>IF('Paste SD Data'!B1581="","",'Paste SD Data'!B1581)</f>
        <v/>
      </c>
      <c r="D1584" s="26" t="str">
        <f>IF('Paste SD Data'!C1581="","",'Paste SD Data'!C1581)</f>
        <v/>
      </c>
      <c r="E1584" s="27" t="str">
        <f>IF('Paste SD Data'!E1581="","",UPPER('Paste SD Data'!E1581))</f>
        <v/>
      </c>
      <c r="F1584" s="27" t="str">
        <f>IF('Paste SD Data'!G1581="","",UPPER('Paste SD Data'!G1581))</f>
        <v/>
      </c>
      <c r="G1584" s="27" t="str">
        <f>IF('Paste SD Data'!H1581="","",UPPER('Paste SD Data'!H1581))</f>
        <v/>
      </c>
      <c r="H1584" s="26" t="str">
        <f>IF('Paste SD Data'!I1581="","",IF('Paste SD Data'!I1581="M","BOY","GIRL"))</f>
        <v/>
      </c>
      <c r="I1584" s="28" t="str">
        <f>IF('Paste SD Data'!J1581="","",'Paste SD Data'!J1581)</f>
        <v/>
      </c>
      <c r="J1584" s="34">
        <f t="shared" si="24"/>
        <v>2010</v>
      </c>
      <c r="K1584" s="29" t="str">
        <f>IF('Paste SD Data'!O1581="","",'Paste SD Data'!O1581)</f>
        <v/>
      </c>
    </row>
    <row r="1585" spans="1:11" ht="30" customHeight="1" x14ac:dyDescent="0.25">
      <c r="A1585" s="25" t="str">
        <f>IF(Table1[[#This Row],[Name of Student]]="","",ROWS($A$1:A1581))</f>
        <v/>
      </c>
      <c r="B1585" s="26" t="str">
        <f>IF('Paste SD Data'!A1582="","",'Paste SD Data'!A1582)</f>
        <v/>
      </c>
      <c r="C1585" s="26" t="str">
        <f>IF('Paste SD Data'!B1582="","",'Paste SD Data'!B1582)</f>
        <v/>
      </c>
      <c r="D1585" s="26" t="str">
        <f>IF('Paste SD Data'!C1582="","",'Paste SD Data'!C1582)</f>
        <v/>
      </c>
      <c r="E1585" s="27" t="str">
        <f>IF('Paste SD Data'!E1582="","",UPPER('Paste SD Data'!E1582))</f>
        <v/>
      </c>
      <c r="F1585" s="27" t="str">
        <f>IF('Paste SD Data'!G1582="","",UPPER('Paste SD Data'!G1582))</f>
        <v/>
      </c>
      <c r="G1585" s="27" t="str">
        <f>IF('Paste SD Data'!H1582="","",UPPER('Paste SD Data'!H1582))</f>
        <v/>
      </c>
      <c r="H1585" s="26" t="str">
        <f>IF('Paste SD Data'!I1582="","",IF('Paste SD Data'!I1582="M","BOY","GIRL"))</f>
        <v/>
      </c>
      <c r="I1585" s="28" t="str">
        <f>IF('Paste SD Data'!J1582="","",'Paste SD Data'!J1582)</f>
        <v/>
      </c>
      <c r="J1585" s="34">
        <f t="shared" si="24"/>
        <v>2011</v>
      </c>
      <c r="K1585" s="29" t="str">
        <f>IF('Paste SD Data'!O1582="","",'Paste SD Data'!O1582)</f>
        <v/>
      </c>
    </row>
    <row r="1586" spans="1:11" ht="30" customHeight="1" x14ac:dyDescent="0.25">
      <c r="A1586" s="25" t="str">
        <f>IF(Table1[[#This Row],[Name of Student]]="","",ROWS($A$1:A1582))</f>
        <v/>
      </c>
      <c r="B1586" s="26" t="str">
        <f>IF('Paste SD Data'!A1583="","",'Paste SD Data'!A1583)</f>
        <v/>
      </c>
      <c r="C1586" s="26" t="str">
        <f>IF('Paste SD Data'!B1583="","",'Paste SD Data'!B1583)</f>
        <v/>
      </c>
      <c r="D1586" s="26" t="str">
        <f>IF('Paste SD Data'!C1583="","",'Paste SD Data'!C1583)</f>
        <v/>
      </c>
      <c r="E1586" s="27" t="str">
        <f>IF('Paste SD Data'!E1583="","",UPPER('Paste SD Data'!E1583))</f>
        <v/>
      </c>
      <c r="F1586" s="27" t="str">
        <f>IF('Paste SD Data'!G1583="","",UPPER('Paste SD Data'!G1583))</f>
        <v/>
      </c>
      <c r="G1586" s="27" t="str">
        <f>IF('Paste SD Data'!H1583="","",UPPER('Paste SD Data'!H1583))</f>
        <v/>
      </c>
      <c r="H1586" s="26" t="str">
        <f>IF('Paste SD Data'!I1583="","",IF('Paste SD Data'!I1583="M","BOY","GIRL"))</f>
        <v/>
      </c>
      <c r="I1586" s="28" t="str">
        <f>IF('Paste SD Data'!J1583="","",'Paste SD Data'!J1583)</f>
        <v/>
      </c>
      <c r="J1586" s="34">
        <f t="shared" si="24"/>
        <v>2012</v>
      </c>
      <c r="K1586" s="29" t="str">
        <f>IF('Paste SD Data'!O1583="","",'Paste SD Data'!O1583)</f>
        <v/>
      </c>
    </row>
    <row r="1587" spans="1:11" ht="30" customHeight="1" x14ac:dyDescent="0.25">
      <c r="A1587" s="25" t="str">
        <f>IF(Table1[[#This Row],[Name of Student]]="","",ROWS($A$1:A1583))</f>
        <v/>
      </c>
      <c r="B1587" s="26" t="str">
        <f>IF('Paste SD Data'!A1584="","",'Paste SD Data'!A1584)</f>
        <v/>
      </c>
      <c r="C1587" s="26" t="str">
        <f>IF('Paste SD Data'!B1584="","",'Paste SD Data'!B1584)</f>
        <v/>
      </c>
      <c r="D1587" s="26" t="str">
        <f>IF('Paste SD Data'!C1584="","",'Paste SD Data'!C1584)</f>
        <v/>
      </c>
      <c r="E1587" s="27" t="str">
        <f>IF('Paste SD Data'!E1584="","",UPPER('Paste SD Data'!E1584))</f>
        <v/>
      </c>
      <c r="F1587" s="27" t="str">
        <f>IF('Paste SD Data'!G1584="","",UPPER('Paste SD Data'!G1584))</f>
        <v/>
      </c>
      <c r="G1587" s="27" t="str">
        <f>IF('Paste SD Data'!H1584="","",UPPER('Paste SD Data'!H1584))</f>
        <v/>
      </c>
      <c r="H1587" s="26" t="str">
        <f>IF('Paste SD Data'!I1584="","",IF('Paste SD Data'!I1584="M","BOY","GIRL"))</f>
        <v/>
      </c>
      <c r="I1587" s="28" t="str">
        <f>IF('Paste SD Data'!J1584="","",'Paste SD Data'!J1584)</f>
        <v/>
      </c>
      <c r="J1587" s="34">
        <f t="shared" si="24"/>
        <v>2013</v>
      </c>
      <c r="K1587" s="29" t="str">
        <f>IF('Paste SD Data'!O1584="","",'Paste SD Data'!O1584)</f>
        <v/>
      </c>
    </row>
    <row r="1588" spans="1:11" ht="30" customHeight="1" x14ac:dyDescent="0.25">
      <c r="A1588" s="25" t="str">
        <f>IF(Table1[[#This Row],[Name of Student]]="","",ROWS($A$1:A1584))</f>
        <v/>
      </c>
      <c r="B1588" s="26" t="str">
        <f>IF('Paste SD Data'!A1585="","",'Paste SD Data'!A1585)</f>
        <v/>
      </c>
      <c r="C1588" s="26" t="str">
        <f>IF('Paste SD Data'!B1585="","",'Paste SD Data'!B1585)</f>
        <v/>
      </c>
      <c r="D1588" s="26" t="str">
        <f>IF('Paste SD Data'!C1585="","",'Paste SD Data'!C1585)</f>
        <v/>
      </c>
      <c r="E1588" s="27" t="str">
        <f>IF('Paste SD Data'!E1585="","",UPPER('Paste SD Data'!E1585))</f>
        <v/>
      </c>
      <c r="F1588" s="27" t="str">
        <f>IF('Paste SD Data'!G1585="","",UPPER('Paste SD Data'!G1585))</f>
        <v/>
      </c>
      <c r="G1588" s="27" t="str">
        <f>IF('Paste SD Data'!H1585="","",UPPER('Paste SD Data'!H1585))</f>
        <v/>
      </c>
      <c r="H1588" s="26" t="str">
        <f>IF('Paste SD Data'!I1585="","",IF('Paste SD Data'!I1585="M","BOY","GIRL"))</f>
        <v/>
      </c>
      <c r="I1588" s="28" t="str">
        <f>IF('Paste SD Data'!J1585="","",'Paste SD Data'!J1585)</f>
        <v/>
      </c>
      <c r="J1588" s="34">
        <f t="shared" si="24"/>
        <v>2014</v>
      </c>
      <c r="K1588" s="29" t="str">
        <f>IF('Paste SD Data'!O1585="","",'Paste SD Data'!O1585)</f>
        <v/>
      </c>
    </row>
    <row r="1589" spans="1:11" ht="30" customHeight="1" x14ac:dyDescent="0.25">
      <c r="A1589" s="25" t="str">
        <f>IF(Table1[[#This Row],[Name of Student]]="","",ROWS($A$1:A1585))</f>
        <v/>
      </c>
      <c r="B1589" s="26" t="str">
        <f>IF('Paste SD Data'!A1586="","",'Paste SD Data'!A1586)</f>
        <v/>
      </c>
      <c r="C1589" s="26" t="str">
        <f>IF('Paste SD Data'!B1586="","",'Paste SD Data'!B1586)</f>
        <v/>
      </c>
      <c r="D1589" s="26" t="str">
        <f>IF('Paste SD Data'!C1586="","",'Paste SD Data'!C1586)</f>
        <v/>
      </c>
      <c r="E1589" s="27" t="str">
        <f>IF('Paste SD Data'!E1586="","",UPPER('Paste SD Data'!E1586))</f>
        <v/>
      </c>
      <c r="F1589" s="27" t="str">
        <f>IF('Paste SD Data'!G1586="","",UPPER('Paste SD Data'!G1586))</f>
        <v/>
      </c>
      <c r="G1589" s="27" t="str">
        <f>IF('Paste SD Data'!H1586="","",UPPER('Paste SD Data'!H1586))</f>
        <v/>
      </c>
      <c r="H1589" s="26" t="str">
        <f>IF('Paste SD Data'!I1586="","",IF('Paste SD Data'!I1586="M","BOY","GIRL"))</f>
        <v/>
      </c>
      <c r="I1589" s="28" t="str">
        <f>IF('Paste SD Data'!J1586="","",'Paste SD Data'!J1586)</f>
        <v/>
      </c>
      <c r="J1589" s="34">
        <f t="shared" si="24"/>
        <v>2015</v>
      </c>
      <c r="K1589" s="29" t="str">
        <f>IF('Paste SD Data'!O1586="","",'Paste SD Data'!O1586)</f>
        <v/>
      </c>
    </row>
    <row r="1590" spans="1:11" ht="30" customHeight="1" x14ac:dyDescent="0.25">
      <c r="A1590" s="25" t="str">
        <f>IF(Table1[[#This Row],[Name of Student]]="","",ROWS($A$1:A1586))</f>
        <v/>
      </c>
      <c r="B1590" s="26" t="str">
        <f>IF('Paste SD Data'!A1587="","",'Paste SD Data'!A1587)</f>
        <v/>
      </c>
      <c r="C1590" s="26" t="str">
        <f>IF('Paste SD Data'!B1587="","",'Paste SD Data'!B1587)</f>
        <v/>
      </c>
      <c r="D1590" s="26" t="str">
        <f>IF('Paste SD Data'!C1587="","",'Paste SD Data'!C1587)</f>
        <v/>
      </c>
      <c r="E1590" s="27" t="str">
        <f>IF('Paste SD Data'!E1587="","",UPPER('Paste SD Data'!E1587))</f>
        <v/>
      </c>
      <c r="F1590" s="27" t="str">
        <f>IF('Paste SD Data'!G1587="","",UPPER('Paste SD Data'!G1587))</f>
        <v/>
      </c>
      <c r="G1590" s="27" t="str">
        <f>IF('Paste SD Data'!H1587="","",UPPER('Paste SD Data'!H1587))</f>
        <v/>
      </c>
      <c r="H1590" s="26" t="str">
        <f>IF('Paste SD Data'!I1587="","",IF('Paste SD Data'!I1587="M","BOY","GIRL"))</f>
        <v/>
      </c>
      <c r="I1590" s="28" t="str">
        <f>IF('Paste SD Data'!J1587="","",'Paste SD Data'!J1587)</f>
        <v/>
      </c>
      <c r="J1590" s="34">
        <f t="shared" si="24"/>
        <v>2016</v>
      </c>
      <c r="K1590" s="29" t="str">
        <f>IF('Paste SD Data'!O1587="","",'Paste SD Data'!O1587)</f>
        <v/>
      </c>
    </row>
    <row r="1591" spans="1:11" ht="30" customHeight="1" x14ac:dyDescent="0.25">
      <c r="A1591" s="25" t="str">
        <f>IF(Table1[[#This Row],[Name of Student]]="","",ROWS($A$1:A1587))</f>
        <v/>
      </c>
      <c r="B1591" s="26" t="str">
        <f>IF('Paste SD Data'!A1588="","",'Paste SD Data'!A1588)</f>
        <v/>
      </c>
      <c r="C1591" s="26" t="str">
        <f>IF('Paste SD Data'!B1588="","",'Paste SD Data'!B1588)</f>
        <v/>
      </c>
      <c r="D1591" s="26" t="str">
        <f>IF('Paste SD Data'!C1588="","",'Paste SD Data'!C1588)</f>
        <v/>
      </c>
      <c r="E1591" s="27" t="str">
        <f>IF('Paste SD Data'!E1588="","",UPPER('Paste SD Data'!E1588))</f>
        <v/>
      </c>
      <c r="F1591" s="27" t="str">
        <f>IF('Paste SD Data'!G1588="","",UPPER('Paste SD Data'!G1588))</f>
        <v/>
      </c>
      <c r="G1591" s="27" t="str">
        <f>IF('Paste SD Data'!H1588="","",UPPER('Paste SD Data'!H1588))</f>
        <v/>
      </c>
      <c r="H1591" s="26" t="str">
        <f>IF('Paste SD Data'!I1588="","",IF('Paste SD Data'!I1588="M","BOY","GIRL"))</f>
        <v/>
      </c>
      <c r="I1591" s="28" t="str">
        <f>IF('Paste SD Data'!J1588="","",'Paste SD Data'!J1588)</f>
        <v/>
      </c>
      <c r="J1591" s="34">
        <f t="shared" si="24"/>
        <v>2017</v>
      </c>
      <c r="K1591" s="29" t="str">
        <f>IF('Paste SD Data'!O1588="","",'Paste SD Data'!O1588)</f>
        <v/>
      </c>
    </row>
    <row r="1592" spans="1:11" ht="30" customHeight="1" x14ac:dyDescent="0.25">
      <c r="A1592" s="25" t="str">
        <f>IF(Table1[[#This Row],[Name of Student]]="","",ROWS($A$1:A1588))</f>
        <v/>
      </c>
      <c r="B1592" s="26" t="str">
        <f>IF('Paste SD Data'!A1589="","",'Paste SD Data'!A1589)</f>
        <v/>
      </c>
      <c r="C1592" s="26" t="str">
        <f>IF('Paste SD Data'!B1589="","",'Paste SD Data'!B1589)</f>
        <v/>
      </c>
      <c r="D1592" s="26" t="str">
        <f>IF('Paste SD Data'!C1589="","",'Paste SD Data'!C1589)</f>
        <v/>
      </c>
      <c r="E1592" s="27" t="str">
        <f>IF('Paste SD Data'!E1589="","",UPPER('Paste SD Data'!E1589))</f>
        <v/>
      </c>
      <c r="F1592" s="27" t="str">
        <f>IF('Paste SD Data'!G1589="","",UPPER('Paste SD Data'!G1589))</f>
        <v/>
      </c>
      <c r="G1592" s="27" t="str">
        <f>IF('Paste SD Data'!H1589="","",UPPER('Paste SD Data'!H1589))</f>
        <v/>
      </c>
      <c r="H1592" s="26" t="str">
        <f>IF('Paste SD Data'!I1589="","",IF('Paste SD Data'!I1589="M","BOY","GIRL"))</f>
        <v/>
      </c>
      <c r="I1592" s="28" t="str">
        <f>IF('Paste SD Data'!J1589="","",'Paste SD Data'!J1589)</f>
        <v/>
      </c>
      <c r="J1592" s="34">
        <f t="shared" si="24"/>
        <v>2018</v>
      </c>
      <c r="K1592" s="29" t="str">
        <f>IF('Paste SD Data'!O1589="","",'Paste SD Data'!O1589)</f>
        <v/>
      </c>
    </row>
    <row r="1593" spans="1:11" ht="30" customHeight="1" x14ac:dyDescent="0.25">
      <c r="A1593" s="25" t="str">
        <f>IF(Table1[[#This Row],[Name of Student]]="","",ROWS($A$1:A1589))</f>
        <v/>
      </c>
      <c r="B1593" s="26" t="str">
        <f>IF('Paste SD Data'!A1590="","",'Paste SD Data'!A1590)</f>
        <v/>
      </c>
      <c r="C1593" s="26" t="str">
        <f>IF('Paste SD Data'!B1590="","",'Paste SD Data'!B1590)</f>
        <v/>
      </c>
      <c r="D1593" s="26" t="str">
        <f>IF('Paste SD Data'!C1590="","",'Paste SD Data'!C1590)</f>
        <v/>
      </c>
      <c r="E1593" s="27" t="str">
        <f>IF('Paste SD Data'!E1590="","",UPPER('Paste SD Data'!E1590))</f>
        <v/>
      </c>
      <c r="F1593" s="27" t="str">
        <f>IF('Paste SD Data'!G1590="","",UPPER('Paste SD Data'!G1590))</f>
        <v/>
      </c>
      <c r="G1593" s="27" t="str">
        <f>IF('Paste SD Data'!H1590="","",UPPER('Paste SD Data'!H1590))</f>
        <v/>
      </c>
      <c r="H1593" s="26" t="str">
        <f>IF('Paste SD Data'!I1590="","",IF('Paste SD Data'!I1590="M","BOY","GIRL"))</f>
        <v/>
      </c>
      <c r="I1593" s="28" t="str">
        <f>IF('Paste SD Data'!J1590="","",'Paste SD Data'!J1590)</f>
        <v/>
      </c>
      <c r="J1593" s="34">
        <f t="shared" si="24"/>
        <v>2019</v>
      </c>
      <c r="K1593" s="29" t="str">
        <f>IF('Paste SD Data'!O1590="","",'Paste SD Data'!O1590)</f>
        <v/>
      </c>
    </row>
    <row r="1594" spans="1:11" ht="30" customHeight="1" x14ac:dyDescent="0.25">
      <c r="A1594" s="25" t="str">
        <f>IF(Table1[[#This Row],[Name of Student]]="","",ROWS($A$1:A1590))</f>
        <v/>
      </c>
      <c r="B1594" s="26" t="str">
        <f>IF('Paste SD Data'!A1591="","",'Paste SD Data'!A1591)</f>
        <v/>
      </c>
      <c r="C1594" s="26" t="str">
        <f>IF('Paste SD Data'!B1591="","",'Paste SD Data'!B1591)</f>
        <v/>
      </c>
      <c r="D1594" s="26" t="str">
        <f>IF('Paste SD Data'!C1591="","",'Paste SD Data'!C1591)</f>
        <v/>
      </c>
      <c r="E1594" s="27" t="str">
        <f>IF('Paste SD Data'!E1591="","",UPPER('Paste SD Data'!E1591))</f>
        <v/>
      </c>
      <c r="F1594" s="27" t="str">
        <f>IF('Paste SD Data'!G1591="","",UPPER('Paste SD Data'!G1591))</f>
        <v/>
      </c>
      <c r="G1594" s="27" t="str">
        <f>IF('Paste SD Data'!H1591="","",UPPER('Paste SD Data'!H1591))</f>
        <v/>
      </c>
      <c r="H1594" s="26" t="str">
        <f>IF('Paste SD Data'!I1591="","",IF('Paste SD Data'!I1591="M","BOY","GIRL"))</f>
        <v/>
      </c>
      <c r="I1594" s="28" t="str">
        <f>IF('Paste SD Data'!J1591="","",'Paste SD Data'!J1591)</f>
        <v/>
      </c>
      <c r="J1594" s="34">
        <f t="shared" si="24"/>
        <v>2020</v>
      </c>
      <c r="K1594" s="29" t="str">
        <f>IF('Paste SD Data'!O1591="","",'Paste SD Data'!O1591)</f>
        <v/>
      </c>
    </row>
    <row r="1595" spans="1:11" ht="30" customHeight="1" x14ac:dyDescent="0.25">
      <c r="A1595" s="25" t="str">
        <f>IF(Table1[[#This Row],[Name of Student]]="","",ROWS($A$1:A1591))</f>
        <v/>
      </c>
      <c r="B1595" s="26" t="str">
        <f>IF('Paste SD Data'!A1592="","",'Paste SD Data'!A1592)</f>
        <v/>
      </c>
      <c r="C1595" s="26" t="str">
        <f>IF('Paste SD Data'!B1592="","",'Paste SD Data'!B1592)</f>
        <v/>
      </c>
      <c r="D1595" s="26" t="str">
        <f>IF('Paste SD Data'!C1592="","",'Paste SD Data'!C1592)</f>
        <v/>
      </c>
      <c r="E1595" s="27" t="str">
        <f>IF('Paste SD Data'!E1592="","",UPPER('Paste SD Data'!E1592))</f>
        <v/>
      </c>
      <c r="F1595" s="27" t="str">
        <f>IF('Paste SD Data'!G1592="","",UPPER('Paste SD Data'!G1592))</f>
        <v/>
      </c>
      <c r="G1595" s="27" t="str">
        <f>IF('Paste SD Data'!H1592="","",UPPER('Paste SD Data'!H1592))</f>
        <v/>
      </c>
      <c r="H1595" s="26" t="str">
        <f>IF('Paste SD Data'!I1592="","",IF('Paste SD Data'!I1592="M","BOY","GIRL"))</f>
        <v/>
      </c>
      <c r="I1595" s="28" t="str">
        <f>IF('Paste SD Data'!J1592="","",'Paste SD Data'!J1592)</f>
        <v/>
      </c>
      <c r="J1595" s="34">
        <f t="shared" si="24"/>
        <v>2021</v>
      </c>
      <c r="K1595" s="29" t="str">
        <f>IF('Paste SD Data'!O1592="","",'Paste SD Data'!O1592)</f>
        <v/>
      </c>
    </row>
    <row r="1596" spans="1:11" ht="30" customHeight="1" x14ac:dyDescent="0.25">
      <c r="A1596" s="25" t="str">
        <f>IF(Table1[[#This Row],[Name of Student]]="","",ROWS($A$1:A1592))</f>
        <v/>
      </c>
      <c r="B1596" s="26" t="str">
        <f>IF('Paste SD Data'!A1593="","",'Paste SD Data'!A1593)</f>
        <v/>
      </c>
      <c r="C1596" s="26" t="str">
        <f>IF('Paste SD Data'!B1593="","",'Paste SD Data'!B1593)</f>
        <v/>
      </c>
      <c r="D1596" s="26" t="str">
        <f>IF('Paste SD Data'!C1593="","",'Paste SD Data'!C1593)</f>
        <v/>
      </c>
      <c r="E1596" s="27" t="str">
        <f>IF('Paste SD Data'!E1593="","",UPPER('Paste SD Data'!E1593))</f>
        <v/>
      </c>
      <c r="F1596" s="27" t="str">
        <f>IF('Paste SD Data'!G1593="","",UPPER('Paste SD Data'!G1593))</f>
        <v/>
      </c>
      <c r="G1596" s="27" t="str">
        <f>IF('Paste SD Data'!H1593="","",UPPER('Paste SD Data'!H1593))</f>
        <v/>
      </c>
      <c r="H1596" s="26" t="str">
        <f>IF('Paste SD Data'!I1593="","",IF('Paste SD Data'!I1593="M","BOY","GIRL"))</f>
        <v/>
      </c>
      <c r="I1596" s="28" t="str">
        <f>IF('Paste SD Data'!J1593="","",'Paste SD Data'!J1593)</f>
        <v/>
      </c>
      <c r="J1596" s="34">
        <f t="shared" si="24"/>
        <v>2022</v>
      </c>
      <c r="K1596" s="29" t="str">
        <f>IF('Paste SD Data'!O1593="","",'Paste SD Data'!O1593)</f>
        <v/>
      </c>
    </row>
    <row r="1597" spans="1:11" ht="30" customHeight="1" x14ac:dyDescent="0.25">
      <c r="A1597" s="25" t="str">
        <f>IF(Table1[[#This Row],[Name of Student]]="","",ROWS($A$1:A1593))</f>
        <v/>
      </c>
      <c r="B1597" s="26" t="str">
        <f>IF('Paste SD Data'!A1594="","",'Paste SD Data'!A1594)</f>
        <v/>
      </c>
      <c r="C1597" s="26" t="str">
        <f>IF('Paste SD Data'!B1594="","",'Paste SD Data'!B1594)</f>
        <v/>
      </c>
      <c r="D1597" s="26" t="str">
        <f>IF('Paste SD Data'!C1594="","",'Paste SD Data'!C1594)</f>
        <v/>
      </c>
      <c r="E1597" s="27" t="str">
        <f>IF('Paste SD Data'!E1594="","",UPPER('Paste SD Data'!E1594))</f>
        <v/>
      </c>
      <c r="F1597" s="27" t="str">
        <f>IF('Paste SD Data'!G1594="","",UPPER('Paste SD Data'!G1594))</f>
        <v/>
      </c>
      <c r="G1597" s="27" t="str">
        <f>IF('Paste SD Data'!H1594="","",UPPER('Paste SD Data'!H1594))</f>
        <v/>
      </c>
      <c r="H1597" s="26" t="str">
        <f>IF('Paste SD Data'!I1594="","",IF('Paste SD Data'!I1594="M","BOY","GIRL"))</f>
        <v/>
      </c>
      <c r="I1597" s="28" t="str">
        <f>IF('Paste SD Data'!J1594="","",'Paste SD Data'!J1594)</f>
        <v/>
      </c>
      <c r="J1597" s="34">
        <f t="shared" si="24"/>
        <v>2023</v>
      </c>
      <c r="K1597" s="29" t="str">
        <f>IF('Paste SD Data'!O1594="","",'Paste SD Data'!O1594)</f>
        <v/>
      </c>
    </row>
    <row r="1598" spans="1:11" ht="30" customHeight="1" x14ac:dyDescent="0.25">
      <c r="A1598" s="25" t="str">
        <f>IF(Table1[[#This Row],[Name of Student]]="","",ROWS($A$1:A1594))</f>
        <v/>
      </c>
      <c r="B1598" s="26" t="str">
        <f>IF('Paste SD Data'!A1595="","",'Paste SD Data'!A1595)</f>
        <v/>
      </c>
      <c r="C1598" s="26" t="str">
        <f>IF('Paste SD Data'!B1595="","",'Paste SD Data'!B1595)</f>
        <v/>
      </c>
      <c r="D1598" s="26" t="str">
        <f>IF('Paste SD Data'!C1595="","",'Paste SD Data'!C1595)</f>
        <v/>
      </c>
      <c r="E1598" s="27" t="str">
        <f>IF('Paste SD Data'!E1595="","",UPPER('Paste SD Data'!E1595))</f>
        <v/>
      </c>
      <c r="F1598" s="27" t="str">
        <f>IF('Paste SD Data'!G1595="","",UPPER('Paste SD Data'!G1595))</f>
        <v/>
      </c>
      <c r="G1598" s="27" t="str">
        <f>IF('Paste SD Data'!H1595="","",UPPER('Paste SD Data'!H1595))</f>
        <v/>
      </c>
      <c r="H1598" s="26" t="str">
        <f>IF('Paste SD Data'!I1595="","",IF('Paste SD Data'!I1595="M","BOY","GIRL"))</f>
        <v/>
      </c>
      <c r="I1598" s="28" t="str">
        <f>IF('Paste SD Data'!J1595="","",'Paste SD Data'!J1595)</f>
        <v/>
      </c>
      <c r="J1598" s="34">
        <f t="shared" si="24"/>
        <v>2024</v>
      </c>
      <c r="K1598" s="29" t="str">
        <f>IF('Paste SD Data'!O1595="","",'Paste SD Data'!O1595)</f>
        <v/>
      </c>
    </row>
    <row r="1599" spans="1:11" ht="30" customHeight="1" x14ac:dyDescent="0.25">
      <c r="A1599" s="25" t="str">
        <f>IF(Table1[[#This Row],[Name of Student]]="","",ROWS($A$1:A1595))</f>
        <v/>
      </c>
      <c r="B1599" s="26" t="str">
        <f>IF('Paste SD Data'!A1596="","",'Paste SD Data'!A1596)</f>
        <v/>
      </c>
      <c r="C1599" s="26" t="str">
        <f>IF('Paste SD Data'!B1596="","",'Paste SD Data'!B1596)</f>
        <v/>
      </c>
      <c r="D1599" s="26" t="str">
        <f>IF('Paste SD Data'!C1596="","",'Paste SD Data'!C1596)</f>
        <v/>
      </c>
      <c r="E1599" s="27" t="str">
        <f>IF('Paste SD Data'!E1596="","",UPPER('Paste SD Data'!E1596))</f>
        <v/>
      </c>
      <c r="F1599" s="27" t="str">
        <f>IF('Paste SD Data'!G1596="","",UPPER('Paste SD Data'!G1596))</f>
        <v/>
      </c>
      <c r="G1599" s="27" t="str">
        <f>IF('Paste SD Data'!H1596="","",UPPER('Paste SD Data'!H1596))</f>
        <v/>
      </c>
      <c r="H1599" s="26" t="str">
        <f>IF('Paste SD Data'!I1596="","",IF('Paste SD Data'!I1596="M","BOY","GIRL"))</f>
        <v/>
      </c>
      <c r="I1599" s="28" t="str">
        <f>IF('Paste SD Data'!J1596="","",'Paste SD Data'!J1596)</f>
        <v/>
      </c>
      <c r="J1599" s="34">
        <f t="shared" si="24"/>
        <v>2025</v>
      </c>
      <c r="K1599" s="29" t="str">
        <f>IF('Paste SD Data'!O1596="","",'Paste SD Data'!O1596)</f>
        <v/>
      </c>
    </row>
    <row r="1600" spans="1:11" ht="30" customHeight="1" x14ac:dyDescent="0.25">
      <c r="A1600" s="25" t="str">
        <f>IF(Table1[[#This Row],[Name of Student]]="","",ROWS($A$1:A1596))</f>
        <v/>
      </c>
      <c r="B1600" s="26" t="str">
        <f>IF('Paste SD Data'!A1597="","",'Paste SD Data'!A1597)</f>
        <v/>
      </c>
      <c r="C1600" s="26" t="str">
        <f>IF('Paste SD Data'!B1597="","",'Paste SD Data'!B1597)</f>
        <v/>
      </c>
      <c r="D1600" s="26" t="str">
        <f>IF('Paste SD Data'!C1597="","",'Paste SD Data'!C1597)</f>
        <v/>
      </c>
      <c r="E1600" s="27" t="str">
        <f>IF('Paste SD Data'!E1597="","",UPPER('Paste SD Data'!E1597))</f>
        <v/>
      </c>
      <c r="F1600" s="27" t="str">
        <f>IF('Paste SD Data'!G1597="","",UPPER('Paste SD Data'!G1597))</f>
        <v/>
      </c>
      <c r="G1600" s="27" t="str">
        <f>IF('Paste SD Data'!H1597="","",UPPER('Paste SD Data'!H1597))</f>
        <v/>
      </c>
      <c r="H1600" s="26" t="str">
        <f>IF('Paste SD Data'!I1597="","",IF('Paste SD Data'!I1597="M","BOY","GIRL"))</f>
        <v/>
      </c>
      <c r="I1600" s="28" t="str">
        <f>IF('Paste SD Data'!J1597="","",'Paste SD Data'!J1597)</f>
        <v/>
      </c>
      <c r="J1600" s="34">
        <f t="shared" si="24"/>
        <v>2026</v>
      </c>
      <c r="K1600" s="29" t="str">
        <f>IF('Paste SD Data'!O1597="","",'Paste SD Data'!O1597)</f>
        <v/>
      </c>
    </row>
    <row r="1601" spans="1:11" ht="30" customHeight="1" x14ac:dyDescent="0.25">
      <c r="A1601" s="25" t="str">
        <f>IF(Table1[[#This Row],[Name of Student]]="","",ROWS($A$1:A1597))</f>
        <v/>
      </c>
      <c r="B1601" s="26" t="str">
        <f>IF('Paste SD Data'!A1598="","",'Paste SD Data'!A1598)</f>
        <v/>
      </c>
      <c r="C1601" s="26" t="str">
        <f>IF('Paste SD Data'!B1598="","",'Paste SD Data'!B1598)</f>
        <v/>
      </c>
      <c r="D1601" s="26" t="str">
        <f>IF('Paste SD Data'!C1598="","",'Paste SD Data'!C1598)</f>
        <v/>
      </c>
      <c r="E1601" s="27" t="str">
        <f>IF('Paste SD Data'!E1598="","",UPPER('Paste SD Data'!E1598))</f>
        <v/>
      </c>
      <c r="F1601" s="27" t="str">
        <f>IF('Paste SD Data'!G1598="","",UPPER('Paste SD Data'!G1598))</f>
        <v/>
      </c>
      <c r="G1601" s="27" t="str">
        <f>IF('Paste SD Data'!H1598="","",UPPER('Paste SD Data'!H1598))</f>
        <v/>
      </c>
      <c r="H1601" s="26" t="str">
        <f>IF('Paste SD Data'!I1598="","",IF('Paste SD Data'!I1598="M","BOY","GIRL"))</f>
        <v/>
      </c>
      <c r="I1601" s="28" t="str">
        <f>IF('Paste SD Data'!J1598="","",'Paste SD Data'!J1598)</f>
        <v/>
      </c>
      <c r="J1601" s="34">
        <f t="shared" si="24"/>
        <v>2027</v>
      </c>
      <c r="K1601" s="29" t="str">
        <f>IF('Paste SD Data'!O1598="","",'Paste SD Data'!O1598)</f>
        <v/>
      </c>
    </row>
    <row r="1602" spans="1:11" ht="30" customHeight="1" x14ac:dyDescent="0.25">
      <c r="A1602" s="25" t="str">
        <f>IF(Table1[[#This Row],[Name of Student]]="","",ROWS($A$1:A1598))</f>
        <v/>
      </c>
      <c r="B1602" s="26" t="str">
        <f>IF('Paste SD Data'!A1599="","",'Paste SD Data'!A1599)</f>
        <v/>
      </c>
      <c r="C1602" s="26" t="str">
        <f>IF('Paste SD Data'!B1599="","",'Paste SD Data'!B1599)</f>
        <v/>
      </c>
      <c r="D1602" s="26" t="str">
        <f>IF('Paste SD Data'!C1599="","",'Paste SD Data'!C1599)</f>
        <v/>
      </c>
      <c r="E1602" s="27" t="str">
        <f>IF('Paste SD Data'!E1599="","",UPPER('Paste SD Data'!E1599))</f>
        <v/>
      </c>
      <c r="F1602" s="27" t="str">
        <f>IF('Paste SD Data'!G1599="","",UPPER('Paste SD Data'!G1599))</f>
        <v/>
      </c>
      <c r="G1602" s="27" t="str">
        <f>IF('Paste SD Data'!H1599="","",UPPER('Paste SD Data'!H1599))</f>
        <v/>
      </c>
      <c r="H1602" s="26" t="str">
        <f>IF('Paste SD Data'!I1599="","",IF('Paste SD Data'!I1599="M","BOY","GIRL"))</f>
        <v/>
      </c>
      <c r="I1602" s="28" t="str">
        <f>IF('Paste SD Data'!J1599="","",'Paste SD Data'!J1599)</f>
        <v/>
      </c>
      <c r="J1602" s="34">
        <f t="shared" si="24"/>
        <v>2028</v>
      </c>
      <c r="K1602" s="29" t="str">
        <f>IF('Paste SD Data'!O1599="","",'Paste SD Data'!O1599)</f>
        <v/>
      </c>
    </row>
    <row r="1603" spans="1:11" ht="30" customHeight="1" x14ac:dyDescent="0.25">
      <c r="A1603" s="25" t="str">
        <f>IF(Table1[[#This Row],[Name of Student]]="","",ROWS($A$1:A1599))</f>
        <v/>
      </c>
      <c r="B1603" s="26" t="str">
        <f>IF('Paste SD Data'!A1600="","",'Paste SD Data'!A1600)</f>
        <v/>
      </c>
      <c r="C1603" s="26" t="str">
        <f>IF('Paste SD Data'!B1600="","",'Paste SD Data'!B1600)</f>
        <v/>
      </c>
      <c r="D1603" s="26" t="str">
        <f>IF('Paste SD Data'!C1600="","",'Paste SD Data'!C1600)</f>
        <v/>
      </c>
      <c r="E1603" s="27" t="str">
        <f>IF('Paste SD Data'!E1600="","",UPPER('Paste SD Data'!E1600))</f>
        <v/>
      </c>
      <c r="F1603" s="27" t="str">
        <f>IF('Paste SD Data'!G1600="","",UPPER('Paste SD Data'!G1600))</f>
        <v/>
      </c>
      <c r="G1603" s="27" t="str">
        <f>IF('Paste SD Data'!H1600="","",UPPER('Paste SD Data'!H1600))</f>
        <v/>
      </c>
      <c r="H1603" s="26" t="str">
        <f>IF('Paste SD Data'!I1600="","",IF('Paste SD Data'!I1600="M","BOY","GIRL"))</f>
        <v/>
      </c>
      <c r="I1603" s="28" t="str">
        <f>IF('Paste SD Data'!J1600="","",'Paste SD Data'!J1600)</f>
        <v/>
      </c>
      <c r="J1603" s="34">
        <f t="shared" si="24"/>
        <v>2029</v>
      </c>
      <c r="K1603" s="29" t="str">
        <f>IF('Paste SD Data'!O1600="","",'Paste SD Data'!O1600)</f>
        <v/>
      </c>
    </row>
    <row r="1604" spans="1:11" ht="30" customHeight="1" x14ac:dyDescent="0.25">
      <c r="A1604" s="25" t="str">
        <f>IF(Table1[[#This Row],[Name of Student]]="","",ROWS($A$1:A1600))</f>
        <v/>
      </c>
      <c r="B1604" s="26" t="str">
        <f>IF('Paste SD Data'!A1601="","",'Paste SD Data'!A1601)</f>
        <v/>
      </c>
      <c r="C1604" s="26" t="str">
        <f>IF('Paste SD Data'!B1601="","",'Paste SD Data'!B1601)</f>
        <v/>
      </c>
      <c r="D1604" s="26" t="str">
        <f>IF('Paste SD Data'!C1601="","",'Paste SD Data'!C1601)</f>
        <v/>
      </c>
      <c r="E1604" s="27" t="str">
        <f>IF('Paste SD Data'!E1601="","",UPPER('Paste SD Data'!E1601))</f>
        <v/>
      </c>
      <c r="F1604" s="27" t="str">
        <f>IF('Paste SD Data'!G1601="","",UPPER('Paste SD Data'!G1601))</f>
        <v/>
      </c>
      <c r="G1604" s="27" t="str">
        <f>IF('Paste SD Data'!H1601="","",UPPER('Paste SD Data'!H1601))</f>
        <v/>
      </c>
      <c r="H1604" s="26" t="str">
        <f>IF('Paste SD Data'!I1601="","",IF('Paste SD Data'!I1601="M","BOY","GIRL"))</f>
        <v/>
      </c>
      <c r="I1604" s="28" t="str">
        <f>IF('Paste SD Data'!J1601="","",'Paste SD Data'!J1601)</f>
        <v/>
      </c>
      <c r="J1604" s="34">
        <f t="shared" si="24"/>
        <v>2030</v>
      </c>
      <c r="K1604" s="29" t="str">
        <f>IF('Paste SD Data'!O1601="","",'Paste SD Data'!O1601)</f>
        <v/>
      </c>
    </row>
    <row r="1605" spans="1:11" ht="30" customHeight="1" x14ac:dyDescent="0.25">
      <c r="A1605" s="25" t="str">
        <f>IF(Table1[[#This Row],[Name of Student]]="","",ROWS($A$1:A1601))</f>
        <v/>
      </c>
      <c r="B1605" s="26" t="str">
        <f>IF('Paste SD Data'!A1602="","",'Paste SD Data'!A1602)</f>
        <v/>
      </c>
      <c r="C1605" s="26" t="str">
        <f>IF('Paste SD Data'!B1602="","",'Paste SD Data'!B1602)</f>
        <v/>
      </c>
      <c r="D1605" s="26" t="str">
        <f>IF('Paste SD Data'!C1602="","",'Paste SD Data'!C1602)</f>
        <v/>
      </c>
      <c r="E1605" s="27" t="str">
        <f>IF('Paste SD Data'!E1602="","",UPPER('Paste SD Data'!E1602))</f>
        <v/>
      </c>
      <c r="F1605" s="27" t="str">
        <f>IF('Paste SD Data'!G1602="","",UPPER('Paste SD Data'!G1602))</f>
        <v/>
      </c>
      <c r="G1605" s="27" t="str">
        <f>IF('Paste SD Data'!H1602="","",UPPER('Paste SD Data'!H1602))</f>
        <v/>
      </c>
      <c r="H1605" s="26" t="str">
        <f>IF('Paste SD Data'!I1602="","",IF('Paste SD Data'!I1602="M","BOY","GIRL"))</f>
        <v/>
      </c>
      <c r="I1605" s="28" t="str">
        <f>IF('Paste SD Data'!J1602="","",'Paste SD Data'!J1602)</f>
        <v/>
      </c>
      <c r="J1605" s="34">
        <f t="shared" si="24"/>
        <v>2031</v>
      </c>
      <c r="K1605" s="29" t="str">
        <f>IF('Paste SD Data'!O1602="","",'Paste SD Data'!O1602)</f>
        <v/>
      </c>
    </row>
    <row r="1606" spans="1:11" ht="30" customHeight="1" x14ac:dyDescent="0.25">
      <c r="A1606" s="25" t="str">
        <f>IF(Table1[[#This Row],[Name of Student]]="","",ROWS($A$1:A1602))</f>
        <v/>
      </c>
      <c r="B1606" s="26" t="str">
        <f>IF('Paste SD Data'!A1603="","",'Paste SD Data'!A1603)</f>
        <v/>
      </c>
      <c r="C1606" s="26" t="str">
        <f>IF('Paste SD Data'!B1603="","",'Paste SD Data'!B1603)</f>
        <v/>
      </c>
      <c r="D1606" s="26" t="str">
        <f>IF('Paste SD Data'!C1603="","",'Paste SD Data'!C1603)</f>
        <v/>
      </c>
      <c r="E1606" s="27" t="str">
        <f>IF('Paste SD Data'!E1603="","",UPPER('Paste SD Data'!E1603))</f>
        <v/>
      </c>
      <c r="F1606" s="27" t="str">
        <f>IF('Paste SD Data'!G1603="","",UPPER('Paste SD Data'!G1603))</f>
        <v/>
      </c>
      <c r="G1606" s="27" t="str">
        <f>IF('Paste SD Data'!H1603="","",UPPER('Paste SD Data'!H1603))</f>
        <v/>
      </c>
      <c r="H1606" s="26" t="str">
        <f>IF('Paste SD Data'!I1603="","",IF('Paste SD Data'!I1603="M","BOY","GIRL"))</f>
        <v/>
      </c>
      <c r="I1606" s="28" t="str">
        <f>IF('Paste SD Data'!J1603="","",'Paste SD Data'!J1603)</f>
        <v/>
      </c>
      <c r="J1606" s="34">
        <f t="shared" si="24"/>
        <v>2032</v>
      </c>
      <c r="K1606" s="29" t="str">
        <f>IF('Paste SD Data'!O1603="","",'Paste SD Data'!O1603)</f>
        <v/>
      </c>
    </row>
    <row r="1607" spans="1:11" ht="30" customHeight="1" x14ac:dyDescent="0.25">
      <c r="A1607" s="25" t="str">
        <f>IF(Table1[[#This Row],[Name of Student]]="","",ROWS($A$1:A1603))</f>
        <v/>
      </c>
      <c r="B1607" s="26" t="str">
        <f>IF('Paste SD Data'!A1604="","",'Paste SD Data'!A1604)</f>
        <v/>
      </c>
      <c r="C1607" s="26" t="str">
        <f>IF('Paste SD Data'!B1604="","",'Paste SD Data'!B1604)</f>
        <v/>
      </c>
      <c r="D1607" s="26" t="str">
        <f>IF('Paste SD Data'!C1604="","",'Paste SD Data'!C1604)</f>
        <v/>
      </c>
      <c r="E1607" s="27" t="str">
        <f>IF('Paste SD Data'!E1604="","",UPPER('Paste SD Data'!E1604))</f>
        <v/>
      </c>
      <c r="F1607" s="27" t="str">
        <f>IF('Paste SD Data'!G1604="","",UPPER('Paste SD Data'!G1604))</f>
        <v/>
      </c>
      <c r="G1607" s="27" t="str">
        <f>IF('Paste SD Data'!H1604="","",UPPER('Paste SD Data'!H1604))</f>
        <v/>
      </c>
      <c r="H1607" s="26" t="str">
        <f>IF('Paste SD Data'!I1604="","",IF('Paste SD Data'!I1604="M","BOY","GIRL"))</f>
        <v/>
      </c>
      <c r="I1607" s="28" t="str">
        <f>IF('Paste SD Data'!J1604="","",'Paste SD Data'!J1604)</f>
        <v/>
      </c>
      <c r="J1607" s="34">
        <f t="shared" ref="J1607:J1670" si="25">J1606+1</f>
        <v>2033</v>
      </c>
      <c r="K1607" s="29" t="str">
        <f>IF('Paste SD Data'!O1604="","",'Paste SD Data'!O1604)</f>
        <v/>
      </c>
    </row>
    <row r="1608" spans="1:11" ht="30" customHeight="1" x14ac:dyDescent="0.25">
      <c r="A1608" s="25" t="str">
        <f>IF(Table1[[#This Row],[Name of Student]]="","",ROWS($A$1:A1604))</f>
        <v/>
      </c>
      <c r="B1608" s="26" t="str">
        <f>IF('Paste SD Data'!A1605="","",'Paste SD Data'!A1605)</f>
        <v/>
      </c>
      <c r="C1608" s="26" t="str">
        <f>IF('Paste SD Data'!B1605="","",'Paste SD Data'!B1605)</f>
        <v/>
      </c>
      <c r="D1608" s="26" t="str">
        <f>IF('Paste SD Data'!C1605="","",'Paste SD Data'!C1605)</f>
        <v/>
      </c>
      <c r="E1608" s="27" t="str">
        <f>IF('Paste SD Data'!E1605="","",UPPER('Paste SD Data'!E1605))</f>
        <v/>
      </c>
      <c r="F1608" s="27" t="str">
        <f>IF('Paste SD Data'!G1605="","",UPPER('Paste SD Data'!G1605))</f>
        <v/>
      </c>
      <c r="G1608" s="27" t="str">
        <f>IF('Paste SD Data'!H1605="","",UPPER('Paste SD Data'!H1605))</f>
        <v/>
      </c>
      <c r="H1608" s="26" t="str">
        <f>IF('Paste SD Data'!I1605="","",IF('Paste SD Data'!I1605="M","BOY","GIRL"))</f>
        <v/>
      </c>
      <c r="I1608" s="28" t="str">
        <f>IF('Paste SD Data'!J1605="","",'Paste SD Data'!J1605)</f>
        <v/>
      </c>
      <c r="J1608" s="34">
        <f t="shared" si="25"/>
        <v>2034</v>
      </c>
      <c r="K1608" s="29" t="str">
        <f>IF('Paste SD Data'!O1605="","",'Paste SD Data'!O1605)</f>
        <v/>
      </c>
    </row>
    <row r="1609" spans="1:11" ht="30" customHeight="1" x14ac:dyDescent="0.25">
      <c r="A1609" s="25" t="str">
        <f>IF(Table1[[#This Row],[Name of Student]]="","",ROWS($A$1:A1605))</f>
        <v/>
      </c>
      <c r="B1609" s="26" t="str">
        <f>IF('Paste SD Data'!A1606="","",'Paste SD Data'!A1606)</f>
        <v/>
      </c>
      <c r="C1609" s="26" t="str">
        <f>IF('Paste SD Data'!B1606="","",'Paste SD Data'!B1606)</f>
        <v/>
      </c>
      <c r="D1609" s="26" t="str">
        <f>IF('Paste SD Data'!C1606="","",'Paste SD Data'!C1606)</f>
        <v/>
      </c>
      <c r="E1609" s="27" t="str">
        <f>IF('Paste SD Data'!E1606="","",UPPER('Paste SD Data'!E1606))</f>
        <v/>
      </c>
      <c r="F1609" s="27" t="str">
        <f>IF('Paste SD Data'!G1606="","",UPPER('Paste SD Data'!G1606))</f>
        <v/>
      </c>
      <c r="G1609" s="27" t="str">
        <f>IF('Paste SD Data'!H1606="","",UPPER('Paste SD Data'!H1606))</f>
        <v/>
      </c>
      <c r="H1609" s="26" t="str">
        <f>IF('Paste SD Data'!I1606="","",IF('Paste SD Data'!I1606="M","BOY","GIRL"))</f>
        <v/>
      </c>
      <c r="I1609" s="28" t="str">
        <f>IF('Paste SD Data'!J1606="","",'Paste SD Data'!J1606)</f>
        <v/>
      </c>
      <c r="J1609" s="34">
        <f t="shared" si="25"/>
        <v>2035</v>
      </c>
      <c r="K1609" s="29" t="str">
        <f>IF('Paste SD Data'!O1606="","",'Paste SD Data'!O1606)</f>
        <v/>
      </c>
    </row>
    <row r="1610" spans="1:11" ht="30" customHeight="1" x14ac:dyDescent="0.25">
      <c r="A1610" s="25" t="str">
        <f>IF(Table1[[#This Row],[Name of Student]]="","",ROWS($A$1:A1606))</f>
        <v/>
      </c>
      <c r="B1610" s="26" t="str">
        <f>IF('Paste SD Data'!A1607="","",'Paste SD Data'!A1607)</f>
        <v/>
      </c>
      <c r="C1610" s="26" t="str">
        <f>IF('Paste SD Data'!B1607="","",'Paste SD Data'!B1607)</f>
        <v/>
      </c>
      <c r="D1610" s="26" t="str">
        <f>IF('Paste SD Data'!C1607="","",'Paste SD Data'!C1607)</f>
        <v/>
      </c>
      <c r="E1610" s="27" t="str">
        <f>IF('Paste SD Data'!E1607="","",UPPER('Paste SD Data'!E1607))</f>
        <v/>
      </c>
      <c r="F1610" s="27" t="str">
        <f>IF('Paste SD Data'!G1607="","",UPPER('Paste SD Data'!G1607))</f>
        <v/>
      </c>
      <c r="G1610" s="27" t="str">
        <f>IF('Paste SD Data'!H1607="","",UPPER('Paste SD Data'!H1607))</f>
        <v/>
      </c>
      <c r="H1610" s="26" t="str">
        <f>IF('Paste SD Data'!I1607="","",IF('Paste SD Data'!I1607="M","BOY","GIRL"))</f>
        <v/>
      </c>
      <c r="I1610" s="28" t="str">
        <f>IF('Paste SD Data'!J1607="","",'Paste SD Data'!J1607)</f>
        <v/>
      </c>
      <c r="J1610" s="34">
        <f t="shared" si="25"/>
        <v>2036</v>
      </c>
      <c r="K1610" s="29" t="str">
        <f>IF('Paste SD Data'!O1607="","",'Paste SD Data'!O1607)</f>
        <v/>
      </c>
    </row>
    <row r="1611" spans="1:11" ht="30" customHeight="1" x14ac:dyDescent="0.25">
      <c r="A1611" s="25" t="str">
        <f>IF(Table1[[#This Row],[Name of Student]]="","",ROWS($A$1:A1607))</f>
        <v/>
      </c>
      <c r="B1611" s="26" t="str">
        <f>IF('Paste SD Data'!A1608="","",'Paste SD Data'!A1608)</f>
        <v/>
      </c>
      <c r="C1611" s="26" t="str">
        <f>IF('Paste SD Data'!B1608="","",'Paste SD Data'!B1608)</f>
        <v/>
      </c>
      <c r="D1611" s="26" t="str">
        <f>IF('Paste SD Data'!C1608="","",'Paste SD Data'!C1608)</f>
        <v/>
      </c>
      <c r="E1611" s="27" t="str">
        <f>IF('Paste SD Data'!E1608="","",UPPER('Paste SD Data'!E1608))</f>
        <v/>
      </c>
      <c r="F1611" s="27" t="str">
        <f>IF('Paste SD Data'!G1608="","",UPPER('Paste SD Data'!G1608))</f>
        <v/>
      </c>
      <c r="G1611" s="27" t="str">
        <f>IF('Paste SD Data'!H1608="","",UPPER('Paste SD Data'!H1608))</f>
        <v/>
      </c>
      <c r="H1611" s="26" t="str">
        <f>IF('Paste SD Data'!I1608="","",IF('Paste SD Data'!I1608="M","BOY","GIRL"))</f>
        <v/>
      </c>
      <c r="I1611" s="28" t="str">
        <f>IF('Paste SD Data'!J1608="","",'Paste SD Data'!J1608)</f>
        <v/>
      </c>
      <c r="J1611" s="34">
        <f t="shared" si="25"/>
        <v>2037</v>
      </c>
      <c r="K1611" s="29" t="str">
        <f>IF('Paste SD Data'!O1608="","",'Paste SD Data'!O1608)</f>
        <v/>
      </c>
    </row>
    <row r="1612" spans="1:11" ht="30" customHeight="1" x14ac:dyDescent="0.25">
      <c r="A1612" s="25" t="str">
        <f>IF(Table1[[#This Row],[Name of Student]]="","",ROWS($A$1:A1608))</f>
        <v/>
      </c>
      <c r="B1612" s="26" t="str">
        <f>IF('Paste SD Data'!A1609="","",'Paste SD Data'!A1609)</f>
        <v/>
      </c>
      <c r="C1612" s="26" t="str">
        <f>IF('Paste SD Data'!B1609="","",'Paste SD Data'!B1609)</f>
        <v/>
      </c>
      <c r="D1612" s="26" t="str">
        <f>IF('Paste SD Data'!C1609="","",'Paste SD Data'!C1609)</f>
        <v/>
      </c>
      <c r="E1612" s="27" t="str">
        <f>IF('Paste SD Data'!E1609="","",UPPER('Paste SD Data'!E1609))</f>
        <v/>
      </c>
      <c r="F1612" s="27" t="str">
        <f>IF('Paste SD Data'!G1609="","",UPPER('Paste SD Data'!G1609))</f>
        <v/>
      </c>
      <c r="G1612" s="27" t="str">
        <f>IF('Paste SD Data'!H1609="","",UPPER('Paste SD Data'!H1609))</f>
        <v/>
      </c>
      <c r="H1612" s="26" t="str">
        <f>IF('Paste SD Data'!I1609="","",IF('Paste SD Data'!I1609="M","BOY","GIRL"))</f>
        <v/>
      </c>
      <c r="I1612" s="28" t="str">
        <f>IF('Paste SD Data'!J1609="","",'Paste SD Data'!J1609)</f>
        <v/>
      </c>
      <c r="J1612" s="34">
        <f t="shared" si="25"/>
        <v>2038</v>
      </c>
      <c r="K1612" s="29" t="str">
        <f>IF('Paste SD Data'!O1609="","",'Paste SD Data'!O1609)</f>
        <v/>
      </c>
    </row>
    <row r="1613" spans="1:11" ht="30" customHeight="1" x14ac:dyDescent="0.25">
      <c r="A1613" s="25" t="str">
        <f>IF(Table1[[#This Row],[Name of Student]]="","",ROWS($A$1:A1609))</f>
        <v/>
      </c>
      <c r="B1613" s="26" t="str">
        <f>IF('Paste SD Data'!A1610="","",'Paste SD Data'!A1610)</f>
        <v/>
      </c>
      <c r="C1613" s="26" t="str">
        <f>IF('Paste SD Data'!B1610="","",'Paste SD Data'!B1610)</f>
        <v/>
      </c>
      <c r="D1613" s="26" t="str">
        <f>IF('Paste SD Data'!C1610="","",'Paste SD Data'!C1610)</f>
        <v/>
      </c>
      <c r="E1613" s="27" t="str">
        <f>IF('Paste SD Data'!E1610="","",UPPER('Paste SD Data'!E1610))</f>
        <v/>
      </c>
      <c r="F1613" s="27" t="str">
        <f>IF('Paste SD Data'!G1610="","",UPPER('Paste SD Data'!G1610))</f>
        <v/>
      </c>
      <c r="G1613" s="27" t="str">
        <f>IF('Paste SD Data'!H1610="","",UPPER('Paste SD Data'!H1610))</f>
        <v/>
      </c>
      <c r="H1613" s="26" t="str">
        <f>IF('Paste SD Data'!I1610="","",IF('Paste SD Data'!I1610="M","BOY","GIRL"))</f>
        <v/>
      </c>
      <c r="I1613" s="28" t="str">
        <f>IF('Paste SD Data'!J1610="","",'Paste SD Data'!J1610)</f>
        <v/>
      </c>
      <c r="J1613" s="34">
        <f t="shared" si="25"/>
        <v>2039</v>
      </c>
      <c r="K1613" s="29" t="str">
        <f>IF('Paste SD Data'!O1610="","",'Paste SD Data'!O1610)</f>
        <v/>
      </c>
    </row>
    <row r="1614" spans="1:11" ht="30" customHeight="1" x14ac:dyDescent="0.25">
      <c r="A1614" s="25" t="str">
        <f>IF(Table1[[#This Row],[Name of Student]]="","",ROWS($A$1:A1610))</f>
        <v/>
      </c>
      <c r="B1614" s="26" t="str">
        <f>IF('Paste SD Data'!A1611="","",'Paste SD Data'!A1611)</f>
        <v/>
      </c>
      <c r="C1614" s="26" t="str">
        <f>IF('Paste SD Data'!B1611="","",'Paste SD Data'!B1611)</f>
        <v/>
      </c>
      <c r="D1614" s="26" t="str">
        <f>IF('Paste SD Data'!C1611="","",'Paste SD Data'!C1611)</f>
        <v/>
      </c>
      <c r="E1614" s="27" t="str">
        <f>IF('Paste SD Data'!E1611="","",UPPER('Paste SD Data'!E1611))</f>
        <v/>
      </c>
      <c r="F1614" s="27" t="str">
        <f>IF('Paste SD Data'!G1611="","",UPPER('Paste SD Data'!G1611))</f>
        <v/>
      </c>
      <c r="G1614" s="27" t="str">
        <f>IF('Paste SD Data'!H1611="","",UPPER('Paste SD Data'!H1611))</f>
        <v/>
      </c>
      <c r="H1614" s="26" t="str">
        <f>IF('Paste SD Data'!I1611="","",IF('Paste SD Data'!I1611="M","BOY","GIRL"))</f>
        <v/>
      </c>
      <c r="I1614" s="28" t="str">
        <f>IF('Paste SD Data'!J1611="","",'Paste SD Data'!J1611)</f>
        <v/>
      </c>
      <c r="J1614" s="34">
        <f t="shared" si="25"/>
        <v>2040</v>
      </c>
      <c r="K1614" s="29" t="str">
        <f>IF('Paste SD Data'!O1611="","",'Paste SD Data'!O1611)</f>
        <v/>
      </c>
    </row>
    <row r="1615" spans="1:11" ht="30" customHeight="1" x14ac:dyDescent="0.25">
      <c r="A1615" s="25" t="str">
        <f>IF(Table1[[#This Row],[Name of Student]]="","",ROWS($A$1:A1611))</f>
        <v/>
      </c>
      <c r="B1615" s="26" t="str">
        <f>IF('Paste SD Data'!A1612="","",'Paste SD Data'!A1612)</f>
        <v/>
      </c>
      <c r="C1615" s="26" t="str">
        <f>IF('Paste SD Data'!B1612="","",'Paste SD Data'!B1612)</f>
        <v/>
      </c>
      <c r="D1615" s="26" t="str">
        <f>IF('Paste SD Data'!C1612="","",'Paste SD Data'!C1612)</f>
        <v/>
      </c>
      <c r="E1615" s="27" t="str">
        <f>IF('Paste SD Data'!E1612="","",UPPER('Paste SD Data'!E1612))</f>
        <v/>
      </c>
      <c r="F1615" s="27" t="str">
        <f>IF('Paste SD Data'!G1612="","",UPPER('Paste SD Data'!G1612))</f>
        <v/>
      </c>
      <c r="G1615" s="27" t="str">
        <f>IF('Paste SD Data'!H1612="","",UPPER('Paste SD Data'!H1612))</f>
        <v/>
      </c>
      <c r="H1615" s="26" t="str">
        <f>IF('Paste SD Data'!I1612="","",IF('Paste SD Data'!I1612="M","BOY","GIRL"))</f>
        <v/>
      </c>
      <c r="I1615" s="28" t="str">
        <f>IF('Paste SD Data'!J1612="","",'Paste SD Data'!J1612)</f>
        <v/>
      </c>
      <c r="J1615" s="34">
        <f t="shared" si="25"/>
        <v>2041</v>
      </c>
      <c r="K1615" s="29" t="str">
        <f>IF('Paste SD Data'!O1612="","",'Paste SD Data'!O1612)</f>
        <v/>
      </c>
    </row>
    <row r="1616" spans="1:11" ht="30" customHeight="1" x14ac:dyDescent="0.25">
      <c r="A1616" s="25" t="str">
        <f>IF(Table1[[#This Row],[Name of Student]]="","",ROWS($A$1:A1612))</f>
        <v/>
      </c>
      <c r="B1616" s="26" t="str">
        <f>IF('Paste SD Data'!A1613="","",'Paste SD Data'!A1613)</f>
        <v/>
      </c>
      <c r="C1616" s="26" t="str">
        <f>IF('Paste SD Data'!B1613="","",'Paste SD Data'!B1613)</f>
        <v/>
      </c>
      <c r="D1616" s="26" t="str">
        <f>IF('Paste SD Data'!C1613="","",'Paste SD Data'!C1613)</f>
        <v/>
      </c>
      <c r="E1616" s="27" t="str">
        <f>IF('Paste SD Data'!E1613="","",UPPER('Paste SD Data'!E1613))</f>
        <v/>
      </c>
      <c r="F1616" s="27" t="str">
        <f>IF('Paste SD Data'!G1613="","",UPPER('Paste SD Data'!G1613))</f>
        <v/>
      </c>
      <c r="G1616" s="27" t="str">
        <f>IF('Paste SD Data'!H1613="","",UPPER('Paste SD Data'!H1613))</f>
        <v/>
      </c>
      <c r="H1616" s="26" t="str">
        <f>IF('Paste SD Data'!I1613="","",IF('Paste SD Data'!I1613="M","BOY","GIRL"))</f>
        <v/>
      </c>
      <c r="I1616" s="28" t="str">
        <f>IF('Paste SD Data'!J1613="","",'Paste SD Data'!J1613)</f>
        <v/>
      </c>
      <c r="J1616" s="34">
        <f t="shared" si="25"/>
        <v>2042</v>
      </c>
      <c r="K1616" s="29" t="str">
        <f>IF('Paste SD Data'!O1613="","",'Paste SD Data'!O1613)</f>
        <v/>
      </c>
    </row>
    <row r="1617" spans="1:11" ht="30" customHeight="1" x14ac:dyDescent="0.25">
      <c r="A1617" s="25" t="str">
        <f>IF(Table1[[#This Row],[Name of Student]]="","",ROWS($A$1:A1613))</f>
        <v/>
      </c>
      <c r="B1617" s="26" t="str">
        <f>IF('Paste SD Data'!A1614="","",'Paste SD Data'!A1614)</f>
        <v/>
      </c>
      <c r="C1617" s="26" t="str">
        <f>IF('Paste SD Data'!B1614="","",'Paste SD Data'!B1614)</f>
        <v/>
      </c>
      <c r="D1617" s="26" t="str">
        <f>IF('Paste SD Data'!C1614="","",'Paste SD Data'!C1614)</f>
        <v/>
      </c>
      <c r="E1617" s="27" t="str">
        <f>IF('Paste SD Data'!E1614="","",UPPER('Paste SD Data'!E1614))</f>
        <v/>
      </c>
      <c r="F1617" s="27" t="str">
        <f>IF('Paste SD Data'!G1614="","",UPPER('Paste SD Data'!G1614))</f>
        <v/>
      </c>
      <c r="G1617" s="27" t="str">
        <f>IF('Paste SD Data'!H1614="","",UPPER('Paste SD Data'!H1614))</f>
        <v/>
      </c>
      <c r="H1617" s="26" t="str">
        <f>IF('Paste SD Data'!I1614="","",IF('Paste SD Data'!I1614="M","BOY","GIRL"))</f>
        <v/>
      </c>
      <c r="I1617" s="28" t="str">
        <f>IF('Paste SD Data'!J1614="","",'Paste SD Data'!J1614)</f>
        <v/>
      </c>
      <c r="J1617" s="34">
        <f t="shared" si="25"/>
        <v>2043</v>
      </c>
      <c r="K1617" s="29" t="str">
        <f>IF('Paste SD Data'!O1614="","",'Paste SD Data'!O1614)</f>
        <v/>
      </c>
    </row>
    <row r="1618" spans="1:11" ht="30" customHeight="1" x14ac:dyDescent="0.25">
      <c r="A1618" s="25" t="str">
        <f>IF(Table1[[#This Row],[Name of Student]]="","",ROWS($A$1:A1614))</f>
        <v/>
      </c>
      <c r="B1618" s="26" t="str">
        <f>IF('Paste SD Data'!A1615="","",'Paste SD Data'!A1615)</f>
        <v/>
      </c>
      <c r="C1618" s="26" t="str">
        <f>IF('Paste SD Data'!B1615="","",'Paste SD Data'!B1615)</f>
        <v/>
      </c>
      <c r="D1618" s="26" t="str">
        <f>IF('Paste SD Data'!C1615="","",'Paste SD Data'!C1615)</f>
        <v/>
      </c>
      <c r="E1618" s="27" t="str">
        <f>IF('Paste SD Data'!E1615="","",UPPER('Paste SD Data'!E1615))</f>
        <v/>
      </c>
      <c r="F1618" s="27" t="str">
        <f>IF('Paste SD Data'!G1615="","",UPPER('Paste SD Data'!G1615))</f>
        <v/>
      </c>
      <c r="G1618" s="27" t="str">
        <f>IF('Paste SD Data'!H1615="","",UPPER('Paste SD Data'!H1615))</f>
        <v/>
      </c>
      <c r="H1618" s="26" t="str">
        <f>IF('Paste SD Data'!I1615="","",IF('Paste SD Data'!I1615="M","BOY","GIRL"))</f>
        <v/>
      </c>
      <c r="I1618" s="28" t="str">
        <f>IF('Paste SD Data'!J1615="","",'Paste SD Data'!J1615)</f>
        <v/>
      </c>
      <c r="J1618" s="34">
        <f t="shared" si="25"/>
        <v>2044</v>
      </c>
      <c r="K1618" s="29" t="str">
        <f>IF('Paste SD Data'!O1615="","",'Paste SD Data'!O1615)</f>
        <v/>
      </c>
    </row>
    <row r="1619" spans="1:11" ht="30" customHeight="1" x14ac:dyDescent="0.25">
      <c r="A1619" s="25" t="str">
        <f>IF(Table1[[#This Row],[Name of Student]]="","",ROWS($A$1:A1615))</f>
        <v/>
      </c>
      <c r="B1619" s="26" t="str">
        <f>IF('Paste SD Data'!A1616="","",'Paste SD Data'!A1616)</f>
        <v/>
      </c>
      <c r="C1619" s="26" t="str">
        <f>IF('Paste SD Data'!B1616="","",'Paste SD Data'!B1616)</f>
        <v/>
      </c>
      <c r="D1619" s="26" t="str">
        <f>IF('Paste SD Data'!C1616="","",'Paste SD Data'!C1616)</f>
        <v/>
      </c>
      <c r="E1619" s="27" t="str">
        <f>IF('Paste SD Data'!E1616="","",UPPER('Paste SD Data'!E1616))</f>
        <v/>
      </c>
      <c r="F1619" s="27" t="str">
        <f>IF('Paste SD Data'!G1616="","",UPPER('Paste SD Data'!G1616))</f>
        <v/>
      </c>
      <c r="G1619" s="27" t="str">
        <f>IF('Paste SD Data'!H1616="","",UPPER('Paste SD Data'!H1616))</f>
        <v/>
      </c>
      <c r="H1619" s="26" t="str">
        <f>IF('Paste SD Data'!I1616="","",IF('Paste SD Data'!I1616="M","BOY","GIRL"))</f>
        <v/>
      </c>
      <c r="I1619" s="28" t="str">
        <f>IF('Paste SD Data'!J1616="","",'Paste SD Data'!J1616)</f>
        <v/>
      </c>
      <c r="J1619" s="34">
        <f t="shared" si="25"/>
        <v>2045</v>
      </c>
      <c r="K1619" s="29" t="str">
        <f>IF('Paste SD Data'!O1616="","",'Paste SD Data'!O1616)</f>
        <v/>
      </c>
    </row>
    <row r="1620" spans="1:11" ht="30" customHeight="1" x14ac:dyDescent="0.25">
      <c r="A1620" s="25" t="str">
        <f>IF(Table1[[#This Row],[Name of Student]]="","",ROWS($A$1:A1616))</f>
        <v/>
      </c>
      <c r="B1620" s="26" t="str">
        <f>IF('Paste SD Data'!A1617="","",'Paste SD Data'!A1617)</f>
        <v/>
      </c>
      <c r="C1620" s="26" t="str">
        <f>IF('Paste SD Data'!B1617="","",'Paste SD Data'!B1617)</f>
        <v/>
      </c>
      <c r="D1620" s="26" t="str">
        <f>IF('Paste SD Data'!C1617="","",'Paste SD Data'!C1617)</f>
        <v/>
      </c>
      <c r="E1620" s="27" t="str">
        <f>IF('Paste SD Data'!E1617="","",UPPER('Paste SD Data'!E1617))</f>
        <v/>
      </c>
      <c r="F1620" s="27" t="str">
        <f>IF('Paste SD Data'!G1617="","",UPPER('Paste SD Data'!G1617))</f>
        <v/>
      </c>
      <c r="G1620" s="27" t="str">
        <f>IF('Paste SD Data'!H1617="","",UPPER('Paste SD Data'!H1617))</f>
        <v/>
      </c>
      <c r="H1620" s="26" t="str">
        <f>IF('Paste SD Data'!I1617="","",IF('Paste SD Data'!I1617="M","BOY","GIRL"))</f>
        <v/>
      </c>
      <c r="I1620" s="28" t="str">
        <f>IF('Paste SD Data'!J1617="","",'Paste SD Data'!J1617)</f>
        <v/>
      </c>
      <c r="J1620" s="34">
        <f t="shared" si="25"/>
        <v>2046</v>
      </c>
      <c r="K1620" s="29" t="str">
        <f>IF('Paste SD Data'!O1617="","",'Paste SD Data'!O1617)</f>
        <v/>
      </c>
    </row>
    <row r="1621" spans="1:11" ht="30" customHeight="1" x14ac:dyDescent="0.25">
      <c r="A1621" s="25" t="str">
        <f>IF(Table1[[#This Row],[Name of Student]]="","",ROWS($A$1:A1617))</f>
        <v/>
      </c>
      <c r="B1621" s="26" t="str">
        <f>IF('Paste SD Data'!A1618="","",'Paste SD Data'!A1618)</f>
        <v/>
      </c>
      <c r="C1621" s="26" t="str">
        <f>IF('Paste SD Data'!B1618="","",'Paste SD Data'!B1618)</f>
        <v/>
      </c>
      <c r="D1621" s="26" t="str">
        <f>IF('Paste SD Data'!C1618="","",'Paste SD Data'!C1618)</f>
        <v/>
      </c>
      <c r="E1621" s="27" t="str">
        <f>IF('Paste SD Data'!E1618="","",UPPER('Paste SD Data'!E1618))</f>
        <v/>
      </c>
      <c r="F1621" s="27" t="str">
        <f>IF('Paste SD Data'!G1618="","",UPPER('Paste SD Data'!G1618))</f>
        <v/>
      </c>
      <c r="G1621" s="27" t="str">
        <f>IF('Paste SD Data'!H1618="","",UPPER('Paste SD Data'!H1618))</f>
        <v/>
      </c>
      <c r="H1621" s="26" t="str">
        <f>IF('Paste SD Data'!I1618="","",IF('Paste SD Data'!I1618="M","BOY","GIRL"))</f>
        <v/>
      </c>
      <c r="I1621" s="28" t="str">
        <f>IF('Paste SD Data'!J1618="","",'Paste SD Data'!J1618)</f>
        <v/>
      </c>
      <c r="J1621" s="34">
        <f t="shared" si="25"/>
        <v>2047</v>
      </c>
      <c r="K1621" s="29" t="str">
        <f>IF('Paste SD Data'!O1618="","",'Paste SD Data'!O1618)</f>
        <v/>
      </c>
    </row>
    <row r="1622" spans="1:11" ht="30" customHeight="1" x14ac:dyDescent="0.25">
      <c r="A1622" s="25" t="str">
        <f>IF(Table1[[#This Row],[Name of Student]]="","",ROWS($A$1:A1618))</f>
        <v/>
      </c>
      <c r="B1622" s="26" t="str">
        <f>IF('Paste SD Data'!A1619="","",'Paste SD Data'!A1619)</f>
        <v/>
      </c>
      <c r="C1622" s="26" t="str">
        <f>IF('Paste SD Data'!B1619="","",'Paste SD Data'!B1619)</f>
        <v/>
      </c>
      <c r="D1622" s="26" t="str">
        <f>IF('Paste SD Data'!C1619="","",'Paste SD Data'!C1619)</f>
        <v/>
      </c>
      <c r="E1622" s="27" t="str">
        <f>IF('Paste SD Data'!E1619="","",UPPER('Paste SD Data'!E1619))</f>
        <v/>
      </c>
      <c r="F1622" s="27" t="str">
        <f>IF('Paste SD Data'!G1619="","",UPPER('Paste SD Data'!G1619))</f>
        <v/>
      </c>
      <c r="G1622" s="27" t="str">
        <f>IF('Paste SD Data'!H1619="","",UPPER('Paste SD Data'!H1619))</f>
        <v/>
      </c>
      <c r="H1622" s="26" t="str">
        <f>IF('Paste SD Data'!I1619="","",IF('Paste SD Data'!I1619="M","BOY","GIRL"))</f>
        <v/>
      </c>
      <c r="I1622" s="28" t="str">
        <f>IF('Paste SD Data'!J1619="","",'Paste SD Data'!J1619)</f>
        <v/>
      </c>
      <c r="J1622" s="34">
        <f t="shared" si="25"/>
        <v>2048</v>
      </c>
      <c r="K1622" s="29" t="str">
        <f>IF('Paste SD Data'!O1619="","",'Paste SD Data'!O1619)</f>
        <v/>
      </c>
    </row>
    <row r="1623" spans="1:11" ht="30" customHeight="1" x14ac:dyDescent="0.25">
      <c r="A1623" s="25" t="str">
        <f>IF(Table1[[#This Row],[Name of Student]]="","",ROWS($A$1:A1619))</f>
        <v/>
      </c>
      <c r="B1623" s="26" t="str">
        <f>IF('Paste SD Data'!A1620="","",'Paste SD Data'!A1620)</f>
        <v/>
      </c>
      <c r="C1623" s="26" t="str">
        <f>IF('Paste SD Data'!B1620="","",'Paste SD Data'!B1620)</f>
        <v/>
      </c>
      <c r="D1623" s="26" t="str">
        <f>IF('Paste SD Data'!C1620="","",'Paste SD Data'!C1620)</f>
        <v/>
      </c>
      <c r="E1623" s="27" t="str">
        <f>IF('Paste SD Data'!E1620="","",UPPER('Paste SD Data'!E1620))</f>
        <v/>
      </c>
      <c r="F1623" s="27" t="str">
        <f>IF('Paste SD Data'!G1620="","",UPPER('Paste SD Data'!G1620))</f>
        <v/>
      </c>
      <c r="G1623" s="27" t="str">
        <f>IF('Paste SD Data'!H1620="","",UPPER('Paste SD Data'!H1620))</f>
        <v/>
      </c>
      <c r="H1623" s="26" t="str">
        <f>IF('Paste SD Data'!I1620="","",IF('Paste SD Data'!I1620="M","BOY","GIRL"))</f>
        <v/>
      </c>
      <c r="I1623" s="28" t="str">
        <f>IF('Paste SD Data'!J1620="","",'Paste SD Data'!J1620)</f>
        <v/>
      </c>
      <c r="J1623" s="34">
        <f t="shared" si="25"/>
        <v>2049</v>
      </c>
      <c r="K1623" s="29" t="str">
        <f>IF('Paste SD Data'!O1620="","",'Paste SD Data'!O1620)</f>
        <v/>
      </c>
    </row>
    <row r="1624" spans="1:11" ht="30" customHeight="1" x14ac:dyDescent="0.25">
      <c r="A1624" s="25" t="str">
        <f>IF(Table1[[#This Row],[Name of Student]]="","",ROWS($A$1:A1620))</f>
        <v/>
      </c>
      <c r="B1624" s="26" t="str">
        <f>IF('Paste SD Data'!A1621="","",'Paste SD Data'!A1621)</f>
        <v/>
      </c>
      <c r="C1624" s="26" t="str">
        <f>IF('Paste SD Data'!B1621="","",'Paste SD Data'!B1621)</f>
        <v/>
      </c>
      <c r="D1624" s="26" t="str">
        <f>IF('Paste SD Data'!C1621="","",'Paste SD Data'!C1621)</f>
        <v/>
      </c>
      <c r="E1624" s="27" t="str">
        <f>IF('Paste SD Data'!E1621="","",UPPER('Paste SD Data'!E1621))</f>
        <v/>
      </c>
      <c r="F1624" s="27" t="str">
        <f>IF('Paste SD Data'!G1621="","",UPPER('Paste SD Data'!G1621))</f>
        <v/>
      </c>
      <c r="G1624" s="27" t="str">
        <f>IF('Paste SD Data'!H1621="","",UPPER('Paste SD Data'!H1621))</f>
        <v/>
      </c>
      <c r="H1624" s="26" t="str">
        <f>IF('Paste SD Data'!I1621="","",IF('Paste SD Data'!I1621="M","BOY","GIRL"))</f>
        <v/>
      </c>
      <c r="I1624" s="28" t="str">
        <f>IF('Paste SD Data'!J1621="","",'Paste SD Data'!J1621)</f>
        <v/>
      </c>
      <c r="J1624" s="34">
        <f t="shared" si="25"/>
        <v>2050</v>
      </c>
      <c r="K1624" s="29" t="str">
        <f>IF('Paste SD Data'!O1621="","",'Paste SD Data'!O1621)</f>
        <v/>
      </c>
    </row>
    <row r="1625" spans="1:11" ht="30" customHeight="1" x14ac:dyDescent="0.25">
      <c r="A1625" s="25" t="str">
        <f>IF(Table1[[#This Row],[Name of Student]]="","",ROWS($A$1:A1621))</f>
        <v/>
      </c>
      <c r="B1625" s="26" t="str">
        <f>IF('Paste SD Data'!A1622="","",'Paste SD Data'!A1622)</f>
        <v/>
      </c>
      <c r="C1625" s="26" t="str">
        <f>IF('Paste SD Data'!B1622="","",'Paste SD Data'!B1622)</f>
        <v/>
      </c>
      <c r="D1625" s="26" t="str">
        <f>IF('Paste SD Data'!C1622="","",'Paste SD Data'!C1622)</f>
        <v/>
      </c>
      <c r="E1625" s="27" t="str">
        <f>IF('Paste SD Data'!E1622="","",UPPER('Paste SD Data'!E1622))</f>
        <v/>
      </c>
      <c r="F1625" s="27" t="str">
        <f>IF('Paste SD Data'!G1622="","",UPPER('Paste SD Data'!G1622))</f>
        <v/>
      </c>
      <c r="G1625" s="27" t="str">
        <f>IF('Paste SD Data'!H1622="","",UPPER('Paste SD Data'!H1622))</f>
        <v/>
      </c>
      <c r="H1625" s="26" t="str">
        <f>IF('Paste SD Data'!I1622="","",IF('Paste SD Data'!I1622="M","BOY","GIRL"))</f>
        <v/>
      </c>
      <c r="I1625" s="28" t="str">
        <f>IF('Paste SD Data'!J1622="","",'Paste SD Data'!J1622)</f>
        <v/>
      </c>
      <c r="J1625" s="34">
        <f t="shared" si="25"/>
        <v>2051</v>
      </c>
      <c r="K1625" s="29" t="str">
        <f>IF('Paste SD Data'!O1622="","",'Paste SD Data'!O1622)</f>
        <v/>
      </c>
    </row>
    <row r="1626" spans="1:11" ht="30" customHeight="1" x14ac:dyDescent="0.25">
      <c r="A1626" s="25" t="str">
        <f>IF(Table1[[#This Row],[Name of Student]]="","",ROWS($A$1:A1622))</f>
        <v/>
      </c>
      <c r="B1626" s="26" t="str">
        <f>IF('Paste SD Data'!A1623="","",'Paste SD Data'!A1623)</f>
        <v/>
      </c>
      <c r="C1626" s="26" t="str">
        <f>IF('Paste SD Data'!B1623="","",'Paste SD Data'!B1623)</f>
        <v/>
      </c>
      <c r="D1626" s="26" t="str">
        <f>IF('Paste SD Data'!C1623="","",'Paste SD Data'!C1623)</f>
        <v/>
      </c>
      <c r="E1626" s="27" t="str">
        <f>IF('Paste SD Data'!E1623="","",UPPER('Paste SD Data'!E1623))</f>
        <v/>
      </c>
      <c r="F1626" s="27" t="str">
        <f>IF('Paste SD Data'!G1623="","",UPPER('Paste SD Data'!G1623))</f>
        <v/>
      </c>
      <c r="G1626" s="27" t="str">
        <f>IF('Paste SD Data'!H1623="","",UPPER('Paste SD Data'!H1623))</f>
        <v/>
      </c>
      <c r="H1626" s="26" t="str">
        <f>IF('Paste SD Data'!I1623="","",IF('Paste SD Data'!I1623="M","BOY","GIRL"))</f>
        <v/>
      </c>
      <c r="I1626" s="28" t="str">
        <f>IF('Paste SD Data'!J1623="","",'Paste SD Data'!J1623)</f>
        <v/>
      </c>
      <c r="J1626" s="34">
        <f t="shared" si="25"/>
        <v>2052</v>
      </c>
      <c r="K1626" s="29" t="str">
        <f>IF('Paste SD Data'!O1623="","",'Paste SD Data'!O1623)</f>
        <v/>
      </c>
    </row>
    <row r="1627" spans="1:11" ht="30" customHeight="1" x14ac:dyDescent="0.25">
      <c r="A1627" s="25" t="str">
        <f>IF(Table1[[#This Row],[Name of Student]]="","",ROWS($A$1:A1623))</f>
        <v/>
      </c>
      <c r="B1627" s="26" t="str">
        <f>IF('Paste SD Data'!A1624="","",'Paste SD Data'!A1624)</f>
        <v/>
      </c>
      <c r="C1627" s="26" t="str">
        <f>IF('Paste SD Data'!B1624="","",'Paste SD Data'!B1624)</f>
        <v/>
      </c>
      <c r="D1627" s="26" t="str">
        <f>IF('Paste SD Data'!C1624="","",'Paste SD Data'!C1624)</f>
        <v/>
      </c>
      <c r="E1627" s="27" t="str">
        <f>IF('Paste SD Data'!E1624="","",UPPER('Paste SD Data'!E1624))</f>
        <v/>
      </c>
      <c r="F1627" s="27" t="str">
        <f>IF('Paste SD Data'!G1624="","",UPPER('Paste SD Data'!G1624))</f>
        <v/>
      </c>
      <c r="G1627" s="27" t="str">
        <f>IF('Paste SD Data'!H1624="","",UPPER('Paste SD Data'!H1624))</f>
        <v/>
      </c>
      <c r="H1627" s="26" t="str">
        <f>IF('Paste SD Data'!I1624="","",IF('Paste SD Data'!I1624="M","BOY","GIRL"))</f>
        <v/>
      </c>
      <c r="I1627" s="28" t="str">
        <f>IF('Paste SD Data'!J1624="","",'Paste SD Data'!J1624)</f>
        <v/>
      </c>
      <c r="J1627" s="34">
        <f t="shared" si="25"/>
        <v>2053</v>
      </c>
      <c r="K1627" s="29" t="str">
        <f>IF('Paste SD Data'!O1624="","",'Paste SD Data'!O1624)</f>
        <v/>
      </c>
    </row>
    <row r="1628" spans="1:11" ht="30" customHeight="1" x14ac:dyDescent="0.25">
      <c r="A1628" s="25" t="str">
        <f>IF(Table1[[#This Row],[Name of Student]]="","",ROWS($A$1:A1624))</f>
        <v/>
      </c>
      <c r="B1628" s="26" t="str">
        <f>IF('Paste SD Data'!A1625="","",'Paste SD Data'!A1625)</f>
        <v/>
      </c>
      <c r="C1628" s="26" t="str">
        <f>IF('Paste SD Data'!B1625="","",'Paste SD Data'!B1625)</f>
        <v/>
      </c>
      <c r="D1628" s="26" t="str">
        <f>IF('Paste SD Data'!C1625="","",'Paste SD Data'!C1625)</f>
        <v/>
      </c>
      <c r="E1628" s="27" t="str">
        <f>IF('Paste SD Data'!E1625="","",UPPER('Paste SD Data'!E1625))</f>
        <v/>
      </c>
      <c r="F1628" s="27" t="str">
        <f>IF('Paste SD Data'!G1625="","",UPPER('Paste SD Data'!G1625))</f>
        <v/>
      </c>
      <c r="G1628" s="27" t="str">
        <f>IF('Paste SD Data'!H1625="","",UPPER('Paste SD Data'!H1625))</f>
        <v/>
      </c>
      <c r="H1628" s="26" t="str">
        <f>IF('Paste SD Data'!I1625="","",IF('Paste SD Data'!I1625="M","BOY","GIRL"))</f>
        <v/>
      </c>
      <c r="I1628" s="28" t="str">
        <f>IF('Paste SD Data'!J1625="","",'Paste SD Data'!J1625)</f>
        <v/>
      </c>
      <c r="J1628" s="34">
        <f t="shared" si="25"/>
        <v>2054</v>
      </c>
      <c r="K1628" s="29" t="str">
        <f>IF('Paste SD Data'!O1625="","",'Paste SD Data'!O1625)</f>
        <v/>
      </c>
    </row>
    <row r="1629" spans="1:11" ht="30" customHeight="1" x14ac:dyDescent="0.25">
      <c r="A1629" s="25" t="str">
        <f>IF(Table1[[#This Row],[Name of Student]]="","",ROWS($A$1:A1625))</f>
        <v/>
      </c>
      <c r="B1629" s="26" t="str">
        <f>IF('Paste SD Data'!A1626="","",'Paste SD Data'!A1626)</f>
        <v/>
      </c>
      <c r="C1629" s="26" t="str">
        <f>IF('Paste SD Data'!B1626="","",'Paste SD Data'!B1626)</f>
        <v/>
      </c>
      <c r="D1629" s="26" t="str">
        <f>IF('Paste SD Data'!C1626="","",'Paste SD Data'!C1626)</f>
        <v/>
      </c>
      <c r="E1629" s="27" t="str">
        <f>IF('Paste SD Data'!E1626="","",UPPER('Paste SD Data'!E1626))</f>
        <v/>
      </c>
      <c r="F1629" s="27" t="str">
        <f>IF('Paste SD Data'!G1626="","",UPPER('Paste SD Data'!G1626))</f>
        <v/>
      </c>
      <c r="G1629" s="27" t="str">
        <f>IF('Paste SD Data'!H1626="","",UPPER('Paste SD Data'!H1626))</f>
        <v/>
      </c>
      <c r="H1629" s="26" t="str">
        <f>IF('Paste SD Data'!I1626="","",IF('Paste SD Data'!I1626="M","BOY","GIRL"))</f>
        <v/>
      </c>
      <c r="I1629" s="28" t="str">
        <f>IF('Paste SD Data'!J1626="","",'Paste SD Data'!J1626)</f>
        <v/>
      </c>
      <c r="J1629" s="34">
        <f t="shared" si="25"/>
        <v>2055</v>
      </c>
      <c r="K1629" s="29" t="str">
        <f>IF('Paste SD Data'!O1626="","",'Paste SD Data'!O1626)</f>
        <v/>
      </c>
    </row>
    <row r="1630" spans="1:11" ht="30" customHeight="1" x14ac:dyDescent="0.25">
      <c r="A1630" s="25" t="str">
        <f>IF(Table1[[#This Row],[Name of Student]]="","",ROWS($A$1:A1626))</f>
        <v/>
      </c>
      <c r="B1630" s="26" t="str">
        <f>IF('Paste SD Data'!A1627="","",'Paste SD Data'!A1627)</f>
        <v/>
      </c>
      <c r="C1630" s="26" t="str">
        <f>IF('Paste SD Data'!B1627="","",'Paste SD Data'!B1627)</f>
        <v/>
      </c>
      <c r="D1630" s="26" t="str">
        <f>IF('Paste SD Data'!C1627="","",'Paste SD Data'!C1627)</f>
        <v/>
      </c>
      <c r="E1630" s="27" t="str">
        <f>IF('Paste SD Data'!E1627="","",UPPER('Paste SD Data'!E1627))</f>
        <v/>
      </c>
      <c r="F1630" s="27" t="str">
        <f>IF('Paste SD Data'!G1627="","",UPPER('Paste SD Data'!G1627))</f>
        <v/>
      </c>
      <c r="G1630" s="27" t="str">
        <f>IF('Paste SD Data'!H1627="","",UPPER('Paste SD Data'!H1627))</f>
        <v/>
      </c>
      <c r="H1630" s="26" t="str">
        <f>IF('Paste SD Data'!I1627="","",IF('Paste SD Data'!I1627="M","BOY","GIRL"))</f>
        <v/>
      </c>
      <c r="I1630" s="28" t="str">
        <f>IF('Paste SD Data'!J1627="","",'Paste SD Data'!J1627)</f>
        <v/>
      </c>
      <c r="J1630" s="34">
        <f t="shared" si="25"/>
        <v>2056</v>
      </c>
      <c r="K1630" s="29" t="str">
        <f>IF('Paste SD Data'!O1627="","",'Paste SD Data'!O1627)</f>
        <v/>
      </c>
    </row>
    <row r="1631" spans="1:11" ht="30" customHeight="1" x14ac:dyDescent="0.25">
      <c r="A1631" s="25" t="str">
        <f>IF(Table1[[#This Row],[Name of Student]]="","",ROWS($A$1:A1627))</f>
        <v/>
      </c>
      <c r="B1631" s="26" t="str">
        <f>IF('Paste SD Data'!A1628="","",'Paste SD Data'!A1628)</f>
        <v/>
      </c>
      <c r="C1631" s="26" t="str">
        <f>IF('Paste SD Data'!B1628="","",'Paste SD Data'!B1628)</f>
        <v/>
      </c>
      <c r="D1631" s="26" t="str">
        <f>IF('Paste SD Data'!C1628="","",'Paste SD Data'!C1628)</f>
        <v/>
      </c>
      <c r="E1631" s="27" t="str">
        <f>IF('Paste SD Data'!E1628="","",UPPER('Paste SD Data'!E1628))</f>
        <v/>
      </c>
      <c r="F1631" s="27" t="str">
        <f>IF('Paste SD Data'!G1628="","",UPPER('Paste SD Data'!G1628))</f>
        <v/>
      </c>
      <c r="G1631" s="27" t="str">
        <f>IF('Paste SD Data'!H1628="","",UPPER('Paste SD Data'!H1628))</f>
        <v/>
      </c>
      <c r="H1631" s="26" t="str">
        <f>IF('Paste SD Data'!I1628="","",IF('Paste SD Data'!I1628="M","BOY","GIRL"))</f>
        <v/>
      </c>
      <c r="I1631" s="28" t="str">
        <f>IF('Paste SD Data'!J1628="","",'Paste SD Data'!J1628)</f>
        <v/>
      </c>
      <c r="J1631" s="34">
        <f t="shared" si="25"/>
        <v>2057</v>
      </c>
      <c r="K1631" s="29" t="str">
        <f>IF('Paste SD Data'!O1628="","",'Paste SD Data'!O1628)</f>
        <v/>
      </c>
    </row>
    <row r="1632" spans="1:11" ht="30" customHeight="1" x14ac:dyDescent="0.25">
      <c r="A1632" s="25" t="str">
        <f>IF(Table1[[#This Row],[Name of Student]]="","",ROWS($A$1:A1628))</f>
        <v/>
      </c>
      <c r="B1632" s="26" t="str">
        <f>IF('Paste SD Data'!A1629="","",'Paste SD Data'!A1629)</f>
        <v/>
      </c>
      <c r="C1632" s="26" t="str">
        <f>IF('Paste SD Data'!B1629="","",'Paste SD Data'!B1629)</f>
        <v/>
      </c>
      <c r="D1632" s="26" t="str">
        <f>IF('Paste SD Data'!C1629="","",'Paste SD Data'!C1629)</f>
        <v/>
      </c>
      <c r="E1632" s="27" t="str">
        <f>IF('Paste SD Data'!E1629="","",UPPER('Paste SD Data'!E1629))</f>
        <v/>
      </c>
      <c r="F1632" s="27" t="str">
        <f>IF('Paste SD Data'!G1629="","",UPPER('Paste SD Data'!G1629))</f>
        <v/>
      </c>
      <c r="G1632" s="27" t="str">
        <f>IF('Paste SD Data'!H1629="","",UPPER('Paste SD Data'!H1629))</f>
        <v/>
      </c>
      <c r="H1632" s="26" t="str">
        <f>IF('Paste SD Data'!I1629="","",IF('Paste SD Data'!I1629="M","BOY","GIRL"))</f>
        <v/>
      </c>
      <c r="I1632" s="28" t="str">
        <f>IF('Paste SD Data'!J1629="","",'Paste SD Data'!J1629)</f>
        <v/>
      </c>
      <c r="J1632" s="34">
        <f t="shared" si="25"/>
        <v>2058</v>
      </c>
      <c r="K1632" s="29" t="str">
        <f>IF('Paste SD Data'!O1629="","",'Paste SD Data'!O1629)</f>
        <v/>
      </c>
    </row>
    <row r="1633" spans="1:11" ht="30" customHeight="1" x14ac:dyDescent="0.25">
      <c r="A1633" s="25" t="str">
        <f>IF(Table1[[#This Row],[Name of Student]]="","",ROWS($A$1:A1629))</f>
        <v/>
      </c>
      <c r="B1633" s="26" t="str">
        <f>IF('Paste SD Data'!A1630="","",'Paste SD Data'!A1630)</f>
        <v/>
      </c>
      <c r="C1633" s="26" t="str">
        <f>IF('Paste SD Data'!B1630="","",'Paste SD Data'!B1630)</f>
        <v/>
      </c>
      <c r="D1633" s="26" t="str">
        <f>IF('Paste SD Data'!C1630="","",'Paste SD Data'!C1630)</f>
        <v/>
      </c>
      <c r="E1633" s="27" t="str">
        <f>IF('Paste SD Data'!E1630="","",UPPER('Paste SD Data'!E1630))</f>
        <v/>
      </c>
      <c r="F1633" s="27" t="str">
        <f>IF('Paste SD Data'!G1630="","",UPPER('Paste SD Data'!G1630))</f>
        <v/>
      </c>
      <c r="G1633" s="27" t="str">
        <f>IF('Paste SD Data'!H1630="","",UPPER('Paste SD Data'!H1630))</f>
        <v/>
      </c>
      <c r="H1633" s="26" t="str">
        <f>IF('Paste SD Data'!I1630="","",IF('Paste SD Data'!I1630="M","BOY","GIRL"))</f>
        <v/>
      </c>
      <c r="I1633" s="28" t="str">
        <f>IF('Paste SD Data'!J1630="","",'Paste SD Data'!J1630)</f>
        <v/>
      </c>
      <c r="J1633" s="34">
        <f t="shared" si="25"/>
        <v>2059</v>
      </c>
      <c r="K1633" s="29" t="str">
        <f>IF('Paste SD Data'!O1630="","",'Paste SD Data'!O1630)</f>
        <v/>
      </c>
    </row>
    <row r="1634" spans="1:11" ht="30" customHeight="1" x14ac:dyDescent="0.25">
      <c r="A1634" s="25" t="str">
        <f>IF(Table1[[#This Row],[Name of Student]]="","",ROWS($A$1:A1630))</f>
        <v/>
      </c>
      <c r="B1634" s="26" t="str">
        <f>IF('Paste SD Data'!A1631="","",'Paste SD Data'!A1631)</f>
        <v/>
      </c>
      <c r="C1634" s="26" t="str">
        <f>IF('Paste SD Data'!B1631="","",'Paste SD Data'!B1631)</f>
        <v/>
      </c>
      <c r="D1634" s="26" t="str">
        <f>IF('Paste SD Data'!C1631="","",'Paste SD Data'!C1631)</f>
        <v/>
      </c>
      <c r="E1634" s="27" t="str">
        <f>IF('Paste SD Data'!E1631="","",UPPER('Paste SD Data'!E1631))</f>
        <v/>
      </c>
      <c r="F1634" s="27" t="str">
        <f>IF('Paste SD Data'!G1631="","",UPPER('Paste SD Data'!G1631))</f>
        <v/>
      </c>
      <c r="G1634" s="27" t="str">
        <f>IF('Paste SD Data'!H1631="","",UPPER('Paste SD Data'!H1631))</f>
        <v/>
      </c>
      <c r="H1634" s="26" t="str">
        <f>IF('Paste SD Data'!I1631="","",IF('Paste SD Data'!I1631="M","BOY","GIRL"))</f>
        <v/>
      </c>
      <c r="I1634" s="28" t="str">
        <f>IF('Paste SD Data'!J1631="","",'Paste SD Data'!J1631)</f>
        <v/>
      </c>
      <c r="J1634" s="34">
        <f t="shared" si="25"/>
        <v>2060</v>
      </c>
      <c r="K1634" s="29" t="str">
        <f>IF('Paste SD Data'!O1631="","",'Paste SD Data'!O1631)</f>
        <v/>
      </c>
    </row>
    <row r="1635" spans="1:11" ht="30" customHeight="1" x14ac:dyDescent="0.25">
      <c r="A1635" s="25" t="str">
        <f>IF(Table1[[#This Row],[Name of Student]]="","",ROWS($A$1:A1631))</f>
        <v/>
      </c>
      <c r="B1635" s="26" t="str">
        <f>IF('Paste SD Data'!A1632="","",'Paste SD Data'!A1632)</f>
        <v/>
      </c>
      <c r="C1635" s="26" t="str">
        <f>IF('Paste SD Data'!B1632="","",'Paste SD Data'!B1632)</f>
        <v/>
      </c>
      <c r="D1635" s="26" t="str">
        <f>IF('Paste SD Data'!C1632="","",'Paste SD Data'!C1632)</f>
        <v/>
      </c>
      <c r="E1635" s="27" t="str">
        <f>IF('Paste SD Data'!E1632="","",UPPER('Paste SD Data'!E1632))</f>
        <v/>
      </c>
      <c r="F1635" s="27" t="str">
        <f>IF('Paste SD Data'!G1632="","",UPPER('Paste SD Data'!G1632))</f>
        <v/>
      </c>
      <c r="G1635" s="27" t="str">
        <f>IF('Paste SD Data'!H1632="","",UPPER('Paste SD Data'!H1632))</f>
        <v/>
      </c>
      <c r="H1635" s="26" t="str">
        <f>IF('Paste SD Data'!I1632="","",IF('Paste SD Data'!I1632="M","BOY","GIRL"))</f>
        <v/>
      </c>
      <c r="I1635" s="28" t="str">
        <f>IF('Paste SD Data'!J1632="","",'Paste SD Data'!J1632)</f>
        <v/>
      </c>
      <c r="J1635" s="34">
        <f t="shared" si="25"/>
        <v>2061</v>
      </c>
      <c r="K1635" s="29" t="str">
        <f>IF('Paste SD Data'!O1632="","",'Paste SD Data'!O1632)</f>
        <v/>
      </c>
    </row>
    <row r="1636" spans="1:11" ht="30" customHeight="1" x14ac:dyDescent="0.25">
      <c r="A1636" s="25" t="str">
        <f>IF(Table1[[#This Row],[Name of Student]]="","",ROWS($A$1:A1632))</f>
        <v/>
      </c>
      <c r="B1636" s="26" t="str">
        <f>IF('Paste SD Data'!A1633="","",'Paste SD Data'!A1633)</f>
        <v/>
      </c>
      <c r="C1636" s="26" t="str">
        <f>IF('Paste SD Data'!B1633="","",'Paste SD Data'!B1633)</f>
        <v/>
      </c>
      <c r="D1636" s="26" t="str">
        <f>IF('Paste SD Data'!C1633="","",'Paste SD Data'!C1633)</f>
        <v/>
      </c>
      <c r="E1636" s="27" t="str">
        <f>IF('Paste SD Data'!E1633="","",UPPER('Paste SD Data'!E1633))</f>
        <v/>
      </c>
      <c r="F1636" s="27" t="str">
        <f>IF('Paste SD Data'!G1633="","",UPPER('Paste SD Data'!G1633))</f>
        <v/>
      </c>
      <c r="G1636" s="27" t="str">
        <f>IF('Paste SD Data'!H1633="","",UPPER('Paste SD Data'!H1633))</f>
        <v/>
      </c>
      <c r="H1636" s="26" t="str">
        <f>IF('Paste SD Data'!I1633="","",IF('Paste SD Data'!I1633="M","BOY","GIRL"))</f>
        <v/>
      </c>
      <c r="I1636" s="28" t="str">
        <f>IF('Paste SD Data'!J1633="","",'Paste SD Data'!J1633)</f>
        <v/>
      </c>
      <c r="J1636" s="34">
        <f t="shared" si="25"/>
        <v>2062</v>
      </c>
      <c r="K1636" s="29" t="str">
        <f>IF('Paste SD Data'!O1633="","",'Paste SD Data'!O1633)</f>
        <v/>
      </c>
    </row>
    <row r="1637" spans="1:11" ht="30" customHeight="1" x14ac:dyDescent="0.25">
      <c r="A1637" s="25" t="str">
        <f>IF(Table1[[#This Row],[Name of Student]]="","",ROWS($A$1:A1633))</f>
        <v/>
      </c>
      <c r="B1637" s="26" t="str">
        <f>IF('Paste SD Data'!A1634="","",'Paste SD Data'!A1634)</f>
        <v/>
      </c>
      <c r="C1637" s="26" t="str">
        <f>IF('Paste SD Data'!B1634="","",'Paste SD Data'!B1634)</f>
        <v/>
      </c>
      <c r="D1637" s="26" t="str">
        <f>IF('Paste SD Data'!C1634="","",'Paste SD Data'!C1634)</f>
        <v/>
      </c>
      <c r="E1637" s="27" t="str">
        <f>IF('Paste SD Data'!E1634="","",UPPER('Paste SD Data'!E1634))</f>
        <v/>
      </c>
      <c r="F1637" s="27" t="str">
        <f>IF('Paste SD Data'!G1634="","",UPPER('Paste SD Data'!G1634))</f>
        <v/>
      </c>
      <c r="G1637" s="27" t="str">
        <f>IF('Paste SD Data'!H1634="","",UPPER('Paste SD Data'!H1634))</f>
        <v/>
      </c>
      <c r="H1637" s="26" t="str">
        <f>IF('Paste SD Data'!I1634="","",IF('Paste SD Data'!I1634="M","BOY","GIRL"))</f>
        <v/>
      </c>
      <c r="I1637" s="28" t="str">
        <f>IF('Paste SD Data'!J1634="","",'Paste SD Data'!J1634)</f>
        <v/>
      </c>
      <c r="J1637" s="34">
        <f t="shared" si="25"/>
        <v>2063</v>
      </c>
      <c r="K1637" s="29" t="str">
        <f>IF('Paste SD Data'!O1634="","",'Paste SD Data'!O1634)</f>
        <v/>
      </c>
    </row>
    <row r="1638" spans="1:11" ht="30" customHeight="1" x14ac:dyDescent="0.25">
      <c r="A1638" s="25" t="str">
        <f>IF(Table1[[#This Row],[Name of Student]]="","",ROWS($A$1:A1634))</f>
        <v/>
      </c>
      <c r="B1638" s="26" t="str">
        <f>IF('Paste SD Data'!A1635="","",'Paste SD Data'!A1635)</f>
        <v/>
      </c>
      <c r="C1638" s="26" t="str">
        <f>IF('Paste SD Data'!B1635="","",'Paste SD Data'!B1635)</f>
        <v/>
      </c>
      <c r="D1638" s="26" t="str">
        <f>IF('Paste SD Data'!C1635="","",'Paste SD Data'!C1635)</f>
        <v/>
      </c>
      <c r="E1638" s="27" t="str">
        <f>IF('Paste SD Data'!E1635="","",UPPER('Paste SD Data'!E1635))</f>
        <v/>
      </c>
      <c r="F1638" s="27" t="str">
        <f>IF('Paste SD Data'!G1635="","",UPPER('Paste SD Data'!G1635))</f>
        <v/>
      </c>
      <c r="G1638" s="27" t="str">
        <f>IF('Paste SD Data'!H1635="","",UPPER('Paste SD Data'!H1635))</f>
        <v/>
      </c>
      <c r="H1638" s="26" t="str">
        <f>IF('Paste SD Data'!I1635="","",IF('Paste SD Data'!I1635="M","BOY","GIRL"))</f>
        <v/>
      </c>
      <c r="I1638" s="28" t="str">
        <f>IF('Paste SD Data'!J1635="","",'Paste SD Data'!J1635)</f>
        <v/>
      </c>
      <c r="J1638" s="34">
        <f t="shared" si="25"/>
        <v>2064</v>
      </c>
      <c r="K1638" s="29" t="str">
        <f>IF('Paste SD Data'!O1635="","",'Paste SD Data'!O1635)</f>
        <v/>
      </c>
    </row>
    <row r="1639" spans="1:11" ht="30" customHeight="1" x14ac:dyDescent="0.25">
      <c r="A1639" s="25" t="str">
        <f>IF(Table1[[#This Row],[Name of Student]]="","",ROWS($A$1:A1635))</f>
        <v/>
      </c>
      <c r="B1639" s="26" t="str">
        <f>IF('Paste SD Data'!A1636="","",'Paste SD Data'!A1636)</f>
        <v/>
      </c>
      <c r="C1639" s="26" t="str">
        <f>IF('Paste SD Data'!B1636="","",'Paste SD Data'!B1636)</f>
        <v/>
      </c>
      <c r="D1639" s="26" t="str">
        <f>IF('Paste SD Data'!C1636="","",'Paste SD Data'!C1636)</f>
        <v/>
      </c>
      <c r="E1639" s="27" t="str">
        <f>IF('Paste SD Data'!E1636="","",UPPER('Paste SD Data'!E1636))</f>
        <v/>
      </c>
      <c r="F1639" s="27" t="str">
        <f>IF('Paste SD Data'!G1636="","",UPPER('Paste SD Data'!G1636))</f>
        <v/>
      </c>
      <c r="G1639" s="27" t="str">
        <f>IF('Paste SD Data'!H1636="","",UPPER('Paste SD Data'!H1636))</f>
        <v/>
      </c>
      <c r="H1639" s="26" t="str">
        <f>IF('Paste SD Data'!I1636="","",IF('Paste SD Data'!I1636="M","BOY","GIRL"))</f>
        <v/>
      </c>
      <c r="I1639" s="28" t="str">
        <f>IF('Paste SD Data'!J1636="","",'Paste SD Data'!J1636)</f>
        <v/>
      </c>
      <c r="J1639" s="34">
        <f t="shared" si="25"/>
        <v>2065</v>
      </c>
      <c r="K1639" s="29" t="str">
        <f>IF('Paste SD Data'!O1636="","",'Paste SD Data'!O1636)</f>
        <v/>
      </c>
    </row>
    <row r="1640" spans="1:11" ht="30" customHeight="1" x14ac:dyDescent="0.25">
      <c r="A1640" s="25" t="str">
        <f>IF(Table1[[#This Row],[Name of Student]]="","",ROWS($A$1:A1636))</f>
        <v/>
      </c>
      <c r="B1640" s="26" t="str">
        <f>IF('Paste SD Data'!A1637="","",'Paste SD Data'!A1637)</f>
        <v/>
      </c>
      <c r="C1640" s="26" t="str">
        <f>IF('Paste SD Data'!B1637="","",'Paste SD Data'!B1637)</f>
        <v/>
      </c>
      <c r="D1640" s="26" t="str">
        <f>IF('Paste SD Data'!C1637="","",'Paste SD Data'!C1637)</f>
        <v/>
      </c>
      <c r="E1640" s="27" t="str">
        <f>IF('Paste SD Data'!E1637="","",UPPER('Paste SD Data'!E1637))</f>
        <v/>
      </c>
      <c r="F1640" s="27" t="str">
        <f>IF('Paste SD Data'!G1637="","",UPPER('Paste SD Data'!G1637))</f>
        <v/>
      </c>
      <c r="G1640" s="27" t="str">
        <f>IF('Paste SD Data'!H1637="","",UPPER('Paste SD Data'!H1637))</f>
        <v/>
      </c>
      <c r="H1640" s="26" t="str">
        <f>IF('Paste SD Data'!I1637="","",IF('Paste SD Data'!I1637="M","BOY","GIRL"))</f>
        <v/>
      </c>
      <c r="I1640" s="28" t="str">
        <f>IF('Paste SD Data'!J1637="","",'Paste SD Data'!J1637)</f>
        <v/>
      </c>
      <c r="J1640" s="34">
        <f t="shared" si="25"/>
        <v>2066</v>
      </c>
      <c r="K1640" s="29" t="str">
        <f>IF('Paste SD Data'!O1637="","",'Paste SD Data'!O1637)</f>
        <v/>
      </c>
    </row>
    <row r="1641" spans="1:11" ht="30" customHeight="1" x14ac:dyDescent="0.25">
      <c r="A1641" s="25" t="str">
        <f>IF(Table1[[#This Row],[Name of Student]]="","",ROWS($A$1:A1637))</f>
        <v/>
      </c>
      <c r="B1641" s="26" t="str">
        <f>IF('Paste SD Data'!A1638="","",'Paste SD Data'!A1638)</f>
        <v/>
      </c>
      <c r="C1641" s="26" t="str">
        <f>IF('Paste SD Data'!B1638="","",'Paste SD Data'!B1638)</f>
        <v/>
      </c>
      <c r="D1641" s="26" t="str">
        <f>IF('Paste SD Data'!C1638="","",'Paste SD Data'!C1638)</f>
        <v/>
      </c>
      <c r="E1641" s="27" t="str">
        <f>IF('Paste SD Data'!E1638="","",UPPER('Paste SD Data'!E1638))</f>
        <v/>
      </c>
      <c r="F1641" s="27" t="str">
        <f>IF('Paste SD Data'!G1638="","",UPPER('Paste SD Data'!G1638))</f>
        <v/>
      </c>
      <c r="G1641" s="27" t="str">
        <f>IF('Paste SD Data'!H1638="","",UPPER('Paste SD Data'!H1638))</f>
        <v/>
      </c>
      <c r="H1641" s="26" t="str">
        <f>IF('Paste SD Data'!I1638="","",IF('Paste SD Data'!I1638="M","BOY","GIRL"))</f>
        <v/>
      </c>
      <c r="I1641" s="28" t="str">
        <f>IF('Paste SD Data'!J1638="","",'Paste SD Data'!J1638)</f>
        <v/>
      </c>
      <c r="J1641" s="34">
        <f t="shared" si="25"/>
        <v>2067</v>
      </c>
      <c r="K1641" s="29" t="str">
        <f>IF('Paste SD Data'!O1638="","",'Paste SD Data'!O1638)</f>
        <v/>
      </c>
    </row>
    <row r="1642" spans="1:11" ht="30" customHeight="1" x14ac:dyDescent="0.25">
      <c r="A1642" s="25" t="str">
        <f>IF(Table1[[#This Row],[Name of Student]]="","",ROWS($A$1:A1638))</f>
        <v/>
      </c>
      <c r="B1642" s="26" t="str">
        <f>IF('Paste SD Data'!A1639="","",'Paste SD Data'!A1639)</f>
        <v/>
      </c>
      <c r="C1642" s="26" t="str">
        <f>IF('Paste SD Data'!B1639="","",'Paste SD Data'!B1639)</f>
        <v/>
      </c>
      <c r="D1642" s="26" t="str">
        <f>IF('Paste SD Data'!C1639="","",'Paste SD Data'!C1639)</f>
        <v/>
      </c>
      <c r="E1642" s="27" t="str">
        <f>IF('Paste SD Data'!E1639="","",UPPER('Paste SD Data'!E1639))</f>
        <v/>
      </c>
      <c r="F1642" s="27" t="str">
        <f>IF('Paste SD Data'!G1639="","",UPPER('Paste SD Data'!G1639))</f>
        <v/>
      </c>
      <c r="G1642" s="27" t="str">
        <f>IF('Paste SD Data'!H1639="","",UPPER('Paste SD Data'!H1639))</f>
        <v/>
      </c>
      <c r="H1642" s="26" t="str">
        <f>IF('Paste SD Data'!I1639="","",IF('Paste SD Data'!I1639="M","BOY","GIRL"))</f>
        <v/>
      </c>
      <c r="I1642" s="28" t="str">
        <f>IF('Paste SD Data'!J1639="","",'Paste SD Data'!J1639)</f>
        <v/>
      </c>
      <c r="J1642" s="34">
        <f t="shared" si="25"/>
        <v>2068</v>
      </c>
      <c r="K1642" s="29" t="str">
        <f>IF('Paste SD Data'!O1639="","",'Paste SD Data'!O1639)</f>
        <v/>
      </c>
    </row>
    <row r="1643" spans="1:11" ht="30" customHeight="1" x14ac:dyDescent="0.25">
      <c r="A1643" s="25" t="str">
        <f>IF(Table1[[#This Row],[Name of Student]]="","",ROWS($A$1:A1639))</f>
        <v/>
      </c>
      <c r="B1643" s="26" t="str">
        <f>IF('Paste SD Data'!A1640="","",'Paste SD Data'!A1640)</f>
        <v/>
      </c>
      <c r="C1643" s="26" t="str">
        <f>IF('Paste SD Data'!B1640="","",'Paste SD Data'!B1640)</f>
        <v/>
      </c>
      <c r="D1643" s="26" t="str">
        <f>IF('Paste SD Data'!C1640="","",'Paste SD Data'!C1640)</f>
        <v/>
      </c>
      <c r="E1643" s="27" t="str">
        <f>IF('Paste SD Data'!E1640="","",UPPER('Paste SD Data'!E1640))</f>
        <v/>
      </c>
      <c r="F1643" s="27" t="str">
        <f>IF('Paste SD Data'!G1640="","",UPPER('Paste SD Data'!G1640))</f>
        <v/>
      </c>
      <c r="G1643" s="27" t="str">
        <f>IF('Paste SD Data'!H1640="","",UPPER('Paste SD Data'!H1640))</f>
        <v/>
      </c>
      <c r="H1643" s="26" t="str">
        <f>IF('Paste SD Data'!I1640="","",IF('Paste SD Data'!I1640="M","BOY","GIRL"))</f>
        <v/>
      </c>
      <c r="I1643" s="28" t="str">
        <f>IF('Paste SD Data'!J1640="","",'Paste SD Data'!J1640)</f>
        <v/>
      </c>
      <c r="J1643" s="34">
        <f t="shared" si="25"/>
        <v>2069</v>
      </c>
      <c r="K1643" s="29" t="str">
        <f>IF('Paste SD Data'!O1640="","",'Paste SD Data'!O1640)</f>
        <v/>
      </c>
    </row>
    <row r="1644" spans="1:11" ht="30" customHeight="1" x14ac:dyDescent="0.25">
      <c r="A1644" s="25" t="str">
        <f>IF(Table1[[#This Row],[Name of Student]]="","",ROWS($A$1:A1640))</f>
        <v/>
      </c>
      <c r="B1644" s="26" t="str">
        <f>IF('Paste SD Data'!A1641="","",'Paste SD Data'!A1641)</f>
        <v/>
      </c>
      <c r="C1644" s="26" t="str">
        <f>IF('Paste SD Data'!B1641="","",'Paste SD Data'!B1641)</f>
        <v/>
      </c>
      <c r="D1644" s="26" t="str">
        <f>IF('Paste SD Data'!C1641="","",'Paste SD Data'!C1641)</f>
        <v/>
      </c>
      <c r="E1644" s="27" t="str">
        <f>IF('Paste SD Data'!E1641="","",UPPER('Paste SD Data'!E1641))</f>
        <v/>
      </c>
      <c r="F1644" s="27" t="str">
        <f>IF('Paste SD Data'!G1641="","",UPPER('Paste SD Data'!G1641))</f>
        <v/>
      </c>
      <c r="G1644" s="27" t="str">
        <f>IF('Paste SD Data'!H1641="","",UPPER('Paste SD Data'!H1641))</f>
        <v/>
      </c>
      <c r="H1644" s="26" t="str">
        <f>IF('Paste SD Data'!I1641="","",IF('Paste SD Data'!I1641="M","BOY","GIRL"))</f>
        <v/>
      </c>
      <c r="I1644" s="28" t="str">
        <f>IF('Paste SD Data'!J1641="","",'Paste SD Data'!J1641)</f>
        <v/>
      </c>
      <c r="J1644" s="34">
        <f t="shared" si="25"/>
        <v>2070</v>
      </c>
      <c r="K1644" s="29" t="str">
        <f>IF('Paste SD Data'!O1641="","",'Paste SD Data'!O1641)</f>
        <v/>
      </c>
    </row>
    <row r="1645" spans="1:11" ht="30" customHeight="1" x14ac:dyDescent="0.25">
      <c r="A1645" s="25" t="str">
        <f>IF(Table1[[#This Row],[Name of Student]]="","",ROWS($A$1:A1641))</f>
        <v/>
      </c>
      <c r="B1645" s="26" t="str">
        <f>IF('Paste SD Data'!A1642="","",'Paste SD Data'!A1642)</f>
        <v/>
      </c>
      <c r="C1645" s="26" t="str">
        <f>IF('Paste SD Data'!B1642="","",'Paste SD Data'!B1642)</f>
        <v/>
      </c>
      <c r="D1645" s="26" t="str">
        <f>IF('Paste SD Data'!C1642="","",'Paste SD Data'!C1642)</f>
        <v/>
      </c>
      <c r="E1645" s="27" t="str">
        <f>IF('Paste SD Data'!E1642="","",UPPER('Paste SD Data'!E1642))</f>
        <v/>
      </c>
      <c r="F1645" s="27" t="str">
        <f>IF('Paste SD Data'!G1642="","",UPPER('Paste SD Data'!G1642))</f>
        <v/>
      </c>
      <c r="G1645" s="27" t="str">
        <f>IF('Paste SD Data'!H1642="","",UPPER('Paste SD Data'!H1642))</f>
        <v/>
      </c>
      <c r="H1645" s="26" t="str">
        <f>IF('Paste SD Data'!I1642="","",IF('Paste SD Data'!I1642="M","BOY","GIRL"))</f>
        <v/>
      </c>
      <c r="I1645" s="28" t="str">
        <f>IF('Paste SD Data'!J1642="","",'Paste SD Data'!J1642)</f>
        <v/>
      </c>
      <c r="J1645" s="34">
        <f t="shared" si="25"/>
        <v>2071</v>
      </c>
      <c r="K1645" s="29" t="str">
        <f>IF('Paste SD Data'!O1642="","",'Paste SD Data'!O1642)</f>
        <v/>
      </c>
    </row>
    <row r="1646" spans="1:11" ht="30" customHeight="1" x14ac:dyDescent="0.25">
      <c r="A1646" s="25" t="str">
        <f>IF(Table1[[#This Row],[Name of Student]]="","",ROWS($A$1:A1642))</f>
        <v/>
      </c>
      <c r="B1646" s="26" t="str">
        <f>IF('Paste SD Data'!A1643="","",'Paste SD Data'!A1643)</f>
        <v/>
      </c>
      <c r="C1646" s="26" t="str">
        <f>IF('Paste SD Data'!B1643="","",'Paste SD Data'!B1643)</f>
        <v/>
      </c>
      <c r="D1646" s="26" t="str">
        <f>IF('Paste SD Data'!C1643="","",'Paste SD Data'!C1643)</f>
        <v/>
      </c>
      <c r="E1646" s="27" t="str">
        <f>IF('Paste SD Data'!E1643="","",UPPER('Paste SD Data'!E1643))</f>
        <v/>
      </c>
      <c r="F1646" s="27" t="str">
        <f>IF('Paste SD Data'!G1643="","",UPPER('Paste SD Data'!G1643))</f>
        <v/>
      </c>
      <c r="G1646" s="27" t="str">
        <f>IF('Paste SD Data'!H1643="","",UPPER('Paste SD Data'!H1643))</f>
        <v/>
      </c>
      <c r="H1646" s="26" t="str">
        <f>IF('Paste SD Data'!I1643="","",IF('Paste SD Data'!I1643="M","BOY","GIRL"))</f>
        <v/>
      </c>
      <c r="I1646" s="28" t="str">
        <f>IF('Paste SD Data'!J1643="","",'Paste SD Data'!J1643)</f>
        <v/>
      </c>
      <c r="J1646" s="34">
        <f t="shared" si="25"/>
        <v>2072</v>
      </c>
      <c r="K1646" s="29" t="str">
        <f>IF('Paste SD Data'!O1643="","",'Paste SD Data'!O1643)</f>
        <v/>
      </c>
    </row>
    <row r="1647" spans="1:11" ht="30" customHeight="1" x14ac:dyDescent="0.25">
      <c r="A1647" s="25" t="str">
        <f>IF(Table1[[#This Row],[Name of Student]]="","",ROWS($A$1:A1643))</f>
        <v/>
      </c>
      <c r="B1647" s="26" t="str">
        <f>IF('Paste SD Data'!A1644="","",'Paste SD Data'!A1644)</f>
        <v/>
      </c>
      <c r="C1647" s="26" t="str">
        <f>IF('Paste SD Data'!B1644="","",'Paste SD Data'!B1644)</f>
        <v/>
      </c>
      <c r="D1647" s="26" t="str">
        <f>IF('Paste SD Data'!C1644="","",'Paste SD Data'!C1644)</f>
        <v/>
      </c>
      <c r="E1647" s="27" t="str">
        <f>IF('Paste SD Data'!E1644="","",UPPER('Paste SD Data'!E1644))</f>
        <v/>
      </c>
      <c r="F1647" s="27" t="str">
        <f>IF('Paste SD Data'!G1644="","",UPPER('Paste SD Data'!G1644))</f>
        <v/>
      </c>
      <c r="G1647" s="27" t="str">
        <f>IF('Paste SD Data'!H1644="","",UPPER('Paste SD Data'!H1644))</f>
        <v/>
      </c>
      <c r="H1647" s="26" t="str">
        <f>IF('Paste SD Data'!I1644="","",IF('Paste SD Data'!I1644="M","BOY","GIRL"))</f>
        <v/>
      </c>
      <c r="I1647" s="28" t="str">
        <f>IF('Paste SD Data'!J1644="","",'Paste SD Data'!J1644)</f>
        <v/>
      </c>
      <c r="J1647" s="34">
        <f t="shared" si="25"/>
        <v>2073</v>
      </c>
      <c r="K1647" s="29" t="str">
        <f>IF('Paste SD Data'!O1644="","",'Paste SD Data'!O1644)</f>
        <v/>
      </c>
    </row>
    <row r="1648" spans="1:11" ht="30" customHeight="1" x14ac:dyDescent="0.25">
      <c r="A1648" s="25" t="str">
        <f>IF(Table1[[#This Row],[Name of Student]]="","",ROWS($A$1:A1644))</f>
        <v/>
      </c>
      <c r="B1648" s="26" t="str">
        <f>IF('Paste SD Data'!A1645="","",'Paste SD Data'!A1645)</f>
        <v/>
      </c>
      <c r="C1648" s="26" t="str">
        <f>IF('Paste SD Data'!B1645="","",'Paste SD Data'!B1645)</f>
        <v/>
      </c>
      <c r="D1648" s="26" t="str">
        <f>IF('Paste SD Data'!C1645="","",'Paste SD Data'!C1645)</f>
        <v/>
      </c>
      <c r="E1648" s="27" t="str">
        <f>IF('Paste SD Data'!E1645="","",UPPER('Paste SD Data'!E1645))</f>
        <v/>
      </c>
      <c r="F1648" s="27" t="str">
        <f>IF('Paste SD Data'!G1645="","",UPPER('Paste SD Data'!G1645))</f>
        <v/>
      </c>
      <c r="G1648" s="27" t="str">
        <f>IF('Paste SD Data'!H1645="","",UPPER('Paste SD Data'!H1645))</f>
        <v/>
      </c>
      <c r="H1648" s="26" t="str">
        <f>IF('Paste SD Data'!I1645="","",IF('Paste SD Data'!I1645="M","BOY","GIRL"))</f>
        <v/>
      </c>
      <c r="I1648" s="28" t="str">
        <f>IF('Paste SD Data'!J1645="","",'Paste SD Data'!J1645)</f>
        <v/>
      </c>
      <c r="J1648" s="34">
        <f t="shared" si="25"/>
        <v>2074</v>
      </c>
      <c r="K1648" s="29" t="str">
        <f>IF('Paste SD Data'!O1645="","",'Paste SD Data'!O1645)</f>
        <v/>
      </c>
    </row>
    <row r="1649" spans="1:11" ht="30" customHeight="1" x14ac:dyDescent="0.25">
      <c r="A1649" s="25" t="str">
        <f>IF(Table1[[#This Row],[Name of Student]]="","",ROWS($A$1:A1645))</f>
        <v/>
      </c>
      <c r="B1649" s="26" t="str">
        <f>IF('Paste SD Data'!A1646="","",'Paste SD Data'!A1646)</f>
        <v/>
      </c>
      <c r="C1649" s="26" t="str">
        <f>IF('Paste SD Data'!B1646="","",'Paste SD Data'!B1646)</f>
        <v/>
      </c>
      <c r="D1649" s="26" t="str">
        <f>IF('Paste SD Data'!C1646="","",'Paste SD Data'!C1646)</f>
        <v/>
      </c>
      <c r="E1649" s="27" t="str">
        <f>IF('Paste SD Data'!E1646="","",UPPER('Paste SD Data'!E1646))</f>
        <v/>
      </c>
      <c r="F1649" s="27" t="str">
        <f>IF('Paste SD Data'!G1646="","",UPPER('Paste SD Data'!G1646))</f>
        <v/>
      </c>
      <c r="G1649" s="27" t="str">
        <f>IF('Paste SD Data'!H1646="","",UPPER('Paste SD Data'!H1646))</f>
        <v/>
      </c>
      <c r="H1649" s="26" t="str">
        <f>IF('Paste SD Data'!I1646="","",IF('Paste SD Data'!I1646="M","BOY","GIRL"))</f>
        <v/>
      </c>
      <c r="I1649" s="28" t="str">
        <f>IF('Paste SD Data'!J1646="","",'Paste SD Data'!J1646)</f>
        <v/>
      </c>
      <c r="J1649" s="34">
        <f t="shared" si="25"/>
        <v>2075</v>
      </c>
      <c r="K1649" s="29" t="str">
        <f>IF('Paste SD Data'!O1646="","",'Paste SD Data'!O1646)</f>
        <v/>
      </c>
    </row>
    <row r="1650" spans="1:11" ht="30" customHeight="1" x14ac:dyDescent="0.25">
      <c r="A1650" s="25" t="str">
        <f>IF(Table1[[#This Row],[Name of Student]]="","",ROWS($A$1:A1646))</f>
        <v/>
      </c>
      <c r="B1650" s="26" t="str">
        <f>IF('Paste SD Data'!A1647="","",'Paste SD Data'!A1647)</f>
        <v/>
      </c>
      <c r="C1650" s="26" t="str">
        <f>IF('Paste SD Data'!B1647="","",'Paste SD Data'!B1647)</f>
        <v/>
      </c>
      <c r="D1650" s="26" t="str">
        <f>IF('Paste SD Data'!C1647="","",'Paste SD Data'!C1647)</f>
        <v/>
      </c>
      <c r="E1650" s="27" t="str">
        <f>IF('Paste SD Data'!E1647="","",UPPER('Paste SD Data'!E1647))</f>
        <v/>
      </c>
      <c r="F1650" s="27" t="str">
        <f>IF('Paste SD Data'!G1647="","",UPPER('Paste SD Data'!G1647))</f>
        <v/>
      </c>
      <c r="G1650" s="27" t="str">
        <f>IF('Paste SD Data'!H1647="","",UPPER('Paste SD Data'!H1647))</f>
        <v/>
      </c>
      <c r="H1650" s="26" t="str">
        <f>IF('Paste SD Data'!I1647="","",IF('Paste SD Data'!I1647="M","BOY","GIRL"))</f>
        <v/>
      </c>
      <c r="I1650" s="28" t="str">
        <f>IF('Paste SD Data'!J1647="","",'Paste SD Data'!J1647)</f>
        <v/>
      </c>
      <c r="J1650" s="34">
        <f t="shared" si="25"/>
        <v>2076</v>
      </c>
      <c r="K1650" s="29" t="str">
        <f>IF('Paste SD Data'!O1647="","",'Paste SD Data'!O1647)</f>
        <v/>
      </c>
    </row>
    <row r="1651" spans="1:11" ht="30" customHeight="1" x14ac:dyDescent="0.25">
      <c r="A1651" s="25" t="str">
        <f>IF(Table1[[#This Row],[Name of Student]]="","",ROWS($A$1:A1647))</f>
        <v/>
      </c>
      <c r="B1651" s="26" t="str">
        <f>IF('Paste SD Data'!A1648="","",'Paste SD Data'!A1648)</f>
        <v/>
      </c>
      <c r="C1651" s="26" t="str">
        <f>IF('Paste SD Data'!B1648="","",'Paste SD Data'!B1648)</f>
        <v/>
      </c>
      <c r="D1651" s="26" t="str">
        <f>IF('Paste SD Data'!C1648="","",'Paste SD Data'!C1648)</f>
        <v/>
      </c>
      <c r="E1651" s="27" t="str">
        <f>IF('Paste SD Data'!E1648="","",UPPER('Paste SD Data'!E1648))</f>
        <v/>
      </c>
      <c r="F1651" s="27" t="str">
        <f>IF('Paste SD Data'!G1648="","",UPPER('Paste SD Data'!G1648))</f>
        <v/>
      </c>
      <c r="G1651" s="27" t="str">
        <f>IF('Paste SD Data'!H1648="","",UPPER('Paste SD Data'!H1648))</f>
        <v/>
      </c>
      <c r="H1651" s="26" t="str">
        <f>IF('Paste SD Data'!I1648="","",IF('Paste SD Data'!I1648="M","BOY","GIRL"))</f>
        <v/>
      </c>
      <c r="I1651" s="28" t="str">
        <f>IF('Paste SD Data'!J1648="","",'Paste SD Data'!J1648)</f>
        <v/>
      </c>
      <c r="J1651" s="34">
        <f t="shared" si="25"/>
        <v>2077</v>
      </c>
      <c r="K1651" s="29" t="str">
        <f>IF('Paste SD Data'!O1648="","",'Paste SD Data'!O1648)</f>
        <v/>
      </c>
    </row>
    <row r="1652" spans="1:11" ht="30" customHeight="1" x14ac:dyDescent="0.25">
      <c r="A1652" s="25" t="str">
        <f>IF(Table1[[#This Row],[Name of Student]]="","",ROWS($A$1:A1648))</f>
        <v/>
      </c>
      <c r="B1652" s="26" t="str">
        <f>IF('Paste SD Data'!A1649="","",'Paste SD Data'!A1649)</f>
        <v/>
      </c>
      <c r="C1652" s="26" t="str">
        <f>IF('Paste SD Data'!B1649="","",'Paste SD Data'!B1649)</f>
        <v/>
      </c>
      <c r="D1652" s="26" t="str">
        <f>IF('Paste SD Data'!C1649="","",'Paste SD Data'!C1649)</f>
        <v/>
      </c>
      <c r="E1652" s="27" t="str">
        <f>IF('Paste SD Data'!E1649="","",UPPER('Paste SD Data'!E1649))</f>
        <v/>
      </c>
      <c r="F1652" s="27" t="str">
        <f>IF('Paste SD Data'!G1649="","",UPPER('Paste SD Data'!G1649))</f>
        <v/>
      </c>
      <c r="G1652" s="27" t="str">
        <f>IF('Paste SD Data'!H1649="","",UPPER('Paste SD Data'!H1649))</f>
        <v/>
      </c>
      <c r="H1652" s="26" t="str">
        <f>IF('Paste SD Data'!I1649="","",IF('Paste SD Data'!I1649="M","BOY","GIRL"))</f>
        <v/>
      </c>
      <c r="I1652" s="28" t="str">
        <f>IF('Paste SD Data'!J1649="","",'Paste SD Data'!J1649)</f>
        <v/>
      </c>
      <c r="J1652" s="34">
        <f t="shared" si="25"/>
        <v>2078</v>
      </c>
      <c r="K1652" s="29" t="str">
        <f>IF('Paste SD Data'!O1649="","",'Paste SD Data'!O1649)</f>
        <v/>
      </c>
    </row>
    <row r="1653" spans="1:11" ht="30" customHeight="1" x14ac:dyDescent="0.25">
      <c r="A1653" s="25" t="str">
        <f>IF(Table1[[#This Row],[Name of Student]]="","",ROWS($A$1:A1649))</f>
        <v/>
      </c>
      <c r="B1653" s="26" t="str">
        <f>IF('Paste SD Data'!A1650="","",'Paste SD Data'!A1650)</f>
        <v/>
      </c>
      <c r="C1653" s="26" t="str">
        <f>IF('Paste SD Data'!B1650="","",'Paste SD Data'!B1650)</f>
        <v/>
      </c>
      <c r="D1653" s="26" t="str">
        <f>IF('Paste SD Data'!C1650="","",'Paste SD Data'!C1650)</f>
        <v/>
      </c>
      <c r="E1653" s="27" t="str">
        <f>IF('Paste SD Data'!E1650="","",UPPER('Paste SD Data'!E1650))</f>
        <v/>
      </c>
      <c r="F1653" s="27" t="str">
        <f>IF('Paste SD Data'!G1650="","",UPPER('Paste SD Data'!G1650))</f>
        <v/>
      </c>
      <c r="G1653" s="27" t="str">
        <f>IF('Paste SD Data'!H1650="","",UPPER('Paste SD Data'!H1650))</f>
        <v/>
      </c>
      <c r="H1653" s="26" t="str">
        <f>IF('Paste SD Data'!I1650="","",IF('Paste SD Data'!I1650="M","BOY","GIRL"))</f>
        <v/>
      </c>
      <c r="I1653" s="28" t="str">
        <f>IF('Paste SD Data'!J1650="","",'Paste SD Data'!J1650)</f>
        <v/>
      </c>
      <c r="J1653" s="34">
        <f t="shared" si="25"/>
        <v>2079</v>
      </c>
      <c r="K1653" s="29" t="str">
        <f>IF('Paste SD Data'!O1650="","",'Paste SD Data'!O1650)</f>
        <v/>
      </c>
    </row>
    <row r="1654" spans="1:11" ht="30" customHeight="1" x14ac:dyDescent="0.25">
      <c r="A1654" s="25" t="str">
        <f>IF(Table1[[#This Row],[Name of Student]]="","",ROWS($A$1:A1650))</f>
        <v/>
      </c>
      <c r="B1654" s="26" t="str">
        <f>IF('Paste SD Data'!A1651="","",'Paste SD Data'!A1651)</f>
        <v/>
      </c>
      <c r="C1654" s="26" t="str">
        <f>IF('Paste SD Data'!B1651="","",'Paste SD Data'!B1651)</f>
        <v/>
      </c>
      <c r="D1654" s="26" t="str">
        <f>IF('Paste SD Data'!C1651="","",'Paste SD Data'!C1651)</f>
        <v/>
      </c>
      <c r="E1654" s="27" t="str">
        <f>IF('Paste SD Data'!E1651="","",UPPER('Paste SD Data'!E1651))</f>
        <v/>
      </c>
      <c r="F1654" s="27" t="str">
        <f>IF('Paste SD Data'!G1651="","",UPPER('Paste SD Data'!G1651))</f>
        <v/>
      </c>
      <c r="G1654" s="27" t="str">
        <f>IF('Paste SD Data'!H1651="","",UPPER('Paste SD Data'!H1651))</f>
        <v/>
      </c>
      <c r="H1654" s="26" t="str">
        <f>IF('Paste SD Data'!I1651="","",IF('Paste SD Data'!I1651="M","BOY","GIRL"))</f>
        <v/>
      </c>
      <c r="I1654" s="28" t="str">
        <f>IF('Paste SD Data'!J1651="","",'Paste SD Data'!J1651)</f>
        <v/>
      </c>
      <c r="J1654" s="34">
        <f t="shared" si="25"/>
        <v>2080</v>
      </c>
      <c r="K1654" s="29" t="str">
        <f>IF('Paste SD Data'!O1651="","",'Paste SD Data'!O1651)</f>
        <v/>
      </c>
    </row>
    <row r="1655" spans="1:11" ht="30" customHeight="1" x14ac:dyDescent="0.25">
      <c r="A1655" s="25" t="str">
        <f>IF(Table1[[#This Row],[Name of Student]]="","",ROWS($A$1:A1651))</f>
        <v/>
      </c>
      <c r="B1655" s="26" t="str">
        <f>IF('Paste SD Data'!A1652="","",'Paste SD Data'!A1652)</f>
        <v/>
      </c>
      <c r="C1655" s="26" t="str">
        <f>IF('Paste SD Data'!B1652="","",'Paste SD Data'!B1652)</f>
        <v/>
      </c>
      <c r="D1655" s="26" t="str">
        <f>IF('Paste SD Data'!C1652="","",'Paste SD Data'!C1652)</f>
        <v/>
      </c>
      <c r="E1655" s="27" t="str">
        <f>IF('Paste SD Data'!E1652="","",UPPER('Paste SD Data'!E1652))</f>
        <v/>
      </c>
      <c r="F1655" s="27" t="str">
        <f>IF('Paste SD Data'!G1652="","",UPPER('Paste SD Data'!G1652))</f>
        <v/>
      </c>
      <c r="G1655" s="27" t="str">
        <f>IF('Paste SD Data'!H1652="","",UPPER('Paste SD Data'!H1652))</f>
        <v/>
      </c>
      <c r="H1655" s="26" t="str">
        <f>IF('Paste SD Data'!I1652="","",IF('Paste SD Data'!I1652="M","BOY","GIRL"))</f>
        <v/>
      </c>
      <c r="I1655" s="28" t="str">
        <f>IF('Paste SD Data'!J1652="","",'Paste SD Data'!J1652)</f>
        <v/>
      </c>
      <c r="J1655" s="34">
        <f t="shared" si="25"/>
        <v>2081</v>
      </c>
      <c r="K1655" s="29" t="str">
        <f>IF('Paste SD Data'!O1652="","",'Paste SD Data'!O1652)</f>
        <v/>
      </c>
    </row>
    <row r="1656" spans="1:11" ht="30" customHeight="1" x14ac:dyDescent="0.25">
      <c r="A1656" s="25" t="str">
        <f>IF(Table1[[#This Row],[Name of Student]]="","",ROWS($A$1:A1652))</f>
        <v/>
      </c>
      <c r="B1656" s="26" t="str">
        <f>IF('Paste SD Data'!A1653="","",'Paste SD Data'!A1653)</f>
        <v/>
      </c>
      <c r="C1656" s="26" t="str">
        <f>IF('Paste SD Data'!B1653="","",'Paste SD Data'!B1653)</f>
        <v/>
      </c>
      <c r="D1656" s="26" t="str">
        <f>IF('Paste SD Data'!C1653="","",'Paste SD Data'!C1653)</f>
        <v/>
      </c>
      <c r="E1656" s="27" t="str">
        <f>IF('Paste SD Data'!E1653="","",UPPER('Paste SD Data'!E1653))</f>
        <v/>
      </c>
      <c r="F1656" s="27" t="str">
        <f>IF('Paste SD Data'!G1653="","",UPPER('Paste SD Data'!G1653))</f>
        <v/>
      </c>
      <c r="G1656" s="27" t="str">
        <f>IF('Paste SD Data'!H1653="","",UPPER('Paste SD Data'!H1653))</f>
        <v/>
      </c>
      <c r="H1656" s="26" t="str">
        <f>IF('Paste SD Data'!I1653="","",IF('Paste SD Data'!I1653="M","BOY","GIRL"))</f>
        <v/>
      </c>
      <c r="I1656" s="28" t="str">
        <f>IF('Paste SD Data'!J1653="","",'Paste SD Data'!J1653)</f>
        <v/>
      </c>
      <c r="J1656" s="34">
        <f t="shared" si="25"/>
        <v>2082</v>
      </c>
      <c r="K1656" s="29" t="str">
        <f>IF('Paste SD Data'!O1653="","",'Paste SD Data'!O1653)</f>
        <v/>
      </c>
    </row>
    <row r="1657" spans="1:11" ht="30" customHeight="1" x14ac:dyDescent="0.25">
      <c r="A1657" s="25" t="str">
        <f>IF(Table1[[#This Row],[Name of Student]]="","",ROWS($A$1:A1653))</f>
        <v/>
      </c>
      <c r="B1657" s="26" t="str">
        <f>IF('Paste SD Data'!A1654="","",'Paste SD Data'!A1654)</f>
        <v/>
      </c>
      <c r="C1657" s="26" t="str">
        <f>IF('Paste SD Data'!B1654="","",'Paste SD Data'!B1654)</f>
        <v/>
      </c>
      <c r="D1657" s="26" t="str">
        <f>IF('Paste SD Data'!C1654="","",'Paste SD Data'!C1654)</f>
        <v/>
      </c>
      <c r="E1657" s="27" t="str">
        <f>IF('Paste SD Data'!E1654="","",UPPER('Paste SD Data'!E1654))</f>
        <v/>
      </c>
      <c r="F1657" s="27" t="str">
        <f>IF('Paste SD Data'!G1654="","",UPPER('Paste SD Data'!G1654))</f>
        <v/>
      </c>
      <c r="G1657" s="27" t="str">
        <f>IF('Paste SD Data'!H1654="","",UPPER('Paste SD Data'!H1654))</f>
        <v/>
      </c>
      <c r="H1657" s="26" t="str">
        <f>IF('Paste SD Data'!I1654="","",IF('Paste SD Data'!I1654="M","BOY","GIRL"))</f>
        <v/>
      </c>
      <c r="I1657" s="28" t="str">
        <f>IF('Paste SD Data'!J1654="","",'Paste SD Data'!J1654)</f>
        <v/>
      </c>
      <c r="J1657" s="34">
        <f t="shared" si="25"/>
        <v>2083</v>
      </c>
      <c r="K1657" s="29" t="str">
        <f>IF('Paste SD Data'!O1654="","",'Paste SD Data'!O1654)</f>
        <v/>
      </c>
    </row>
    <row r="1658" spans="1:11" ht="30" customHeight="1" x14ac:dyDescent="0.25">
      <c r="A1658" s="25" t="str">
        <f>IF(Table1[[#This Row],[Name of Student]]="","",ROWS($A$1:A1654))</f>
        <v/>
      </c>
      <c r="B1658" s="26" t="str">
        <f>IF('Paste SD Data'!A1655="","",'Paste SD Data'!A1655)</f>
        <v/>
      </c>
      <c r="C1658" s="26" t="str">
        <f>IF('Paste SD Data'!B1655="","",'Paste SD Data'!B1655)</f>
        <v/>
      </c>
      <c r="D1658" s="26" t="str">
        <f>IF('Paste SD Data'!C1655="","",'Paste SD Data'!C1655)</f>
        <v/>
      </c>
      <c r="E1658" s="27" t="str">
        <f>IF('Paste SD Data'!E1655="","",UPPER('Paste SD Data'!E1655))</f>
        <v/>
      </c>
      <c r="F1658" s="27" t="str">
        <f>IF('Paste SD Data'!G1655="","",UPPER('Paste SD Data'!G1655))</f>
        <v/>
      </c>
      <c r="G1658" s="27" t="str">
        <f>IF('Paste SD Data'!H1655="","",UPPER('Paste SD Data'!H1655))</f>
        <v/>
      </c>
      <c r="H1658" s="26" t="str">
        <f>IF('Paste SD Data'!I1655="","",IF('Paste SD Data'!I1655="M","BOY","GIRL"))</f>
        <v/>
      </c>
      <c r="I1658" s="28" t="str">
        <f>IF('Paste SD Data'!J1655="","",'Paste SD Data'!J1655)</f>
        <v/>
      </c>
      <c r="J1658" s="34">
        <f t="shared" si="25"/>
        <v>2084</v>
      </c>
      <c r="K1658" s="29" t="str">
        <f>IF('Paste SD Data'!O1655="","",'Paste SD Data'!O1655)</f>
        <v/>
      </c>
    </row>
    <row r="1659" spans="1:11" ht="30" customHeight="1" x14ac:dyDescent="0.25">
      <c r="A1659" s="25" t="str">
        <f>IF(Table1[[#This Row],[Name of Student]]="","",ROWS($A$1:A1655))</f>
        <v/>
      </c>
      <c r="B1659" s="26" t="str">
        <f>IF('Paste SD Data'!A1656="","",'Paste SD Data'!A1656)</f>
        <v/>
      </c>
      <c r="C1659" s="26" t="str">
        <f>IF('Paste SD Data'!B1656="","",'Paste SD Data'!B1656)</f>
        <v/>
      </c>
      <c r="D1659" s="26" t="str">
        <f>IF('Paste SD Data'!C1656="","",'Paste SD Data'!C1656)</f>
        <v/>
      </c>
      <c r="E1659" s="27" t="str">
        <f>IF('Paste SD Data'!E1656="","",UPPER('Paste SD Data'!E1656))</f>
        <v/>
      </c>
      <c r="F1659" s="27" t="str">
        <f>IF('Paste SD Data'!G1656="","",UPPER('Paste SD Data'!G1656))</f>
        <v/>
      </c>
      <c r="G1659" s="27" t="str">
        <f>IF('Paste SD Data'!H1656="","",UPPER('Paste SD Data'!H1656))</f>
        <v/>
      </c>
      <c r="H1659" s="26" t="str">
        <f>IF('Paste SD Data'!I1656="","",IF('Paste SD Data'!I1656="M","BOY","GIRL"))</f>
        <v/>
      </c>
      <c r="I1659" s="28" t="str">
        <f>IF('Paste SD Data'!J1656="","",'Paste SD Data'!J1656)</f>
        <v/>
      </c>
      <c r="J1659" s="34">
        <f t="shared" si="25"/>
        <v>2085</v>
      </c>
      <c r="K1659" s="29" t="str">
        <f>IF('Paste SD Data'!O1656="","",'Paste SD Data'!O1656)</f>
        <v/>
      </c>
    </row>
    <row r="1660" spans="1:11" ht="30" customHeight="1" x14ac:dyDescent="0.25">
      <c r="A1660" s="25" t="str">
        <f>IF(Table1[[#This Row],[Name of Student]]="","",ROWS($A$1:A1656))</f>
        <v/>
      </c>
      <c r="B1660" s="26" t="str">
        <f>IF('Paste SD Data'!A1657="","",'Paste SD Data'!A1657)</f>
        <v/>
      </c>
      <c r="C1660" s="26" t="str">
        <f>IF('Paste SD Data'!B1657="","",'Paste SD Data'!B1657)</f>
        <v/>
      </c>
      <c r="D1660" s="26" t="str">
        <f>IF('Paste SD Data'!C1657="","",'Paste SD Data'!C1657)</f>
        <v/>
      </c>
      <c r="E1660" s="27" t="str">
        <f>IF('Paste SD Data'!E1657="","",UPPER('Paste SD Data'!E1657))</f>
        <v/>
      </c>
      <c r="F1660" s="27" t="str">
        <f>IF('Paste SD Data'!G1657="","",UPPER('Paste SD Data'!G1657))</f>
        <v/>
      </c>
      <c r="G1660" s="27" t="str">
        <f>IF('Paste SD Data'!H1657="","",UPPER('Paste SD Data'!H1657))</f>
        <v/>
      </c>
      <c r="H1660" s="26" t="str">
        <f>IF('Paste SD Data'!I1657="","",IF('Paste SD Data'!I1657="M","BOY","GIRL"))</f>
        <v/>
      </c>
      <c r="I1660" s="28" t="str">
        <f>IF('Paste SD Data'!J1657="","",'Paste SD Data'!J1657)</f>
        <v/>
      </c>
      <c r="J1660" s="34">
        <f t="shared" si="25"/>
        <v>2086</v>
      </c>
      <c r="K1660" s="29" t="str">
        <f>IF('Paste SD Data'!O1657="","",'Paste SD Data'!O1657)</f>
        <v/>
      </c>
    </row>
    <row r="1661" spans="1:11" ht="30" customHeight="1" x14ac:dyDescent="0.25">
      <c r="A1661" s="25" t="str">
        <f>IF(Table1[[#This Row],[Name of Student]]="","",ROWS($A$1:A1657))</f>
        <v/>
      </c>
      <c r="B1661" s="26" t="str">
        <f>IF('Paste SD Data'!A1658="","",'Paste SD Data'!A1658)</f>
        <v/>
      </c>
      <c r="C1661" s="26" t="str">
        <f>IF('Paste SD Data'!B1658="","",'Paste SD Data'!B1658)</f>
        <v/>
      </c>
      <c r="D1661" s="26" t="str">
        <f>IF('Paste SD Data'!C1658="","",'Paste SD Data'!C1658)</f>
        <v/>
      </c>
      <c r="E1661" s="27" t="str">
        <f>IF('Paste SD Data'!E1658="","",UPPER('Paste SD Data'!E1658))</f>
        <v/>
      </c>
      <c r="F1661" s="27" t="str">
        <f>IF('Paste SD Data'!G1658="","",UPPER('Paste SD Data'!G1658))</f>
        <v/>
      </c>
      <c r="G1661" s="27" t="str">
        <f>IF('Paste SD Data'!H1658="","",UPPER('Paste SD Data'!H1658))</f>
        <v/>
      </c>
      <c r="H1661" s="26" t="str">
        <f>IF('Paste SD Data'!I1658="","",IF('Paste SD Data'!I1658="M","BOY","GIRL"))</f>
        <v/>
      </c>
      <c r="I1661" s="28" t="str">
        <f>IF('Paste SD Data'!J1658="","",'Paste SD Data'!J1658)</f>
        <v/>
      </c>
      <c r="J1661" s="34">
        <f t="shared" si="25"/>
        <v>2087</v>
      </c>
      <c r="K1661" s="29" t="str">
        <f>IF('Paste SD Data'!O1658="","",'Paste SD Data'!O1658)</f>
        <v/>
      </c>
    </row>
    <row r="1662" spans="1:11" ht="30" customHeight="1" x14ac:dyDescent="0.25">
      <c r="A1662" s="25" t="str">
        <f>IF(Table1[[#This Row],[Name of Student]]="","",ROWS($A$1:A1658))</f>
        <v/>
      </c>
      <c r="B1662" s="26" t="str">
        <f>IF('Paste SD Data'!A1659="","",'Paste SD Data'!A1659)</f>
        <v/>
      </c>
      <c r="C1662" s="26" t="str">
        <f>IF('Paste SD Data'!B1659="","",'Paste SD Data'!B1659)</f>
        <v/>
      </c>
      <c r="D1662" s="26" t="str">
        <f>IF('Paste SD Data'!C1659="","",'Paste SD Data'!C1659)</f>
        <v/>
      </c>
      <c r="E1662" s="27" t="str">
        <f>IF('Paste SD Data'!E1659="","",UPPER('Paste SD Data'!E1659))</f>
        <v/>
      </c>
      <c r="F1662" s="27" t="str">
        <f>IF('Paste SD Data'!G1659="","",UPPER('Paste SD Data'!G1659))</f>
        <v/>
      </c>
      <c r="G1662" s="27" t="str">
        <f>IF('Paste SD Data'!H1659="","",UPPER('Paste SD Data'!H1659))</f>
        <v/>
      </c>
      <c r="H1662" s="26" t="str">
        <f>IF('Paste SD Data'!I1659="","",IF('Paste SD Data'!I1659="M","BOY","GIRL"))</f>
        <v/>
      </c>
      <c r="I1662" s="28" t="str">
        <f>IF('Paste SD Data'!J1659="","",'Paste SD Data'!J1659)</f>
        <v/>
      </c>
      <c r="J1662" s="34">
        <f t="shared" si="25"/>
        <v>2088</v>
      </c>
      <c r="K1662" s="29" t="str">
        <f>IF('Paste SD Data'!O1659="","",'Paste SD Data'!O1659)</f>
        <v/>
      </c>
    </row>
    <row r="1663" spans="1:11" ht="30" customHeight="1" x14ac:dyDescent="0.25">
      <c r="A1663" s="25" t="str">
        <f>IF(Table1[[#This Row],[Name of Student]]="","",ROWS($A$1:A1659))</f>
        <v/>
      </c>
      <c r="B1663" s="26" t="str">
        <f>IF('Paste SD Data'!A1660="","",'Paste SD Data'!A1660)</f>
        <v/>
      </c>
      <c r="C1663" s="26" t="str">
        <f>IF('Paste SD Data'!B1660="","",'Paste SD Data'!B1660)</f>
        <v/>
      </c>
      <c r="D1663" s="26" t="str">
        <f>IF('Paste SD Data'!C1660="","",'Paste SD Data'!C1660)</f>
        <v/>
      </c>
      <c r="E1663" s="27" t="str">
        <f>IF('Paste SD Data'!E1660="","",UPPER('Paste SD Data'!E1660))</f>
        <v/>
      </c>
      <c r="F1663" s="27" t="str">
        <f>IF('Paste SD Data'!G1660="","",UPPER('Paste SD Data'!G1660))</f>
        <v/>
      </c>
      <c r="G1663" s="27" t="str">
        <f>IF('Paste SD Data'!H1660="","",UPPER('Paste SD Data'!H1660))</f>
        <v/>
      </c>
      <c r="H1663" s="26" t="str">
        <f>IF('Paste SD Data'!I1660="","",IF('Paste SD Data'!I1660="M","BOY","GIRL"))</f>
        <v/>
      </c>
      <c r="I1663" s="28" t="str">
        <f>IF('Paste SD Data'!J1660="","",'Paste SD Data'!J1660)</f>
        <v/>
      </c>
      <c r="J1663" s="34">
        <f t="shared" si="25"/>
        <v>2089</v>
      </c>
      <c r="K1663" s="29" t="str">
        <f>IF('Paste SD Data'!O1660="","",'Paste SD Data'!O1660)</f>
        <v/>
      </c>
    </row>
    <row r="1664" spans="1:11" ht="30" customHeight="1" x14ac:dyDescent="0.25">
      <c r="A1664" s="25" t="str">
        <f>IF(Table1[[#This Row],[Name of Student]]="","",ROWS($A$1:A1660))</f>
        <v/>
      </c>
      <c r="B1664" s="26" t="str">
        <f>IF('Paste SD Data'!A1661="","",'Paste SD Data'!A1661)</f>
        <v/>
      </c>
      <c r="C1664" s="26" t="str">
        <f>IF('Paste SD Data'!B1661="","",'Paste SD Data'!B1661)</f>
        <v/>
      </c>
      <c r="D1664" s="26" t="str">
        <f>IF('Paste SD Data'!C1661="","",'Paste SD Data'!C1661)</f>
        <v/>
      </c>
      <c r="E1664" s="27" t="str">
        <f>IF('Paste SD Data'!E1661="","",UPPER('Paste SD Data'!E1661))</f>
        <v/>
      </c>
      <c r="F1664" s="27" t="str">
        <f>IF('Paste SD Data'!G1661="","",UPPER('Paste SD Data'!G1661))</f>
        <v/>
      </c>
      <c r="G1664" s="27" t="str">
        <f>IF('Paste SD Data'!H1661="","",UPPER('Paste SD Data'!H1661))</f>
        <v/>
      </c>
      <c r="H1664" s="26" t="str">
        <f>IF('Paste SD Data'!I1661="","",IF('Paste SD Data'!I1661="M","BOY","GIRL"))</f>
        <v/>
      </c>
      <c r="I1664" s="28" t="str">
        <f>IF('Paste SD Data'!J1661="","",'Paste SD Data'!J1661)</f>
        <v/>
      </c>
      <c r="J1664" s="34">
        <f t="shared" si="25"/>
        <v>2090</v>
      </c>
      <c r="K1664" s="29" t="str">
        <f>IF('Paste SD Data'!O1661="","",'Paste SD Data'!O1661)</f>
        <v/>
      </c>
    </row>
    <row r="1665" spans="1:11" ht="30" customHeight="1" x14ac:dyDescent="0.25">
      <c r="A1665" s="25" t="str">
        <f>IF(Table1[[#This Row],[Name of Student]]="","",ROWS($A$1:A1661))</f>
        <v/>
      </c>
      <c r="B1665" s="26" t="str">
        <f>IF('Paste SD Data'!A1662="","",'Paste SD Data'!A1662)</f>
        <v/>
      </c>
      <c r="C1665" s="26" t="str">
        <f>IF('Paste SD Data'!B1662="","",'Paste SD Data'!B1662)</f>
        <v/>
      </c>
      <c r="D1665" s="26" t="str">
        <f>IF('Paste SD Data'!C1662="","",'Paste SD Data'!C1662)</f>
        <v/>
      </c>
      <c r="E1665" s="27" t="str">
        <f>IF('Paste SD Data'!E1662="","",UPPER('Paste SD Data'!E1662))</f>
        <v/>
      </c>
      <c r="F1665" s="27" t="str">
        <f>IF('Paste SD Data'!G1662="","",UPPER('Paste SD Data'!G1662))</f>
        <v/>
      </c>
      <c r="G1665" s="27" t="str">
        <f>IF('Paste SD Data'!H1662="","",UPPER('Paste SD Data'!H1662))</f>
        <v/>
      </c>
      <c r="H1665" s="26" t="str">
        <f>IF('Paste SD Data'!I1662="","",IF('Paste SD Data'!I1662="M","BOY","GIRL"))</f>
        <v/>
      </c>
      <c r="I1665" s="28" t="str">
        <f>IF('Paste SD Data'!J1662="","",'Paste SD Data'!J1662)</f>
        <v/>
      </c>
      <c r="J1665" s="34">
        <f t="shared" si="25"/>
        <v>2091</v>
      </c>
      <c r="K1665" s="29" t="str">
        <f>IF('Paste SD Data'!O1662="","",'Paste SD Data'!O1662)</f>
        <v/>
      </c>
    </row>
    <row r="1666" spans="1:11" ht="30" customHeight="1" x14ac:dyDescent="0.25">
      <c r="A1666" s="25" t="str">
        <f>IF(Table1[[#This Row],[Name of Student]]="","",ROWS($A$1:A1662))</f>
        <v/>
      </c>
      <c r="B1666" s="26" t="str">
        <f>IF('Paste SD Data'!A1663="","",'Paste SD Data'!A1663)</f>
        <v/>
      </c>
      <c r="C1666" s="26" t="str">
        <f>IF('Paste SD Data'!B1663="","",'Paste SD Data'!B1663)</f>
        <v/>
      </c>
      <c r="D1666" s="26" t="str">
        <f>IF('Paste SD Data'!C1663="","",'Paste SD Data'!C1663)</f>
        <v/>
      </c>
      <c r="E1666" s="27" t="str">
        <f>IF('Paste SD Data'!E1663="","",UPPER('Paste SD Data'!E1663))</f>
        <v/>
      </c>
      <c r="F1666" s="27" t="str">
        <f>IF('Paste SD Data'!G1663="","",UPPER('Paste SD Data'!G1663))</f>
        <v/>
      </c>
      <c r="G1666" s="27" t="str">
        <f>IF('Paste SD Data'!H1663="","",UPPER('Paste SD Data'!H1663))</f>
        <v/>
      </c>
      <c r="H1666" s="26" t="str">
        <f>IF('Paste SD Data'!I1663="","",IF('Paste SD Data'!I1663="M","BOY","GIRL"))</f>
        <v/>
      </c>
      <c r="I1666" s="28" t="str">
        <f>IF('Paste SD Data'!J1663="","",'Paste SD Data'!J1663)</f>
        <v/>
      </c>
      <c r="J1666" s="34">
        <f t="shared" si="25"/>
        <v>2092</v>
      </c>
      <c r="K1666" s="29" t="str">
        <f>IF('Paste SD Data'!O1663="","",'Paste SD Data'!O1663)</f>
        <v/>
      </c>
    </row>
    <row r="1667" spans="1:11" ht="30" customHeight="1" x14ac:dyDescent="0.25">
      <c r="A1667" s="25" t="str">
        <f>IF(Table1[[#This Row],[Name of Student]]="","",ROWS($A$1:A1663))</f>
        <v/>
      </c>
      <c r="B1667" s="26" t="str">
        <f>IF('Paste SD Data'!A1664="","",'Paste SD Data'!A1664)</f>
        <v/>
      </c>
      <c r="C1667" s="26" t="str">
        <f>IF('Paste SD Data'!B1664="","",'Paste SD Data'!B1664)</f>
        <v/>
      </c>
      <c r="D1667" s="26" t="str">
        <f>IF('Paste SD Data'!C1664="","",'Paste SD Data'!C1664)</f>
        <v/>
      </c>
      <c r="E1667" s="27" t="str">
        <f>IF('Paste SD Data'!E1664="","",UPPER('Paste SD Data'!E1664))</f>
        <v/>
      </c>
      <c r="F1667" s="27" t="str">
        <f>IF('Paste SD Data'!G1664="","",UPPER('Paste SD Data'!G1664))</f>
        <v/>
      </c>
      <c r="G1667" s="27" t="str">
        <f>IF('Paste SD Data'!H1664="","",UPPER('Paste SD Data'!H1664))</f>
        <v/>
      </c>
      <c r="H1667" s="26" t="str">
        <f>IF('Paste SD Data'!I1664="","",IF('Paste SD Data'!I1664="M","BOY","GIRL"))</f>
        <v/>
      </c>
      <c r="I1667" s="28" t="str">
        <f>IF('Paste SD Data'!J1664="","",'Paste SD Data'!J1664)</f>
        <v/>
      </c>
      <c r="J1667" s="34">
        <f t="shared" si="25"/>
        <v>2093</v>
      </c>
      <c r="K1667" s="29" t="str">
        <f>IF('Paste SD Data'!O1664="","",'Paste SD Data'!O1664)</f>
        <v/>
      </c>
    </row>
    <row r="1668" spans="1:11" ht="30" customHeight="1" x14ac:dyDescent="0.25">
      <c r="A1668" s="25" t="str">
        <f>IF(Table1[[#This Row],[Name of Student]]="","",ROWS($A$1:A1664))</f>
        <v/>
      </c>
      <c r="B1668" s="26" t="str">
        <f>IF('Paste SD Data'!A1665="","",'Paste SD Data'!A1665)</f>
        <v/>
      </c>
      <c r="C1668" s="26" t="str">
        <f>IF('Paste SD Data'!B1665="","",'Paste SD Data'!B1665)</f>
        <v/>
      </c>
      <c r="D1668" s="26" t="str">
        <f>IF('Paste SD Data'!C1665="","",'Paste SD Data'!C1665)</f>
        <v/>
      </c>
      <c r="E1668" s="27" t="str">
        <f>IF('Paste SD Data'!E1665="","",UPPER('Paste SD Data'!E1665))</f>
        <v/>
      </c>
      <c r="F1668" s="27" t="str">
        <f>IF('Paste SD Data'!G1665="","",UPPER('Paste SD Data'!G1665))</f>
        <v/>
      </c>
      <c r="G1668" s="27" t="str">
        <f>IF('Paste SD Data'!H1665="","",UPPER('Paste SD Data'!H1665))</f>
        <v/>
      </c>
      <c r="H1668" s="26" t="str">
        <f>IF('Paste SD Data'!I1665="","",IF('Paste SD Data'!I1665="M","BOY","GIRL"))</f>
        <v/>
      </c>
      <c r="I1668" s="28" t="str">
        <f>IF('Paste SD Data'!J1665="","",'Paste SD Data'!J1665)</f>
        <v/>
      </c>
      <c r="J1668" s="34">
        <f t="shared" si="25"/>
        <v>2094</v>
      </c>
      <c r="K1668" s="29" t="str">
        <f>IF('Paste SD Data'!O1665="","",'Paste SD Data'!O1665)</f>
        <v/>
      </c>
    </row>
    <row r="1669" spans="1:11" ht="30" customHeight="1" x14ac:dyDescent="0.25">
      <c r="A1669" s="25" t="str">
        <f>IF(Table1[[#This Row],[Name of Student]]="","",ROWS($A$1:A1665))</f>
        <v/>
      </c>
      <c r="B1669" s="26" t="str">
        <f>IF('Paste SD Data'!A1666="","",'Paste SD Data'!A1666)</f>
        <v/>
      </c>
      <c r="C1669" s="26" t="str">
        <f>IF('Paste SD Data'!B1666="","",'Paste SD Data'!B1666)</f>
        <v/>
      </c>
      <c r="D1669" s="26" t="str">
        <f>IF('Paste SD Data'!C1666="","",'Paste SD Data'!C1666)</f>
        <v/>
      </c>
      <c r="E1669" s="27" t="str">
        <f>IF('Paste SD Data'!E1666="","",UPPER('Paste SD Data'!E1666))</f>
        <v/>
      </c>
      <c r="F1669" s="27" t="str">
        <f>IF('Paste SD Data'!G1666="","",UPPER('Paste SD Data'!G1666))</f>
        <v/>
      </c>
      <c r="G1669" s="27" t="str">
        <f>IF('Paste SD Data'!H1666="","",UPPER('Paste SD Data'!H1666))</f>
        <v/>
      </c>
      <c r="H1669" s="26" t="str">
        <f>IF('Paste SD Data'!I1666="","",IF('Paste SD Data'!I1666="M","BOY","GIRL"))</f>
        <v/>
      </c>
      <c r="I1669" s="28" t="str">
        <f>IF('Paste SD Data'!J1666="","",'Paste SD Data'!J1666)</f>
        <v/>
      </c>
      <c r="J1669" s="34">
        <f t="shared" si="25"/>
        <v>2095</v>
      </c>
      <c r="K1669" s="29" t="str">
        <f>IF('Paste SD Data'!O1666="","",'Paste SD Data'!O1666)</f>
        <v/>
      </c>
    </row>
    <row r="1670" spans="1:11" ht="30" customHeight="1" x14ac:dyDescent="0.25">
      <c r="A1670" s="25" t="str">
        <f>IF(Table1[[#This Row],[Name of Student]]="","",ROWS($A$1:A1666))</f>
        <v/>
      </c>
      <c r="B1670" s="26" t="str">
        <f>IF('Paste SD Data'!A1667="","",'Paste SD Data'!A1667)</f>
        <v/>
      </c>
      <c r="C1670" s="26" t="str">
        <f>IF('Paste SD Data'!B1667="","",'Paste SD Data'!B1667)</f>
        <v/>
      </c>
      <c r="D1670" s="26" t="str">
        <f>IF('Paste SD Data'!C1667="","",'Paste SD Data'!C1667)</f>
        <v/>
      </c>
      <c r="E1670" s="27" t="str">
        <f>IF('Paste SD Data'!E1667="","",UPPER('Paste SD Data'!E1667))</f>
        <v/>
      </c>
      <c r="F1670" s="27" t="str">
        <f>IF('Paste SD Data'!G1667="","",UPPER('Paste SD Data'!G1667))</f>
        <v/>
      </c>
      <c r="G1670" s="27" t="str">
        <f>IF('Paste SD Data'!H1667="","",UPPER('Paste SD Data'!H1667))</f>
        <v/>
      </c>
      <c r="H1670" s="26" t="str">
        <f>IF('Paste SD Data'!I1667="","",IF('Paste SD Data'!I1667="M","BOY","GIRL"))</f>
        <v/>
      </c>
      <c r="I1670" s="28" t="str">
        <f>IF('Paste SD Data'!J1667="","",'Paste SD Data'!J1667)</f>
        <v/>
      </c>
      <c r="J1670" s="34">
        <f t="shared" si="25"/>
        <v>2096</v>
      </c>
      <c r="K1670" s="29" t="str">
        <f>IF('Paste SD Data'!O1667="","",'Paste SD Data'!O1667)</f>
        <v/>
      </c>
    </row>
    <row r="1671" spans="1:11" ht="30" customHeight="1" x14ac:dyDescent="0.25">
      <c r="A1671" s="25" t="str">
        <f>IF(Table1[[#This Row],[Name of Student]]="","",ROWS($A$1:A1667))</f>
        <v/>
      </c>
      <c r="B1671" s="26" t="str">
        <f>IF('Paste SD Data'!A1668="","",'Paste SD Data'!A1668)</f>
        <v/>
      </c>
      <c r="C1671" s="26" t="str">
        <f>IF('Paste SD Data'!B1668="","",'Paste SD Data'!B1668)</f>
        <v/>
      </c>
      <c r="D1671" s="26" t="str">
        <f>IF('Paste SD Data'!C1668="","",'Paste SD Data'!C1668)</f>
        <v/>
      </c>
      <c r="E1671" s="27" t="str">
        <f>IF('Paste SD Data'!E1668="","",UPPER('Paste SD Data'!E1668))</f>
        <v/>
      </c>
      <c r="F1671" s="27" t="str">
        <f>IF('Paste SD Data'!G1668="","",UPPER('Paste SD Data'!G1668))</f>
        <v/>
      </c>
      <c r="G1671" s="27" t="str">
        <f>IF('Paste SD Data'!H1668="","",UPPER('Paste SD Data'!H1668))</f>
        <v/>
      </c>
      <c r="H1671" s="26" t="str">
        <f>IF('Paste SD Data'!I1668="","",IF('Paste SD Data'!I1668="M","BOY","GIRL"))</f>
        <v/>
      </c>
      <c r="I1671" s="28" t="str">
        <f>IF('Paste SD Data'!J1668="","",'Paste SD Data'!J1668)</f>
        <v/>
      </c>
      <c r="J1671" s="34">
        <f t="shared" ref="J1671:J1734" si="26">J1670+1</f>
        <v>2097</v>
      </c>
      <c r="K1671" s="29" t="str">
        <f>IF('Paste SD Data'!O1668="","",'Paste SD Data'!O1668)</f>
        <v/>
      </c>
    </row>
    <row r="1672" spans="1:11" ht="30" customHeight="1" x14ac:dyDescent="0.25">
      <c r="A1672" s="25" t="str">
        <f>IF(Table1[[#This Row],[Name of Student]]="","",ROWS($A$1:A1668))</f>
        <v/>
      </c>
      <c r="B1672" s="26" t="str">
        <f>IF('Paste SD Data'!A1669="","",'Paste SD Data'!A1669)</f>
        <v/>
      </c>
      <c r="C1672" s="26" t="str">
        <f>IF('Paste SD Data'!B1669="","",'Paste SD Data'!B1669)</f>
        <v/>
      </c>
      <c r="D1672" s="26" t="str">
        <f>IF('Paste SD Data'!C1669="","",'Paste SD Data'!C1669)</f>
        <v/>
      </c>
      <c r="E1672" s="27" t="str">
        <f>IF('Paste SD Data'!E1669="","",UPPER('Paste SD Data'!E1669))</f>
        <v/>
      </c>
      <c r="F1672" s="27" t="str">
        <f>IF('Paste SD Data'!G1669="","",UPPER('Paste SD Data'!G1669))</f>
        <v/>
      </c>
      <c r="G1672" s="27" t="str">
        <f>IF('Paste SD Data'!H1669="","",UPPER('Paste SD Data'!H1669))</f>
        <v/>
      </c>
      <c r="H1672" s="26" t="str">
        <f>IF('Paste SD Data'!I1669="","",IF('Paste SD Data'!I1669="M","BOY","GIRL"))</f>
        <v/>
      </c>
      <c r="I1672" s="28" t="str">
        <f>IF('Paste SD Data'!J1669="","",'Paste SD Data'!J1669)</f>
        <v/>
      </c>
      <c r="J1672" s="34">
        <f t="shared" si="26"/>
        <v>2098</v>
      </c>
      <c r="K1672" s="29" t="str">
        <f>IF('Paste SD Data'!O1669="","",'Paste SD Data'!O1669)</f>
        <v/>
      </c>
    </row>
    <row r="1673" spans="1:11" ht="30" customHeight="1" x14ac:dyDescent="0.25">
      <c r="A1673" s="25" t="str">
        <f>IF(Table1[[#This Row],[Name of Student]]="","",ROWS($A$1:A1669))</f>
        <v/>
      </c>
      <c r="B1673" s="26" t="str">
        <f>IF('Paste SD Data'!A1670="","",'Paste SD Data'!A1670)</f>
        <v/>
      </c>
      <c r="C1673" s="26" t="str">
        <f>IF('Paste SD Data'!B1670="","",'Paste SD Data'!B1670)</f>
        <v/>
      </c>
      <c r="D1673" s="26" t="str">
        <f>IF('Paste SD Data'!C1670="","",'Paste SD Data'!C1670)</f>
        <v/>
      </c>
      <c r="E1673" s="27" t="str">
        <f>IF('Paste SD Data'!E1670="","",UPPER('Paste SD Data'!E1670))</f>
        <v/>
      </c>
      <c r="F1673" s="27" t="str">
        <f>IF('Paste SD Data'!G1670="","",UPPER('Paste SD Data'!G1670))</f>
        <v/>
      </c>
      <c r="G1673" s="27" t="str">
        <f>IF('Paste SD Data'!H1670="","",UPPER('Paste SD Data'!H1670))</f>
        <v/>
      </c>
      <c r="H1673" s="26" t="str">
        <f>IF('Paste SD Data'!I1670="","",IF('Paste SD Data'!I1670="M","BOY","GIRL"))</f>
        <v/>
      </c>
      <c r="I1673" s="28" t="str">
        <f>IF('Paste SD Data'!J1670="","",'Paste SD Data'!J1670)</f>
        <v/>
      </c>
      <c r="J1673" s="34">
        <f t="shared" si="26"/>
        <v>2099</v>
      </c>
      <c r="K1673" s="29" t="str">
        <f>IF('Paste SD Data'!O1670="","",'Paste SD Data'!O1670)</f>
        <v/>
      </c>
    </row>
    <row r="1674" spans="1:11" ht="30" customHeight="1" x14ac:dyDescent="0.25">
      <c r="A1674" s="25" t="str">
        <f>IF(Table1[[#This Row],[Name of Student]]="","",ROWS($A$1:A1670))</f>
        <v/>
      </c>
      <c r="B1674" s="26" t="str">
        <f>IF('Paste SD Data'!A1671="","",'Paste SD Data'!A1671)</f>
        <v/>
      </c>
      <c r="C1674" s="26" t="str">
        <f>IF('Paste SD Data'!B1671="","",'Paste SD Data'!B1671)</f>
        <v/>
      </c>
      <c r="D1674" s="26" t="str">
        <f>IF('Paste SD Data'!C1671="","",'Paste SD Data'!C1671)</f>
        <v/>
      </c>
      <c r="E1674" s="27" t="str">
        <f>IF('Paste SD Data'!E1671="","",UPPER('Paste SD Data'!E1671))</f>
        <v/>
      </c>
      <c r="F1674" s="27" t="str">
        <f>IF('Paste SD Data'!G1671="","",UPPER('Paste SD Data'!G1671))</f>
        <v/>
      </c>
      <c r="G1674" s="27" t="str">
        <f>IF('Paste SD Data'!H1671="","",UPPER('Paste SD Data'!H1671))</f>
        <v/>
      </c>
      <c r="H1674" s="26" t="str">
        <f>IF('Paste SD Data'!I1671="","",IF('Paste SD Data'!I1671="M","BOY","GIRL"))</f>
        <v/>
      </c>
      <c r="I1674" s="28" t="str">
        <f>IF('Paste SD Data'!J1671="","",'Paste SD Data'!J1671)</f>
        <v/>
      </c>
      <c r="J1674" s="34">
        <f t="shared" si="26"/>
        <v>2100</v>
      </c>
      <c r="K1674" s="29" t="str">
        <f>IF('Paste SD Data'!O1671="","",'Paste SD Data'!O1671)</f>
        <v/>
      </c>
    </row>
    <row r="1675" spans="1:11" ht="30" customHeight="1" x14ac:dyDescent="0.25">
      <c r="A1675" s="25" t="str">
        <f>IF(Table1[[#This Row],[Name of Student]]="","",ROWS($A$1:A1671))</f>
        <v/>
      </c>
      <c r="B1675" s="26" t="str">
        <f>IF('Paste SD Data'!A1672="","",'Paste SD Data'!A1672)</f>
        <v/>
      </c>
      <c r="C1675" s="26" t="str">
        <f>IF('Paste SD Data'!B1672="","",'Paste SD Data'!B1672)</f>
        <v/>
      </c>
      <c r="D1675" s="26" t="str">
        <f>IF('Paste SD Data'!C1672="","",'Paste SD Data'!C1672)</f>
        <v/>
      </c>
      <c r="E1675" s="27" t="str">
        <f>IF('Paste SD Data'!E1672="","",UPPER('Paste SD Data'!E1672))</f>
        <v/>
      </c>
      <c r="F1675" s="27" t="str">
        <f>IF('Paste SD Data'!G1672="","",UPPER('Paste SD Data'!G1672))</f>
        <v/>
      </c>
      <c r="G1675" s="27" t="str">
        <f>IF('Paste SD Data'!H1672="","",UPPER('Paste SD Data'!H1672))</f>
        <v/>
      </c>
      <c r="H1675" s="26" t="str">
        <f>IF('Paste SD Data'!I1672="","",IF('Paste SD Data'!I1672="M","BOY","GIRL"))</f>
        <v/>
      </c>
      <c r="I1675" s="28" t="str">
        <f>IF('Paste SD Data'!J1672="","",'Paste SD Data'!J1672)</f>
        <v/>
      </c>
      <c r="J1675" s="34">
        <f t="shared" si="26"/>
        <v>2101</v>
      </c>
      <c r="K1675" s="29" t="str">
        <f>IF('Paste SD Data'!O1672="","",'Paste SD Data'!O1672)</f>
        <v/>
      </c>
    </row>
    <row r="1676" spans="1:11" ht="30" customHeight="1" x14ac:dyDescent="0.25">
      <c r="A1676" s="25" t="str">
        <f>IF(Table1[[#This Row],[Name of Student]]="","",ROWS($A$1:A1672))</f>
        <v/>
      </c>
      <c r="B1676" s="26" t="str">
        <f>IF('Paste SD Data'!A1673="","",'Paste SD Data'!A1673)</f>
        <v/>
      </c>
      <c r="C1676" s="26" t="str">
        <f>IF('Paste SD Data'!B1673="","",'Paste SD Data'!B1673)</f>
        <v/>
      </c>
      <c r="D1676" s="26" t="str">
        <f>IF('Paste SD Data'!C1673="","",'Paste SD Data'!C1673)</f>
        <v/>
      </c>
      <c r="E1676" s="27" t="str">
        <f>IF('Paste SD Data'!E1673="","",UPPER('Paste SD Data'!E1673))</f>
        <v/>
      </c>
      <c r="F1676" s="27" t="str">
        <f>IF('Paste SD Data'!G1673="","",UPPER('Paste SD Data'!G1673))</f>
        <v/>
      </c>
      <c r="G1676" s="27" t="str">
        <f>IF('Paste SD Data'!H1673="","",UPPER('Paste SD Data'!H1673))</f>
        <v/>
      </c>
      <c r="H1676" s="26" t="str">
        <f>IF('Paste SD Data'!I1673="","",IF('Paste SD Data'!I1673="M","BOY","GIRL"))</f>
        <v/>
      </c>
      <c r="I1676" s="28" t="str">
        <f>IF('Paste SD Data'!J1673="","",'Paste SD Data'!J1673)</f>
        <v/>
      </c>
      <c r="J1676" s="34">
        <f t="shared" si="26"/>
        <v>2102</v>
      </c>
      <c r="K1676" s="29" t="str">
        <f>IF('Paste SD Data'!O1673="","",'Paste SD Data'!O1673)</f>
        <v/>
      </c>
    </row>
    <row r="1677" spans="1:11" ht="30" customHeight="1" x14ac:dyDescent="0.25">
      <c r="A1677" s="25" t="str">
        <f>IF(Table1[[#This Row],[Name of Student]]="","",ROWS($A$1:A1673))</f>
        <v/>
      </c>
      <c r="B1677" s="26" t="str">
        <f>IF('Paste SD Data'!A1674="","",'Paste SD Data'!A1674)</f>
        <v/>
      </c>
      <c r="C1677" s="26" t="str">
        <f>IF('Paste SD Data'!B1674="","",'Paste SD Data'!B1674)</f>
        <v/>
      </c>
      <c r="D1677" s="26" t="str">
        <f>IF('Paste SD Data'!C1674="","",'Paste SD Data'!C1674)</f>
        <v/>
      </c>
      <c r="E1677" s="27" t="str">
        <f>IF('Paste SD Data'!E1674="","",UPPER('Paste SD Data'!E1674))</f>
        <v/>
      </c>
      <c r="F1677" s="27" t="str">
        <f>IF('Paste SD Data'!G1674="","",UPPER('Paste SD Data'!G1674))</f>
        <v/>
      </c>
      <c r="G1677" s="27" t="str">
        <f>IF('Paste SD Data'!H1674="","",UPPER('Paste SD Data'!H1674))</f>
        <v/>
      </c>
      <c r="H1677" s="26" t="str">
        <f>IF('Paste SD Data'!I1674="","",IF('Paste SD Data'!I1674="M","BOY","GIRL"))</f>
        <v/>
      </c>
      <c r="I1677" s="28" t="str">
        <f>IF('Paste SD Data'!J1674="","",'Paste SD Data'!J1674)</f>
        <v/>
      </c>
      <c r="J1677" s="34">
        <f t="shared" si="26"/>
        <v>2103</v>
      </c>
      <c r="K1677" s="29" t="str">
        <f>IF('Paste SD Data'!O1674="","",'Paste SD Data'!O1674)</f>
        <v/>
      </c>
    </row>
    <row r="1678" spans="1:11" ht="30" customHeight="1" x14ac:dyDescent="0.25">
      <c r="A1678" s="25" t="str">
        <f>IF(Table1[[#This Row],[Name of Student]]="","",ROWS($A$1:A1674))</f>
        <v/>
      </c>
      <c r="B1678" s="26" t="str">
        <f>IF('Paste SD Data'!A1675="","",'Paste SD Data'!A1675)</f>
        <v/>
      </c>
      <c r="C1678" s="26" t="str">
        <f>IF('Paste SD Data'!B1675="","",'Paste SD Data'!B1675)</f>
        <v/>
      </c>
      <c r="D1678" s="26" t="str">
        <f>IF('Paste SD Data'!C1675="","",'Paste SD Data'!C1675)</f>
        <v/>
      </c>
      <c r="E1678" s="27" t="str">
        <f>IF('Paste SD Data'!E1675="","",UPPER('Paste SD Data'!E1675))</f>
        <v/>
      </c>
      <c r="F1678" s="27" t="str">
        <f>IF('Paste SD Data'!G1675="","",UPPER('Paste SD Data'!G1675))</f>
        <v/>
      </c>
      <c r="G1678" s="27" t="str">
        <f>IF('Paste SD Data'!H1675="","",UPPER('Paste SD Data'!H1675))</f>
        <v/>
      </c>
      <c r="H1678" s="26" t="str">
        <f>IF('Paste SD Data'!I1675="","",IF('Paste SD Data'!I1675="M","BOY","GIRL"))</f>
        <v/>
      </c>
      <c r="I1678" s="28" t="str">
        <f>IF('Paste SD Data'!J1675="","",'Paste SD Data'!J1675)</f>
        <v/>
      </c>
      <c r="J1678" s="34">
        <f t="shared" si="26"/>
        <v>2104</v>
      </c>
      <c r="K1678" s="29" t="str">
        <f>IF('Paste SD Data'!O1675="","",'Paste SD Data'!O1675)</f>
        <v/>
      </c>
    </row>
    <row r="1679" spans="1:11" ht="30" customHeight="1" x14ac:dyDescent="0.25">
      <c r="A1679" s="25" t="str">
        <f>IF(Table1[[#This Row],[Name of Student]]="","",ROWS($A$1:A1675))</f>
        <v/>
      </c>
      <c r="B1679" s="26" t="str">
        <f>IF('Paste SD Data'!A1676="","",'Paste SD Data'!A1676)</f>
        <v/>
      </c>
      <c r="C1679" s="26" t="str">
        <f>IF('Paste SD Data'!B1676="","",'Paste SD Data'!B1676)</f>
        <v/>
      </c>
      <c r="D1679" s="26" t="str">
        <f>IF('Paste SD Data'!C1676="","",'Paste SD Data'!C1676)</f>
        <v/>
      </c>
      <c r="E1679" s="27" t="str">
        <f>IF('Paste SD Data'!E1676="","",UPPER('Paste SD Data'!E1676))</f>
        <v/>
      </c>
      <c r="F1679" s="27" t="str">
        <f>IF('Paste SD Data'!G1676="","",UPPER('Paste SD Data'!G1676))</f>
        <v/>
      </c>
      <c r="G1679" s="27" t="str">
        <f>IF('Paste SD Data'!H1676="","",UPPER('Paste SD Data'!H1676))</f>
        <v/>
      </c>
      <c r="H1679" s="26" t="str">
        <f>IF('Paste SD Data'!I1676="","",IF('Paste SD Data'!I1676="M","BOY","GIRL"))</f>
        <v/>
      </c>
      <c r="I1679" s="28" t="str">
        <f>IF('Paste SD Data'!J1676="","",'Paste SD Data'!J1676)</f>
        <v/>
      </c>
      <c r="J1679" s="34">
        <f t="shared" si="26"/>
        <v>2105</v>
      </c>
      <c r="K1679" s="29" t="str">
        <f>IF('Paste SD Data'!O1676="","",'Paste SD Data'!O1676)</f>
        <v/>
      </c>
    </row>
    <row r="1680" spans="1:11" ht="30" customHeight="1" x14ac:dyDescent="0.25">
      <c r="A1680" s="25" t="str">
        <f>IF(Table1[[#This Row],[Name of Student]]="","",ROWS($A$1:A1676))</f>
        <v/>
      </c>
      <c r="B1680" s="26" t="str">
        <f>IF('Paste SD Data'!A1677="","",'Paste SD Data'!A1677)</f>
        <v/>
      </c>
      <c r="C1680" s="26" t="str">
        <f>IF('Paste SD Data'!B1677="","",'Paste SD Data'!B1677)</f>
        <v/>
      </c>
      <c r="D1680" s="26" t="str">
        <f>IF('Paste SD Data'!C1677="","",'Paste SD Data'!C1677)</f>
        <v/>
      </c>
      <c r="E1680" s="27" t="str">
        <f>IF('Paste SD Data'!E1677="","",UPPER('Paste SD Data'!E1677))</f>
        <v/>
      </c>
      <c r="F1680" s="27" t="str">
        <f>IF('Paste SD Data'!G1677="","",UPPER('Paste SD Data'!G1677))</f>
        <v/>
      </c>
      <c r="G1680" s="27" t="str">
        <f>IF('Paste SD Data'!H1677="","",UPPER('Paste SD Data'!H1677))</f>
        <v/>
      </c>
      <c r="H1680" s="26" t="str">
        <f>IF('Paste SD Data'!I1677="","",IF('Paste SD Data'!I1677="M","BOY","GIRL"))</f>
        <v/>
      </c>
      <c r="I1680" s="28" t="str">
        <f>IF('Paste SD Data'!J1677="","",'Paste SD Data'!J1677)</f>
        <v/>
      </c>
      <c r="J1680" s="34">
        <f t="shared" si="26"/>
        <v>2106</v>
      </c>
      <c r="K1680" s="29" t="str">
        <f>IF('Paste SD Data'!O1677="","",'Paste SD Data'!O1677)</f>
        <v/>
      </c>
    </row>
    <row r="1681" spans="1:11" ht="30" customHeight="1" x14ac:dyDescent="0.25">
      <c r="A1681" s="25" t="str">
        <f>IF(Table1[[#This Row],[Name of Student]]="","",ROWS($A$1:A1677))</f>
        <v/>
      </c>
      <c r="B1681" s="26" t="str">
        <f>IF('Paste SD Data'!A1678="","",'Paste SD Data'!A1678)</f>
        <v/>
      </c>
      <c r="C1681" s="26" t="str">
        <f>IF('Paste SD Data'!B1678="","",'Paste SD Data'!B1678)</f>
        <v/>
      </c>
      <c r="D1681" s="26" t="str">
        <f>IF('Paste SD Data'!C1678="","",'Paste SD Data'!C1678)</f>
        <v/>
      </c>
      <c r="E1681" s="27" t="str">
        <f>IF('Paste SD Data'!E1678="","",UPPER('Paste SD Data'!E1678))</f>
        <v/>
      </c>
      <c r="F1681" s="27" t="str">
        <f>IF('Paste SD Data'!G1678="","",UPPER('Paste SD Data'!G1678))</f>
        <v/>
      </c>
      <c r="G1681" s="27" t="str">
        <f>IF('Paste SD Data'!H1678="","",UPPER('Paste SD Data'!H1678))</f>
        <v/>
      </c>
      <c r="H1681" s="26" t="str">
        <f>IF('Paste SD Data'!I1678="","",IF('Paste SD Data'!I1678="M","BOY","GIRL"))</f>
        <v/>
      </c>
      <c r="I1681" s="28" t="str">
        <f>IF('Paste SD Data'!J1678="","",'Paste SD Data'!J1678)</f>
        <v/>
      </c>
      <c r="J1681" s="34">
        <f t="shared" si="26"/>
        <v>2107</v>
      </c>
      <c r="K1681" s="29" t="str">
        <f>IF('Paste SD Data'!O1678="","",'Paste SD Data'!O1678)</f>
        <v/>
      </c>
    </row>
    <row r="1682" spans="1:11" ht="30" customHeight="1" x14ac:dyDescent="0.25">
      <c r="A1682" s="25" t="str">
        <f>IF(Table1[[#This Row],[Name of Student]]="","",ROWS($A$1:A1678))</f>
        <v/>
      </c>
      <c r="B1682" s="26" t="str">
        <f>IF('Paste SD Data'!A1679="","",'Paste SD Data'!A1679)</f>
        <v/>
      </c>
      <c r="C1682" s="26" t="str">
        <f>IF('Paste SD Data'!B1679="","",'Paste SD Data'!B1679)</f>
        <v/>
      </c>
      <c r="D1682" s="26" t="str">
        <f>IF('Paste SD Data'!C1679="","",'Paste SD Data'!C1679)</f>
        <v/>
      </c>
      <c r="E1682" s="27" t="str">
        <f>IF('Paste SD Data'!E1679="","",UPPER('Paste SD Data'!E1679))</f>
        <v/>
      </c>
      <c r="F1682" s="27" t="str">
        <f>IF('Paste SD Data'!G1679="","",UPPER('Paste SD Data'!G1679))</f>
        <v/>
      </c>
      <c r="G1682" s="27" t="str">
        <f>IF('Paste SD Data'!H1679="","",UPPER('Paste SD Data'!H1679))</f>
        <v/>
      </c>
      <c r="H1682" s="26" t="str">
        <f>IF('Paste SD Data'!I1679="","",IF('Paste SD Data'!I1679="M","BOY","GIRL"))</f>
        <v/>
      </c>
      <c r="I1682" s="28" t="str">
        <f>IF('Paste SD Data'!J1679="","",'Paste SD Data'!J1679)</f>
        <v/>
      </c>
      <c r="J1682" s="34">
        <f t="shared" si="26"/>
        <v>2108</v>
      </c>
      <c r="K1682" s="29" t="str">
        <f>IF('Paste SD Data'!O1679="","",'Paste SD Data'!O1679)</f>
        <v/>
      </c>
    </row>
    <row r="1683" spans="1:11" ht="30" customHeight="1" x14ac:dyDescent="0.25">
      <c r="A1683" s="25" t="str">
        <f>IF(Table1[[#This Row],[Name of Student]]="","",ROWS($A$1:A1679))</f>
        <v/>
      </c>
      <c r="B1683" s="26" t="str">
        <f>IF('Paste SD Data'!A1680="","",'Paste SD Data'!A1680)</f>
        <v/>
      </c>
      <c r="C1683" s="26" t="str">
        <f>IF('Paste SD Data'!B1680="","",'Paste SD Data'!B1680)</f>
        <v/>
      </c>
      <c r="D1683" s="26" t="str">
        <f>IF('Paste SD Data'!C1680="","",'Paste SD Data'!C1680)</f>
        <v/>
      </c>
      <c r="E1683" s="27" t="str">
        <f>IF('Paste SD Data'!E1680="","",UPPER('Paste SD Data'!E1680))</f>
        <v/>
      </c>
      <c r="F1683" s="27" t="str">
        <f>IF('Paste SD Data'!G1680="","",UPPER('Paste SD Data'!G1680))</f>
        <v/>
      </c>
      <c r="G1683" s="27" t="str">
        <f>IF('Paste SD Data'!H1680="","",UPPER('Paste SD Data'!H1680))</f>
        <v/>
      </c>
      <c r="H1683" s="26" t="str">
        <f>IF('Paste SD Data'!I1680="","",IF('Paste SD Data'!I1680="M","BOY","GIRL"))</f>
        <v/>
      </c>
      <c r="I1683" s="28" t="str">
        <f>IF('Paste SD Data'!J1680="","",'Paste SD Data'!J1680)</f>
        <v/>
      </c>
      <c r="J1683" s="34">
        <f t="shared" si="26"/>
        <v>2109</v>
      </c>
      <c r="K1683" s="29" t="str">
        <f>IF('Paste SD Data'!O1680="","",'Paste SD Data'!O1680)</f>
        <v/>
      </c>
    </row>
    <row r="1684" spans="1:11" ht="30" customHeight="1" x14ac:dyDescent="0.25">
      <c r="A1684" s="25" t="str">
        <f>IF(Table1[[#This Row],[Name of Student]]="","",ROWS($A$1:A1680))</f>
        <v/>
      </c>
      <c r="B1684" s="26" t="str">
        <f>IF('Paste SD Data'!A1681="","",'Paste SD Data'!A1681)</f>
        <v/>
      </c>
      <c r="C1684" s="26" t="str">
        <f>IF('Paste SD Data'!B1681="","",'Paste SD Data'!B1681)</f>
        <v/>
      </c>
      <c r="D1684" s="26" t="str">
        <f>IF('Paste SD Data'!C1681="","",'Paste SD Data'!C1681)</f>
        <v/>
      </c>
      <c r="E1684" s="27" t="str">
        <f>IF('Paste SD Data'!E1681="","",UPPER('Paste SD Data'!E1681))</f>
        <v/>
      </c>
      <c r="F1684" s="27" t="str">
        <f>IF('Paste SD Data'!G1681="","",UPPER('Paste SD Data'!G1681))</f>
        <v/>
      </c>
      <c r="G1684" s="27" t="str">
        <f>IF('Paste SD Data'!H1681="","",UPPER('Paste SD Data'!H1681))</f>
        <v/>
      </c>
      <c r="H1684" s="26" t="str">
        <f>IF('Paste SD Data'!I1681="","",IF('Paste SD Data'!I1681="M","BOY","GIRL"))</f>
        <v/>
      </c>
      <c r="I1684" s="28" t="str">
        <f>IF('Paste SD Data'!J1681="","",'Paste SD Data'!J1681)</f>
        <v/>
      </c>
      <c r="J1684" s="34">
        <f t="shared" si="26"/>
        <v>2110</v>
      </c>
      <c r="K1684" s="29" t="str">
        <f>IF('Paste SD Data'!O1681="","",'Paste SD Data'!O1681)</f>
        <v/>
      </c>
    </row>
    <row r="1685" spans="1:11" ht="30" customHeight="1" x14ac:dyDescent="0.25">
      <c r="A1685" s="25" t="str">
        <f>IF(Table1[[#This Row],[Name of Student]]="","",ROWS($A$1:A1681))</f>
        <v/>
      </c>
      <c r="B1685" s="26" t="str">
        <f>IF('Paste SD Data'!A1682="","",'Paste SD Data'!A1682)</f>
        <v/>
      </c>
      <c r="C1685" s="26" t="str">
        <f>IF('Paste SD Data'!B1682="","",'Paste SD Data'!B1682)</f>
        <v/>
      </c>
      <c r="D1685" s="26" t="str">
        <f>IF('Paste SD Data'!C1682="","",'Paste SD Data'!C1682)</f>
        <v/>
      </c>
      <c r="E1685" s="27" t="str">
        <f>IF('Paste SD Data'!E1682="","",UPPER('Paste SD Data'!E1682))</f>
        <v/>
      </c>
      <c r="F1685" s="27" t="str">
        <f>IF('Paste SD Data'!G1682="","",UPPER('Paste SD Data'!G1682))</f>
        <v/>
      </c>
      <c r="G1685" s="27" t="str">
        <f>IF('Paste SD Data'!H1682="","",UPPER('Paste SD Data'!H1682))</f>
        <v/>
      </c>
      <c r="H1685" s="26" t="str">
        <f>IF('Paste SD Data'!I1682="","",IF('Paste SD Data'!I1682="M","BOY","GIRL"))</f>
        <v/>
      </c>
      <c r="I1685" s="28" t="str">
        <f>IF('Paste SD Data'!J1682="","",'Paste SD Data'!J1682)</f>
        <v/>
      </c>
      <c r="J1685" s="34">
        <f t="shared" si="26"/>
        <v>2111</v>
      </c>
      <c r="K1685" s="29" t="str">
        <f>IF('Paste SD Data'!O1682="","",'Paste SD Data'!O1682)</f>
        <v/>
      </c>
    </row>
    <row r="1686" spans="1:11" ht="30" customHeight="1" x14ac:dyDescent="0.25">
      <c r="A1686" s="25" t="str">
        <f>IF(Table1[[#This Row],[Name of Student]]="","",ROWS($A$1:A1682))</f>
        <v/>
      </c>
      <c r="B1686" s="26" t="str">
        <f>IF('Paste SD Data'!A1683="","",'Paste SD Data'!A1683)</f>
        <v/>
      </c>
      <c r="C1686" s="26" t="str">
        <f>IF('Paste SD Data'!B1683="","",'Paste SD Data'!B1683)</f>
        <v/>
      </c>
      <c r="D1686" s="26" t="str">
        <f>IF('Paste SD Data'!C1683="","",'Paste SD Data'!C1683)</f>
        <v/>
      </c>
      <c r="E1686" s="27" t="str">
        <f>IF('Paste SD Data'!E1683="","",UPPER('Paste SD Data'!E1683))</f>
        <v/>
      </c>
      <c r="F1686" s="27" t="str">
        <f>IF('Paste SD Data'!G1683="","",UPPER('Paste SD Data'!G1683))</f>
        <v/>
      </c>
      <c r="G1686" s="27" t="str">
        <f>IF('Paste SD Data'!H1683="","",UPPER('Paste SD Data'!H1683))</f>
        <v/>
      </c>
      <c r="H1686" s="26" t="str">
        <f>IF('Paste SD Data'!I1683="","",IF('Paste SD Data'!I1683="M","BOY","GIRL"))</f>
        <v/>
      </c>
      <c r="I1686" s="28" t="str">
        <f>IF('Paste SD Data'!J1683="","",'Paste SD Data'!J1683)</f>
        <v/>
      </c>
      <c r="J1686" s="34">
        <f t="shared" si="26"/>
        <v>2112</v>
      </c>
      <c r="K1686" s="29" t="str">
        <f>IF('Paste SD Data'!O1683="","",'Paste SD Data'!O1683)</f>
        <v/>
      </c>
    </row>
    <row r="1687" spans="1:11" ht="30" customHeight="1" x14ac:dyDescent="0.25">
      <c r="A1687" s="25" t="str">
        <f>IF(Table1[[#This Row],[Name of Student]]="","",ROWS($A$1:A1683))</f>
        <v/>
      </c>
      <c r="B1687" s="26" t="str">
        <f>IF('Paste SD Data'!A1684="","",'Paste SD Data'!A1684)</f>
        <v/>
      </c>
      <c r="C1687" s="26" t="str">
        <f>IF('Paste SD Data'!B1684="","",'Paste SD Data'!B1684)</f>
        <v/>
      </c>
      <c r="D1687" s="26" t="str">
        <f>IF('Paste SD Data'!C1684="","",'Paste SD Data'!C1684)</f>
        <v/>
      </c>
      <c r="E1687" s="27" t="str">
        <f>IF('Paste SD Data'!E1684="","",UPPER('Paste SD Data'!E1684))</f>
        <v/>
      </c>
      <c r="F1687" s="27" t="str">
        <f>IF('Paste SD Data'!G1684="","",UPPER('Paste SD Data'!G1684))</f>
        <v/>
      </c>
      <c r="G1687" s="27" t="str">
        <f>IF('Paste SD Data'!H1684="","",UPPER('Paste SD Data'!H1684))</f>
        <v/>
      </c>
      <c r="H1687" s="26" t="str">
        <f>IF('Paste SD Data'!I1684="","",IF('Paste SD Data'!I1684="M","BOY","GIRL"))</f>
        <v/>
      </c>
      <c r="I1687" s="28" t="str">
        <f>IF('Paste SD Data'!J1684="","",'Paste SD Data'!J1684)</f>
        <v/>
      </c>
      <c r="J1687" s="34">
        <f t="shared" si="26"/>
        <v>2113</v>
      </c>
      <c r="K1687" s="29" t="str">
        <f>IF('Paste SD Data'!O1684="","",'Paste SD Data'!O1684)</f>
        <v/>
      </c>
    </row>
    <row r="1688" spans="1:11" ht="30" customHeight="1" x14ac:dyDescent="0.25">
      <c r="A1688" s="25" t="str">
        <f>IF(Table1[[#This Row],[Name of Student]]="","",ROWS($A$1:A1684))</f>
        <v/>
      </c>
      <c r="B1688" s="26" t="str">
        <f>IF('Paste SD Data'!A1685="","",'Paste SD Data'!A1685)</f>
        <v/>
      </c>
      <c r="C1688" s="26" t="str">
        <f>IF('Paste SD Data'!B1685="","",'Paste SD Data'!B1685)</f>
        <v/>
      </c>
      <c r="D1688" s="26" t="str">
        <f>IF('Paste SD Data'!C1685="","",'Paste SD Data'!C1685)</f>
        <v/>
      </c>
      <c r="E1688" s="27" t="str">
        <f>IF('Paste SD Data'!E1685="","",UPPER('Paste SD Data'!E1685))</f>
        <v/>
      </c>
      <c r="F1688" s="27" t="str">
        <f>IF('Paste SD Data'!G1685="","",UPPER('Paste SD Data'!G1685))</f>
        <v/>
      </c>
      <c r="G1688" s="27" t="str">
        <f>IF('Paste SD Data'!H1685="","",UPPER('Paste SD Data'!H1685))</f>
        <v/>
      </c>
      <c r="H1688" s="26" t="str">
        <f>IF('Paste SD Data'!I1685="","",IF('Paste SD Data'!I1685="M","BOY","GIRL"))</f>
        <v/>
      </c>
      <c r="I1688" s="28" t="str">
        <f>IF('Paste SD Data'!J1685="","",'Paste SD Data'!J1685)</f>
        <v/>
      </c>
      <c r="J1688" s="34">
        <f t="shared" si="26"/>
        <v>2114</v>
      </c>
      <c r="K1688" s="29" t="str">
        <f>IF('Paste SD Data'!O1685="","",'Paste SD Data'!O1685)</f>
        <v/>
      </c>
    </row>
    <row r="1689" spans="1:11" ht="30" customHeight="1" x14ac:dyDescent="0.25">
      <c r="A1689" s="25" t="str">
        <f>IF(Table1[[#This Row],[Name of Student]]="","",ROWS($A$1:A1685))</f>
        <v/>
      </c>
      <c r="B1689" s="26" t="str">
        <f>IF('Paste SD Data'!A1686="","",'Paste SD Data'!A1686)</f>
        <v/>
      </c>
      <c r="C1689" s="26" t="str">
        <f>IF('Paste SD Data'!B1686="","",'Paste SD Data'!B1686)</f>
        <v/>
      </c>
      <c r="D1689" s="26" t="str">
        <f>IF('Paste SD Data'!C1686="","",'Paste SD Data'!C1686)</f>
        <v/>
      </c>
      <c r="E1689" s="27" t="str">
        <f>IF('Paste SD Data'!E1686="","",UPPER('Paste SD Data'!E1686))</f>
        <v/>
      </c>
      <c r="F1689" s="27" t="str">
        <f>IF('Paste SD Data'!G1686="","",UPPER('Paste SD Data'!G1686))</f>
        <v/>
      </c>
      <c r="G1689" s="27" t="str">
        <f>IF('Paste SD Data'!H1686="","",UPPER('Paste SD Data'!H1686))</f>
        <v/>
      </c>
      <c r="H1689" s="26" t="str">
        <f>IF('Paste SD Data'!I1686="","",IF('Paste SD Data'!I1686="M","BOY","GIRL"))</f>
        <v/>
      </c>
      <c r="I1689" s="28" t="str">
        <f>IF('Paste SD Data'!J1686="","",'Paste SD Data'!J1686)</f>
        <v/>
      </c>
      <c r="J1689" s="34">
        <f t="shared" si="26"/>
        <v>2115</v>
      </c>
      <c r="K1689" s="29" t="str">
        <f>IF('Paste SD Data'!O1686="","",'Paste SD Data'!O1686)</f>
        <v/>
      </c>
    </row>
    <row r="1690" spans="1:11" ht="30" customHeight="1" x14ac:dyDescent="0.25">
      <c r="A1690" s="25" t="str">
        <f>IF(Table1[[#This Row],[Name of Student]]="","",ROWS($A$1:A1686))</f>
        <v/>
      </c>
      <c r="B1690" s="26" t="str">
        <f>IF('Paste SD Data'!A1687="","",'Paste SD Data'!A1687)</f>
        <v/>
      </c>
      <c r="C1690" s="26" t="str">
        <f>IF('Paste SD Data'!B1687="","",'Paste SD Data'!B1687)</f>
        <v/>
      </c>
      <c r="D1690" s="26" t="str">
        <f>IF('Paste SD Data'!C1687="","",'Paste SD Data'!C1687)</f>
        <v/>
      </c>
      <c r="E1690" s="27" t="str">
        <f>IF('Paste SD Data'!E1687="","",UPPER('Paste SD Data'!E1687))</f>
        <v/>
      </c>
      <c r="F1690" s="27" t="str">
        <f>IF('Paste SD Data'!G1687="","",UPPER('Paste SD Data'!G1687))</f>
        <v/>
      </c>
      <c r="G1690" s="27" t="str">
        <f>IF('Paste SD Data'!H1687="","",UPPER('Paste SD Data'!H1687))</f>
        <v/>
      </c>
      <c r="H1690" s="26" t="str">
        <f>IF('Paste SD Data'!I1687="","",IF('Paste SD Data'!I1687="M","BOY","GIRL"))</f>
        <v/>
      </c>
      <c r="I1690" s="28" t="str">
        <f>IF('Paste SD Data'!J1687="","",'Paste SD Data'!J1687)</f>
        <v/>
      </c>
      <c r="J1690" s="34">
        <f t="shared" si="26"/>
        <v>2116</v>
      </c>
      <c r="K1690" s="29" t="str">
        <f>IF('Paste SD Data'!O1687="","",'Paste SD Data'!O1687)</f>
        <v/>
      </c>
    </row>
    <row r="1691" spans="1:11" ht="30" customHeight="1" x14ac:dyDescent="0.25">
      <c r="A1691" s="25" t="str">
        <f>IF(Table1[[#This Row],[Name of Student]]="","",ROWS($A$1:A1687))</f>
        <v/>
      </c>
      <c r="B1691" s="26" t="str">
        <f>IF('Paste SD Data'!A1688="","",'Paste SD Data'!A1688)</f>
        <v/>
      </c>
      <c r="C1691" s="26" t="str">
        <f>IF('Paste SD Data'!B1688="","",'Paste SD Data'!B1688)</f>
        <v/>
      </c>
      <c r="D1691" s="26" t="str">
        <f>IF('Paste SD Data'!C1688="","",'Paste SD Data'!C1688)</f>
        <v/>
      </c>
      <c r="E1691" s="27" t="str">
        <f>IF('Paste SD Data'!E1688="","",UPPER('Paste SD Data'!E1688))</f>
        <v/>
      </c>
      <c r="F1691" s="27" t="str">
        <f>IF('Paste SD Data'!G1688="","",UPPER('Paste SD Data'!G1688))</f>
        <v/>
      </c>
      <c r="G1691" s="27" t="str">
        <f>IF('Paste SD Data'!H1688="","",UPPER('Paste SD Data'!H1688))</f>
        <v/>
      </c>
      <c r="H1691" s="26" t="str">
        <f>IF('Paste SD Data'!I1688="","",IF('Paste SD Data'!I1688="M","BOY","GIRL"))</f>
        <v/>
      </c>
      <c r="I1691" s="28" t="str">
        <f>IF('Paste SD Data'!J1688="","",'Paste SD Data'!J1688)</f>
        <v/>
      </c>
      <c r="J1691" s="34">
        <f t="shared" si="26"/>
        <v>2117</v>
      </c>
      <c r="K1691" s="29" t="str">
        <f>IF('Paste SD Data'!O1688="","",'Paste SD Data'!O1688)</f>
        <v/>
      </c>
    </row>
    <row r="1692" spans="1:11" ht="30" customHeight="1" x14ac:dyDescent="0.25">
      <c r="A1692" s="25" t="str">
        <f>IF(Table1[[#This Row],[Name of Student]]="","",ROWS($A$1:A1688))</f>
        <v/>
      </c>
      <c r="B1692" s="26" t="str">
        <f>IF('Paste SD Data'!A1689="","",'Paste SD Data'!A1689)</f>
        <v/>
      </c>
      <c r="C1692" s="26" t="str">
        <f>IF('Paste SD Data'!B1689="","",'Paste SD Data'!B1689)</f>
        <v/>
      </c>
      <c r="D1692" s="26" t="str">
        <f>IF('Paste SD Data'!C1689="","",'Paste SD Data'!C1689)</f>
        <v/>
      </c>
      <c r="E1692" s="27" t="str">
        <f>IF('Paste SD Data'!E1689="","",UPPER('Paste SD Data'!E1689))</f>
        <v/>
      </c>
      <c r="F1692" s="27" t="str">
        <f>IF('Paste SD Data'!G1689="","",UPPER('Paste SD Data'!G1689))</f>
        <v/>
      </c>
      <c r="G1692" s="27" t="str">
        <f>IF('Paste SD Data'!H1689="","",UPPER('Paste SD Data'!H1689))</f>
        <v/>
      </c>
      <c r="H1692" s="26" t="str">
        <f>IF('Paste SD Data'!I1689="","",IF('Paste SD Data'!I1689="M","BOY","GIRL"))</f>
        <v/>
      </c>
      <c r="I1692" s="28" t="str">
        <f>IF('Paste SD Data'!J1689="","",'Paste SD Data'!J1689)</f>
        <v/>
      </c>
      <c r="J1692" s="34">
        <f t="shared" si="26"/>
        <v>2118</v>
      </c>
      <c r="K1692" s="29" t="str">
        <f>IF('Paste SD Data'!O1689="","",'Paste SD Data'!O1689)</f>
        <v/>
      </c>
    </row>
    <row r="1693" spans="1:11" ht="30" customHeight="1" x14ac:dyDescent="0.25">
      <c r="A1693" s="25" t="str">
        <f>IF(Table1[[#This Row],[Name of Student]]="","",ROWS($A$1:A1689))</f>
        <v/>
      </c>
      <c r="B1693" s="26" t="str">
        <f>IF('Paste SD Data'!A1690="","",'Paste SD Data'!A1690)</f>
        <v/>
      </c>
      <c r="C1693" s="26" t="str">
        <f>IF('Paste SD Data'!B1690="","",'Paste SD Data'!B1690)</f>
        <v/>
      </c>
      <c r="D1693" s="26" t="str">
        <f>IF('Paste SD Data'!C1690="","",'Paste SD Data'!C1690)</f>
        <v/>
      </c>
      <c r="E1693" s="27" t="str">
        <f>IF('Paste SD Data'!E1690="","",UPPER('Paste SD Data'!E1690))</f>
        <v/>
      </c>
      <c r="F1693" s="27" t="str">
        <f>IF('Paste SD Data'!G1690="","",UPPER('Paste SD Data'!G1690))</f>
        <v/>
      </c>
      <c r="G1693" s="27" t="str">
        <f>IF('Paste SD Data'!H1690="","",UPPER('Paste SD Data'!H1690))</f>
        <v/>
      </c>
      <c r="H1693" s="26" t="str">
        <f>IF('Paste SD Data'!I1690="","",IF('Paste SD Data'!I1690="M","BOY","GIRL"))</f>
        <v/>
      </c>
      <c r="I1693" s="28" t="str">
        <f>IF('Paste SD Data'!J1690="","",'Paste SD Data'!J1690)</f>
        <v/>
      </c>
      <c r="J1693" s="34">
        <f t="shared" si="26"/>
        <v>2119</v>
      </c>
      <c r="K1693" s="29" t="str">
        <f>IF('Paste SD Data'!O1690="","",'Paste SD Data'!O1690)</f>
        <v/>
      </c>
    </row>
    <row r="1694" spans="1:11" ht="30" customHeight="1" x14ac:dyDescent="0.25">
      <c r="A1694" s="25" t="str">
        <f>IF(Table1[[#This Row],[Name of Student]]="","",ROWS($A$1:A1690))</f>
        <v/>
      </c>
      <c r="B1694" s="26" t="str">
        <f>IF('Paste SD Data'!A1691="","",'Paste SD Data'!A1691)</f>
        <v/>
      </c>
      <c r="C1694" s="26" t="str">
        <f>IF('Paste SD Data'!B1691="","",'Paste SD Data'!B1691)</f>
        <v/>
      </c>
      <c r="D1694" s="26" t="str">
        <f>IF('Paste SD Data'!C1691="","",'Paste SD Data'!C1691)</f>
        <v/>
      </c>
      <c r="E1694" s="27" t="str">
        <f>IF('Paste SD Data'!E1691="","",UPPER('Paste SD Data'!E1691))</f>
        <v/>
      </c>
      <c r="F1694" s="27" t="str">
        <f>IF('Paste SD Data'!G1691="","",UPPER('Paste SD Data'!G1691))</f>
        <v/>
      </c>
      <c r="G1694" s="27" t="str">
        <f>IF('Paste SD Data'!H1691="","",UPPER('Paste SD Data'!H1691))</f>
        <v/>
      </c>
      <c r="H1694" s="26" t="str">
        <f>IF('Paste SD Data'!I1691="","",IF('Paste SD Data'!I1691="M","BOY","GIRL"))</f>
        <v/>
      </c>
      <c r="I1694" s="28" t="str">
        <f>IF('Paste SD Data'!J1691="","",'Paste SD Data'!J1691)</f>
        <v/>
      </c>
      <c r="J1694" s="34">
        <f t="shared" si="26"/>
        <v>2120</v>
      </c>
      <c r="K1694" s="29" t="str">
        <f>IF('Paste SD Data'!O1691="","",'Paste SD Data'!O1691)</f>
        <v/>
      </c>
    </row>
    <row r="1695" spans="1:11" ht="30" customHeight="1" x14ac:dyDescent="0.25">
      <c r="A1695" s="25" t="str">
        <f>IF(Table1[[#This Row],[Name of Student]]="","",ROWS($A$1:A1691))</f>
        <v/>
      </c>
      <c r="B1695" s="26" t="str">
        <f>IF('Paste SD Data'!A1692="","",'Paste SD Data'!A1692)</f>
        <v/>
      </c>
      <c r="C1695" s="26" t="str">
        <f>IF('Paste SD Data'!B1692="","",'Paste SD Data'!B1692)</f>
        <v/>
      </c>
      <c r="D1695" s="26" t="str">
        <f>IF('Paste SD Data'!C1692="","",'Paste SD Data'!C1692)</f>
        <v/>
      </c>
      <c r="E1695" s="27" t="str">
        <f>IF('Paste SD Data'!E1692="","",UPPER('Paste SD Data'!E1692))</f>
        <v/>
      </c>
      <c r="F1695" s="27" t="str">
        <f>IF('Paste SD Data'!G1692="","",UPPER('Paste SD Data'!G1692))</f>
        <v/>
      </c>
      <c r="G1695" s="27" t="str">
        <f>IF('Paste SD Data'!H1692="","",UPPER('Paste SD Data'!H1692))</f>
        <v/>
      </c>
      <c r="H1695" s="26" t="str">
        <f>IF('Paste SD Data'!I1692="","",IF('Paste SD Data'!I1692="M","BOY","GIRL"))</f>
        <v/>
      </c>
      <c r="I1695" s="28" t="str">
        <f>IF('Paste SD Data'!J1692="","",'Paste SD Data'!J1692)</f>
        <v/>
      </c>
      <c r="J1695" s="34">
        <f t="shared" si="26"/>
        <v>2121</v>
      </c>
      <c r="K1695" s="29" t="str">
        <f>IF('Paste SD Data'!O1692="","",'Paste SD Data'!O1692)</f>
        <v/>
      </c>
    </row>
    <row r="1696" spans="1:11" ht="30" customHeight="1" x14ac:dyDescent="0.25">
      <c r="A1696" s="25" t="str">
        <f>IF(Table1[[#This Row],[Name of Student]]="","",ROWS($A$1:A1692))</f>
        <v/>
      </c>
      <c r="B1696" s="26" t="str">
        <f>IF('Paste SD Data'!A1693="","",'Paste SD Data'!A1693)</f>
        <v/>
      </c>
      <c r="C1696" s="26" t="str">
        <f>IF('Paste SD Data'!B1693="","",'Paste SD Data'!B1693)</f>
        <v/>
      </c>
      <c r="D1696" s="26" t="str">
        <f>IF('Paste SD Data'!C1693="","",'Paste SD Data'!C1693)</f>
        <v/>
      </c>
      <c r="E1696" s="27" t="str">
        <f>IF('Paste SD Data'!E1693="","",UPPER('Paste SD Data'!E1693))</f>
        <v/>
      </c>
      <c r="F1696" s="27" t="str">
        <f>IF('Paste SD Data'!G1693="","",UPPER('Paste SD Data'!G1693))</f>
        <v/>
      </c>
      <c r="G1696" s="27" t="str">
        <f>IF('Paste SD Data'!H1693="","",UPPER('Paste SD Data'!H1693))</f>
        <v/>
      </c>
      <c r="H1696" s="26" t="str">
        <f>IF('Paste SD Data'!I1693="","",IF('Paste SD Data'!I1693="M","BOY","GIRL"))</f>
        <v/>
      </c>
      <c r="I1696" s="28" t="str">
        <f>IF('Paste SD Data'!J1693="","",'Paste SD Data'!J1693)</f>
        <v/>
      </c>
      <c r="J1696" s="34">
        <f t="shared" si="26"/>
        <v>2122</v>
      </c>
      <c r="K1696" s="29" t="str">
        <f>IF('Paste SD Data'!O1693="","",'Paste SD Data'!O1693)</f>
        <v/>
      </c>
    </row>
    <row r="1697" spans="1:11" ht="30" customHeight="1" x14ac:dyDescent="0.25">
      <c r="A1697" s="25" t="str">
        <f>IF(Table1[[#This Row],[Name of Student]]="","",ROWS($A$1:A1693))</f>
        <v/>
      </c>
      <c r="B1697" s="26" t="str">
        <f>IF('Paste SD Data'!A1694="","",'Paste SD Data'!A1694)</f>
        <v/>
      </c>
      <c r="C1697" s="26" t="str">
        <f>IF('Paste SD Data'!B1694="","",'Paste SD Data'!B1694)</f>
        <v/>
      </c>
      <c r="D1697" s="26" t="str">
        <f>IF('Paste SD Data'!C1694="","",'Paste SD Data'!C1694)</f>
        <v/>
      </c>
      <c r="E1697" s="27" t="str">
        <f>IF('Paste SD Data'!E1694="","",UPPER('Paste SD Data'!E1694))</f>
        <v/>
      </c>
      <c r="F1697" s="27" t="str">
        <f>IF('Paste SD Data'!G1694="","",UPPER('Paste SD Data'!G1694))</f>
        <v/>
      </c>
      <c r="G1697" s="27" t="str">
        <f>IF('Paste SD Data'!H1694="","",UPPER('Paste SD Data'!H1694))</f>
        <v/>
      </c>
      <c r="H1697" s="26" t="str">
        <f>IF('Paste SD Data'!I1694="","",IF('Paste SD Data'!I1694="M","BOY","GIRL"))</f>
        <v/>
      </c>
      <c r="I1697" s="28" t="str">
        <f>IF('Paste SD Data'!J1694="","",'Paste SD Data'!J1694)</f>
        <v/>
      </c>
      <c r="J1697" s="34">
        <f t="shared" si="26"/>
        <v>2123</v>
      </c>
      <c r="K1697" s="29" t="str">
        <f>IF('Paste SD Data'!O1694="","",'Paste SD Data'!O1694)</f>
        <v/>
      </c>
    </row>
    <row r="1698" spans="1:11" ht="30" customHeight="1" x14ac:dyDescent="0.25">
      <c r="A1698" s="25" t="str">
        <f>IF(Table1[[#This Row],[Name of Student]]="","",ROWS($A$1:A1694))</f>
        <v/>
      </c>
      <c r="B1698" s="26" t="str">
        <f>IF('Paste SD Data'!A1695="","",'Paste SD Data'!A1695)</f>
        <v/>
      </c>
      <c r="C1698" s="26" t="str">
        <f>IF('Paste SD Data'!B1695="","",'Paste SD Data'!B1695)</f>
        <v/>
      </c>
      <c r="D1698" s="26" t="str">
        <f>IF('Paste SD Data'!C1695="","",'Paste SD Data'!C1695)</f>
        <v/>
      </c>
      <c r="E1698" s="27" t="str">
        <f>IF('Paste SD Data'!E1695="","",UPPER('Paste SD Data'!E1695))</f>
        <v/>
      </c>
      <c r="F1698" s="27" t="str">
        <f>IF('Paste SD Data'!G1695="","",UPPER('Paste SD Data'!G1695))</f>
        <v/>
      </c>
      <c r="G1698" s="27" t="str">
        <f>IF('Paste SD Data'!H1695="","",UPPER('Paste SD Data'!H1695))</f>
        <v/>
      </c>
      <c r="H1698" s="26" t="str">
        <f>IF('Paste SD Data'!I1695="","",IF('Paste SD Data'!I1695="M","BOY","GIRL"))</f>
        <v/>
      </c>
      <c r="I1698" s="28" t="str">
        <f>IF('Paste SD Data'!J1695="","",'Paste SD Data'!J1695)</f>
        <v/>
      </c>
      <c r="J1698" s="34">
        <f t="shared" si="26"/>
        <v>2124</v>
      </c>
      <c r="K1698" s="29" t="str">
        <f>IF('Paste SD Data'!O1695="","",'Paste SD Data'!O1695)</f>
        <v/>
      </c>
    </row>
    <row r="1699" spans="1:11" ht="30" customHeight="1" x14ac:dyDescent="0.25">
      <c r="A1699" s="25" t="str">
        <f>IF(Table1[[#This Row],[Name of Student]]="","",ROWS($A$1:A1695))</f>
        <v/>
      </c>
      <c r="B1699" s="26" t="str">
        <f>IF('Paste SD Data'!A1696="","",'Paste SD Data'!A1696)</f>
        <v/>
      </c>
      <c r="C1699" s="26" t="str">
        <f>IF('Paste SD Data'!B1696="","",'Paste SD Data'!B1696)</f>
        <v/>
      </c>
      <c r="D1699" s="26" t="str">
        <f>IF('Paste SD Data'!C1696="","",'Paste SD Data'!C1696)</f>
        <v/>
      </c>
      <c r="E1699" s="27" t="str">
        <f>IF('Paste SD Data'!E1696="","",UPPER('Paste SD Data'!E1696))</f>
        <v/>
      </c>
      <c r="F1699" s="27" t="str">
        <f>IF('Paste SD Data'!G1696="","",UPPER('Paste SD Data'!G1696))</f>
        <v/>
      </c>
      <c r="G1699" s="27" t="str">
        <f>IF('Paste SD Data'!H1696="","",UPPER('Paste SD Data'!H1696))</f>
        <v/>
      </c>
      <c r="H1699" s="26" t="str">
        <f>IF('Paste SD Data'!I1696="","",IF('Paste SD Data'!I1696="M","BOY","GIRL"))</f>
        <v/>
      </c>
      <c r="I1699" s="28" t="str">
        <f>IF('Paste SD Data'!J1696="","",'Paste SD Data'!J1696)</f>
        <v/>
      </c>
      <c r="J1699" s="34">
        <f t="shared" si="26"/>
        <v>2125</v>
      </c>
      <c r="K1699" s="29" t="str">
        <f>IF('Paste SD Data'!O1696="","",'Paste SD Data'!O1696)</f>
        <v/>
      </c>
    </row>
    <row r="1700" spans="1:11" ht="30" customHeight="1" x14ac:dyDescent="0.25">
      <c r="A1700" s="25" t="str">
        <f>IF(Table1[[#This Row],[Name of Student]]="","",ROWS($A$1:A1696))</f>
        <v/>
      </c>
      <c r="B1700" s="26" t="str">
        <f>IF('Paste SD Data'!A1697="","",'Paste SD Data'!A1697)</f>
        <v/>
      </c>
      <c r="C1700" s="26" t="str">
        <f>IF('Paste SD Data'!B1697="","",'Paste SD Data'!B1697)</f>
        <v/>
      </c>
      <c r="D1700" s="26" t="str">
        <f>IF('Paste SD Data'!C1697="","",'Paste SD Data'!C1697)</f>
        <v/>
      </c>
      <c r="E1700" s="27" t="str">
        <f>IF('Paste SD Data'!E1697="","",UPPER('Paste SD Data'!E1697))</f>
        <v/>
      </c>
      <c r="F1700" s="27" t="str">
        <f>IF('Paste SD Data'!G1697="","",UPPER('Paste SD Data'!G1697))</f>
        <v/>
      </c>
      <c r="G1700" s="27" t="str">
        <f>IF('Paste SD Data'!H1697="","",UPPER('Paste SD Data'!H1697))</f>
        <v/>
      </c>
      <c r="H1700" s="26" t="str">
        <f>IF('Paste SD Data'!I1697="","",IF('Paste SD Data'!I1697="M","BOY","GIRL"))</f>
        <v/>
      </c>
      <c r="I1700" s="28" t="str">
        <f>IF('Paste SD Data'!J1697="","",'Paste SD Data'!J1697)</f>
        <v/>
      </c>
      <c r="J1700" s="34">
        <f t="shared" si="26"/>
        <v>2126</v>
      </c>
      <c r="K1700" s="29" t="str">
        <f>IF('Paste SD Data'!O1697="","",'Paste SD Data'!O1697)</f>
        <v/>
      </c>
    </row>
    <row r="1701" spans="1:11" ht="30" customHeight="1" x14ac:dyDescent="0.25">
      <c r="A1701" s="25" t="str">
        <f>IF(Table1[[#This Row],[Name of Student]]="","",ROWS($A$1:A1697))</f>
        <v/>
      </c>
      <c r="B1701" s="26" t="str">
        <f>IF('Paste SD Data'!A1698="","",'Paste SD Data'!A1698)</f>
        <v/>
      </c>
      <c r="C1701" s="26" t="str">
        <f>IF('Paste SD Data'!B1698="","",'Paste SD Data'!B1698)</f>
        <v/>
      </c>
      <c r="D1701" s="26" t="str">
        <f>IF('Paste SD Data'!C1698="","",'Paste SD Data'!C1698)</f>
        <v/>
      </c>
      <c r="E1701" s="27" t="str">
        <f>IF('Paste SD Data'!E1698="","",UPPER('Paste SD Data'!E1698))</f>
        <v/>
      </c>
      <c r="F1701" s="27" t="str">
        <f>IF('Paste SD Data'!G1698="","",UPPER('Paste SD Data'!G1698))</f>
        <v/>
      </c>
      <c r="G1701" s="27" t="str">
        <f>IF('Paste SD Data'!H1698="","",UPPER('Paste SD Data'!H1698))</f>
        <v/>
      </c>
      <c r="H1701" s="26" t="str">
        <f>IF('Paste SD Data'!I1698="","",IF('Paste SD Data'!I1698="M","BOY","GIRL"))</f>
        <v/>
      </c>
      <c r="I1701" s="28" t="str">
        <f>IF('Paste SD Data'!J1698="","",'Paste SD Data'!J1698)</f>
        <v/>
      </c>
      <c r="J1701" s="34">
        <f t="shared" si="26"/>
        <v>2127</v>
      </c>
      <c r="K1701" s="29" t="str">
        <f>IF('Paste SD Data'!O1698="","",'Paste SD Data'!O1698)</f>
        <v/>
      </c>
    </row>
    <row r="1702" spans="1:11" ht="30" customHeight="1" x14ac:dyDescent="0.25">
      <c r="A1702" s="25" t="str">
        <f>IF(Table1[[#This Row],[Name of Student]]="","",ROWS($A$1:A1698))</f>
        <v/>
      </c>
      <c r="B1702" s="26" t="str">
        <f>IF('Paste SD Data'!A1699="","",'Paste SD Data'!A1699)</f>
        <v/>
      </c>
      <c r="C1702" s="26" t="str">
        <f>IF('Paste SD Data'!B1699="","",'Paste SD Data'!B1699)</f>
        <v/>
      </c>
      <c r="D1702" s="26" t="str">
        <f>IF('Paste SD Data'!C1699="","",'Paste SD Data'!C1699)</f>
        <v/>
      </c>
      <c r="E1702" s="27" t="str">
        <f>IF('Paste SD Data'!E1699="","",UPPER('Paste SD Data'!E1699))</f>
        <v/>
      </c>
      <c r="F1702" s="27" t="str">
        <f>IF('Paste SD Data'!G1699="","",UPPER('Paste SD Data'!G1699))</f>
        <v/>
      </c>
      <c r="G1702" s="27" t="str">
        <f>IF('Paste SD Data'!H1699="","",UPPER('Paste SD Data'!H1699))</f>
        <v/>
      </c>
      <c r="H1702" s="26" t="str">
        <f>IF('Paste SD Data'!I1699="","",IF('Paste SD Data'!I1699="M","BOY","GIRL"))</f>
        <v/>
      </c>
      <c r="I1702" s="28" t="str">
        <f>IF('Paste SD Data'!J1699="","",'Paste SD Data'!J1699)</f>
        <v/>
      </c>
      <c r="J1702" s="34">
        <f t="shared" si="26"/>
        <v>2128</v>
      </c>
      <c r="K1702" s="29" t="str">
        <f>IF('Paste SD Data'!O1699="","",'Paste SD Data'!O1699)</f>
        <v/>
      </c>
    </row>
    <row r="1703" spans="1:11" ht="30" customHeight="1" x14ac:dyDescent="0.25">
      <c r="A1703" s="25" t="str">
        <f>IF(Table1[[#This Row],[Name of Student]]="","",ROWS($A$1:A1699))</f>
        <v/>
      </c>
      <c r="B1703" s="26" t="str">
        <f>IF('Paste SD Data'!A1700="","",'Paste SD Data'!A1700)</f>
        <v/>
      </c>
      <c r="C1703" s="26" t="str">
        <f>IF('Paste SD Data'!B1700="","",'Paste SD Data'!B1700)</f>
        <v/>
      </c>
      <c r="D1703" s="26" t="str">
        <f>IF('Paste SD Data'!C1700="","",'Paste SD Data'!C1700)</f>
        <v/>
      </c>
      <c r="E1703" s="27" t="str">
        <f>IF('Paste SD Data'!E1700="","",UPPER('Paste SD Data'!E1700))</f>
        <v/>
      </c>
      <c r="F1703" s="27" t="str">
        <f>IF('Paste SD Data'!G1700="","",UPPER('Paste SD Data'!G1700))</f>
        <v/>
      </c>
      <c r="G1703" s="27" t="str">
        <f>IF('Paste SD Data'!H1700="","",UPPER('Paste SD Data'!H1700))</f>
        <v/>
      </c>
      <c r="H1703" s="26" t="str">
        <f>IF('Paste SD Data'!I1700="","",IF('Paste SD Data'!I1700="M","BOY","GIRL"))</f>
        <v/>
      </c>
      <c r="I1703" s="28" t="str">
        <f>IF('Paste SD Data'!J1700="","",'Paste SD Data'!J1700)</f>
        <v/>
      </c>
      <c r="J1703" s="34">
        <f t="shared" si="26"/>
        <v>2129</v>
      </c>
      <c r="K1703" s="29" t="str">
        <f>IF('Paste SD Data'!O1700="","",'Paste SD Data'!O1700)</f>
        <v/>
      </c>
    </row>
    <row r="1704" spans="1:11" ht="30" customHeight="1" x14ac:dyDescent="0.25">
      <c r="A1704" s="25" t="str">
        <f>IF(Table1[[#This Row],[Name of Student]]="","",ROWS($A$1:A1700))</f>
        <v/>
      </c>
      <c r="B1704" s="26" t="str">
        <f>IF('Paste SD Data'!A1701="","",'Paste SD Data'!A1701)</f>
        <v/>
      </c>
      <c r="C1704" s="26" t="str">
        <f>IF('Paste SD Data'!B1701="","",'Paste SD Data'!B1701)</f>
        <v/>
      </c>
      <c r="D1704" s="26" t="str">
        <f>IF('Paste SD Data'!C1701="","",'Paste SD Data'!C1701)</f>
        <v/>
      </c>
      <c r="E1704" s="27" t="str">
        <f>IF('Paste SD Data'!E1701="","",UPPER('Paste SD Data'!E1701))</f>
        <v/>
      </c>
      <c r="F1704" s="27" t="str">
        <f>IF('Paste SD Data'!G1701="","",UPPER('Paste SD Data'!G1701))</f>
        <v/>
      </c>
      <c r="G1704" s="27" t="str">
        <f>IF('Paste SD Data'!H1701="","",UPPER('Paste SD Data'!H1701))</f>
        <v/>
      </c>
      <c r="H1704" s="26" t="str">
        <f>IF('Paste SD Data'!I1701="","",IF('Paste SD Data'!I1701="M","BOY","GIRL"))</f>
        <v/>
      </c>
      <c r="I1704" s="28" t="str">
        <f>IF('Paste SD Data'!J1701="","",'Paste SD Data'!J1701)</f>
        <v/>
      </c>
      <c r="J1704" s="34">
        <f t="shared" si="26"/>
        <v>2130</v>
      </c>
      <c r="K1704" s="29" t="str">
        <f>IF('Paste SD Data'!O1701="","",'Paste SD Data'!O1701)</f>
        <v/>
      </c>
    </row>
    <row r="1705" spans="1:11" ht="30" customHeight="1" x14ac:dyDescent="0.25">
      <c r="A1705" s="25" t="str">
        <f>IF(Table1[[#This Row],[Name of Student]]="","",ROWS($A$1:A1701))</f>
        <v/>
      </c>
      <c r="B1705" s="26" t="str">
        <f>IF('Paste SD Data'!A1702="","",'Paste SD Data'!A1702)</f>
        <v/>
      </c>
      <c r="C1705" s="26" t="str">
        <f>IF('Paste SD Data'!B1702="","",'Paste SD Data'!B1702)</f>
        <v/>
      </c>
      <c r="D1705" s="26" t="str">
        <f>IF('Paste SD Data'!C1702="","",'Paste SD Data'!C1702)</f>
        <v/>
      </c>
      <c r="E1705" s="27" t="str">
        <f>IF('Paste SD Data'!E1702="","",UPPER('Paste SD Data'!E1702))</f>
        <v/>
      </c>
      <c r="F1705" s="27" t="str">
        <f>IF('Paste SD Data'!G1702="","",UPPER('Paste SD Data'!G1702))</f>
        <v/>
      </c>
      <c r="G1705" s="27" t="str">
        <f>IF('Paste SD Data'!H1702="","",UPPER('Paste SD Data'!H1702))</f>
        <v/>
      </c>
      <c r="H1705" s="26" t="str">
        <f>IF('Paste SD Data'!I1702="","",IF('Paste SD Data'!I1702="M","BOY","GIRL"))</f>
        <v/>
      </c>
      <c r="I1705" s="28" t="str">
        <f>IF('Paste SD Data'!J1702="","",'Paste SD Data'!J1702)</f>
        <v/>
      </c>
      <c r="J1705" s="34">
        <f t="shared" si="26"/>
        <v>2131</v>
      </c>
      <c r="K1705" s="29" t="str">
        <f>IF('Paste SD Data'!O1702="","",'Paste SD Data'!O1702)</f>
        <v/>
      </c>
    </row>
    <row r="1706" spans="1:11" ht="30" customHeight="1" x14ac:dyDescent="0.25">
      <c r="A1706" s="25" t="str">
        <f>IF(Table1[[#This Row],[Name of Student]]="","",ROWS($A$1:A1702))</f>
        <v/>
      </c>
      <c r="B1706" s="26" t="str">
        <f>IF('Paste SD Data'!A1703="","",'Paste SD Data'!A1703)</f>
        <v/>
      </c>
      <c r="C1706" s="26" t="str">
        <f>IF('Paste SD Data'!B1703="","",'Paste SD Data'!B1703)</f>
        <v/>
      </c>
      <c r="D1706" s="26" t="str">
        <f>IF('Paste SD Data'!C1703="","",'Paste SD Data'!C1703)</f>
        <v/>
      </c>
      <c r="E1706" s="27" t="str">
        <f>IF('Paste SD Data'!E1703="","",UPPER('Paste SD Data'!E1703))</f>
        <v/>
      </c>
      <c r="F1706" s="27" t="str">
        <f>IF('Paste SD Data'!G1703="","",UPPER('Paste SD Data'!G1703))</f>
        <v/>
      </c>
      <c r="G1706" s="27" t="str">
        <f>IF('Paste SD Data'!H1703="","",UPPER('Paste SD Data'!H1703))</f>
        <v/>
      </c>
      <c r="H1706" s="26" t="str">
        <f>IF('Paste SD Data'!I1703="","",IF('Paste SD Data'!I1703="M","BOY","GIRL"))</f>
        <v/>
      </c>
      <c r="I1706" s="28" t="str">
        <f>IF('Paste SD Data'!J1703="","",'Paste SD Data'!J1703)</f>
        <v/>
      </c>
      <c r="J1706" s="34">
        <f t="shared" si="26"/>
        <v>2132</v>
      </c>
      <c r="K1706" s="29" t="str">
        <f>IF('Paste SD Data'!O1703="","",'Paste SD Data'!O1703)</f>
        <v/>
      </c>
    </row>
    <row r="1707" spans="1:11" ht="30" customHeight="1" x14ac:dyDescent="0.25">
      <c r="A1707" s="25" t="str">
        <f>IF(Table1[[#This Row],[Name of Student]]="","",ROWS($A$1:A1703))</f>
        <v/>
      </c>
      <c r="B1707" s="26" t="str">
        <f>IF('Paste SD Data'!A1704="","",'Paste SD Data'!A1704)</f>
        <v/>
      </c>
      <c r="C1707" s="26" t="str">
        <f>IF('Paste SD Data'!B1704="","",'Paste SD Data'!B1704)</f>
        <v/>
      </c>
      <c r="D1707" s="26" t="str">
        <f>IF('Paste SD Data'!C1704="","",'Paste SD Data'!C1704)</f>
        <v/>
      </c>
      <c r="E1707" s="27" t="str">
        <f>IF('Paste SD Data'!E1704="","",UPPER('Paste SD Data'!E1704))</f>
        <v/>
      </c>
      <c r="F1707" s="27" t="str">
        <f>IF('Paste SD Data'!G1704="","",UPPER('Paste SD Data'!G1704))</f>
        <v/>
      </c>
      <c r="G1707" s="27" t="str">
        <f>IF('Paste SD Data'!H1704="","",UPPER('Paste SD Data'!H1704))</f>
        <v/>
      </c>
      <c r="H1707" s="26" t="str">
        <f>IF('Paste SD Data'!I1704="","",IF('Paste SD Data'!I1704="M","BOY","GIRL"))</f>
        <v/>
      </c>
      <c r="I1707" s="28" t="str">
        <f>IF('Paste SD Data'!J1704="","",'Paste SD Data'!J1704)</f>
        <v/>
      </c>
      <c r="J1707" s="34">
        <f t="shared" si="26"/>
        <v>2133</v>
      </c>
      <c r="K1707" s="29" t="str">
        <f>IF('Paste SD Data'!O1704="","",'Paste SD Data'!O1704)</f>
        <v/>
      </c>
    </row>
    <row r="1708" spans="1:11" ht="30" customHeight="1" x14ac:dyDescent="0.25">
      <c r="A1708" s="25" t="str">
        <f>IF(Table1[[#This Row],[Name of Student]]="","",ROWS($A$1:A1704))</f>
        <v/>
      </c>
      <c r="B1708" s="26" t="str">
        <f>IF('Paste SD Data'!A1705="","",'Paste SD Data'!A1705)</f>
        <v/>
      </c>
      <c r="C1708" s="26" t="str">
        <f>IF('Paste SD Data'!B1705="","",'Paste SD Data'!B1705)</f>
        <v/>
      </c>
      <c r="D1708" s="26" t="str">
        <f>IF('Paste SD Data'!C1705="","",'Paste SD Data'!C1705)</f>
        <v/>
      </c>
      <c r="E1708" s="27" t="str">
        <f>IF('Paste SD Data'!E1705="","",UPPER('Paste SD Data'!E1705))</f>
        <v/>
      </c>
      <c r="F1708" s="27" t="str">
        <f>IF('Paste SD Data'!G1705="","",UPPER('Paste SD Data'!G1705))</f>
        <v/>
      </c>
      <c r="G1708" s="27" t="str">
        <f>IF('Paste SD Data'!H1705="","",UPPER('Paste SD Data'!H1705))</f>
        <v/>
      </c>
      <c r="H1708" s="26" t="str">
        <f>IF('Paste SD Data'!I1705="","",IF('Paste SD Data'!I1705="M","BOY","GIRL"))</f>
        <v/>
      </c>
      <c r="I1708" s="28" t="str">
        <f>IF('Paste SD Data'!J1705="","",'Paste SD Data'!J1705)</f>
        <v/>
      </c>
      <c r="J1708" s="34">
        <f t="shared" si="26"/>
        <v>2134</v>
      </c>
      <c r="K1708" s="29" t="str">
        <f>IF('Paste SD Data'!O1705="","",'Paste SD Data'!O1705)</f>
        <v/>
      </c>
    </row>
    <row r="1709" spans="1:11" ht="30" customHeight="1" x14ac:dyDescent="0.25">
      <c r="A1709" s="25" t="str">
        <f>IF(Table1[[#This Row],[Name of Student]]="","",ROWS($A$1:A1705))</f>
        <v/>
      </c>
      <c r="B1709" s="26" t="str">
        <f>IF('Paste SD Data'!A1706="","",'Paste SD Data'!A1706)</f>
        <v/>
      </c>
      <c r="C1709" s="26" t="str">
        <f>IF('Paste SD Data'!B1706="","",'Paste SD Data'!B1706)</f>
        <v/>
      </c>
      <c r="D1709" s="26" t="str">
        <f>IF('Paste SD Data'!C1706="","",'Paste SD Data'!C1706)</f>
        <v/>
      </c>
      <c r="E1709" s="27" t="str">
        <f>IF('Paste SD Data'!E1706="","",UPPER('Paste SD Data'!E1706))</f>
        <v/>
      </c>
      <c r="F1709" s="27" t="str">
        <f>IF('Paste SD Data'!G1706="","",UPPER('Paste SD Data'!G1706))</f>
        <v/>
      </c>
      <c r="G1709" s="27" t="str">
        <f>IF('Paste SD Data'!H1706="","",UPPER('Paste SD Data'!H1706))</f>
        <v/>
      </c>
      <c r="H1709" s="26" t="str">
        <f>IF('Paste SD Data'!I1706="","",IF('Paste SD Data'!I1706="M","BOY","GIRL"))</f>
        <v/>
      </c>
      <c r="I1709" s="28" t="str">
        <f>IF('Paste SD Data'!J1706="","",'Paste SD Data'!J1706)</f>
        <v/>
      </c>
      <c r="J1709" s="34">
        <f t="shared" si="26"/>
        <v>2135</v>
      </c>
      <c r="K1709" s="29" t="str">
        <f>IF('Paste SD Data'!O1706="","",'Paste SD Data'!O1706)</f>
        <v/>
      </c>
    </row>
    <row r="1710" spans="1:11" ht="30" customHeight="1" x14ac:dyDescent="0.25">
      <c r="A1710" s="25" t="str">
        <f>IF(Table1[[#This Row],[Name of Student]]="","",ROWS($A$1:A1706))</f>
        <v/>
      </c>
      <c r="B1710" s="26" t="str">
        <f>IF('Paste SD Data'!A1707="","",'Paste SD Data'!A1707)</f>
        <v/>
      </c>
      <c r="C1710" s="26" t="str">
        <f>IF('Paste SD Data'!B1707="","",'Paste SD Data'!B1707)</f>
        <v/>
      </c>
      <c r="D1710" s="26" t="str">
        <f>IF('Paste SD Data'!C1707="","",'Paste SD Data'!C1707)</f>
        <v/>
      </c>
      <c r="E1710" s="27" t="str">
        <f>IF('Paste SD Data'!E1707="","",UPPER('Paste SD Data'!E1707))</f>
        <v/>
      </c>
      <c r="F1710" s="27" t="str">
        <f>IF('Paste SD Data'!G1707="","",UPPER('Paste SD Data'!G1707))</f>
        <v/>
      </c>
      <c r="G1710" s="27" t="str">
        <f>IF('Paste SD Data'!H1707="","",UPPER('Paste SD Data'!H1707))</f>
        <v/>
      </c>
      <c r="H1710" s="26" t="str">
        <f>IF('Paste SD Data'!I1707="","",IF('Paste SD Data'!I1707="M","BOY","GIRL"))</f>
        <v/>
      </c>
      <c r="I1710" s="28" t="str">
        <f>IF('Paste SD Data'!J1707="","",'Paste SD Data'!J1707)</f>
        <v/>
      </c>
      <c r="J1710" s="34">
        <f t="shared" si="26"/>
        <v>2136</v>
      </c>
      <c r="K1710" s="29" t="str">
        <f>IF('Paste SD Data'!O1707="","",'Paste SD Data'!O1707)</f>
        <v/>
      </c>
    </row>
    <row r="1711" spans="1:11" ht="30" customHeight="1" x14ac:dyDescent="0.25">
      <c r="A1711" s="25" t="str">
        <f>IF(Table1[[#This Row],[Name of Student]]="","",ROWS($A$1:A1707))</f>
        <v/>
      </c>
      <c r="B1711" s="26" t="str">
        <f>IF('Paste SD Data'!A1708="","",'Paste SD Data'!A1708)</f>
        <v/>
      </c>
      <c r="C1711" s="26" t="str">
        <f>IF('Paste SD Data'!B1708="","",'Paste SD Data'!B1708)</f>
        <v/>
      </c>
      <c r="D1711" s="26" t="str">
        <f>IF('Paste SD Data'!C1708="","",'Paste SD Data'!C1708)</f>
        <v/>
      </c>
      <c r="E1711" s="27" t="str">
        <f>IF('Paste SD Data'!E1708="","",UPPER('Paste SD Data'!E1708))</f>
        <v/>
      </c>
      <c r="F1711" s="27" t="str">
        <f>IF('Paste SD Data'!G1708="","",UPPER('Paste SD Data'!G1708))</f>
        <v/>
      </c>
      <c r="G1711" s="27" t="str">
        <f>IF('Paste SD Data'!H1708="","",UPPER('Paste SD Data'!H1708))</f>
        <v/>
      </c>
      <c r="H1711" s="26" t="str">
        <f>IF('Paste SD Data'!I1708="","",IF('Paste SD Data'!I1708="M","BOY","GIRL"))</f>
        <v/>
      </c>
      <c r="I1711" s="28" t="str">
        <f>IF('Paste SD Data'!J1708="","",'Paste SD Data'!J1708)</f>
        <v/>
      </c>
      <c r="J1711" s="34">
        <f t="shared" si="26"/>
        <v>2137</v>
      </c>
      <c r="K1711" s="29" t="str">
        <f>IF('Paste SD Data'!O1708="","",'Paste SD Data'!O1708)</f>
        <v/>
      </c>
    </row>
    <row r="1712" spans="1:11" ht="30" customHeight="1" x14ac:dyDescent="0.25">
      <c r="A1712" s="25" t="str">
        <f>IF(Table1[[#This Row],[Name of Student]]="","",ROWS($A$1:A1708))</f>
        <v/>
      </c>
      <c r="B1712" s="26" t="str">
        <f>IF('Paste SD Data'!A1709="","",'Paste SD Data'!A1709)</f>
        <v/>
      </c>
      <c r="C1712" s="26" t="str">
        <f>IF('Paste SD Data'!B1709="","",'Paste SD Data'!B1709)</f>
        <v/>
      </c>
      <c r="D1712" s="26" t="str">
        <f>IF('Paste SD Data'!C1709="","",'Paste SD Data'!C1709)</f>
        <v/>
      </c>
      <c r="E1712" s="27" t="str">
        <f>IF('Paste SD Data'!E1709="","",UPPER('Paste SD Data'!E1709))</f>
        <v/>
      </c>
      <c r="F1712" s="27" t="str">
        <f>IF('Paste SD Data'!G1709="","",UPPER('Paste SD Data'!G1709))</f>
        <v/>
      </c>
      <c r="G1712" s="27" t="str">
        <f>IF('Paste SD Data'!H1709="","",UPPER('Paste SD Data'!H1709))</f>
        <v/>
      </c>
      <c r="H1712" s="26" t="str">
        <f>IF('Paste SD Data'!I1709="","",IF('Paste SD Data'!I1709="M","BOY","GIRL"))</f>
        <v/>
      </c>
      <c r="I1712" s="28" t="str">
        <f>IF('Paste SD Data'!J1709="","",'Paste SD Data'!J1709)</f>
        <v/>
      </c>
      <c r="J1712" s="34">
        <f t="shared" si="26"/>
        <v>2138</v>
      </c>
      <c r="K1712" s="29" t="str">
        <f>IF('Paste SD Data'!O1709="","",'Paste SD Data'!O1709)</f>
        <v/>
      </c>
    </row>
    <row r="1713" spans="1:11" ht="30" customHeight="1" x14ac:dyDescent="0.25">
      <c r="A1713" s="25" t="str">
        <f>IF(Table1[[#This Row],[Name of Student]]="","",ROWS($A$1:A1709))</f>
        <v/>
      </c>
      <c r="B1713" s="26" t="str">
        <f>IF('Paste SD Data'!A1710="","",'Paste SD Data'!A1710)</f>
        <v/>
      </c>
      <c r="C1713" s="26" t="str">
        <f>IF('Paste SD Data'!B1710="","",'Paste SD Data'!B1710)</f>
        <v/>
      </c>
      <c r="D1713" s="26" t="str">
        <f>IF('Paste SD Data'!C1710="","",'Paste SD Data'!C1710)</f>
        <v/>
      </c>
      <c r="E1713" s="27" t="str">
        <f>IF('Paste SD Data'!E1710="","",UPPER('Paste SD Data'!E1710))</f>
        <v/>
      </c>
      <c r="F1713" s="27" t="str">
        <f>IF('Paste SD Data'!G1710="","",UPPER('Paste SD Data'!G1710))</f>
        <v/>
      </c>
      <c r="G1713" s="27" t="str">
        <f>IF('Paste SD Data'!H1710="","",UPPER('Paste SD Data'!H1710))</f>
        <v/>
      </c>
      <c r="H1713" s="26" t="str">
        <f>IF('Paste SD Data'!I1710="","",IF('Paste SD Data'!I1710="M","BOY","GIRL"))</f>
        <v/>
      </c>
      <c r="I1713" s="28" t="str">
        <f>IF('Paste SD Data'!J1710="","",'Paste SD Data'!J1710)</f>
        <v/>
      </c>
      <c r="J1713" s="34">
        <f t="shared" si="26"/>
        <v>2139</v>
      </c>
      <c r="K1713" s="29" t="str">
        <f>IF('Paste SD Data'!O1710="","",'Paste SD Data'!O1710)</f>
        <v/>
      </c>
    </row>
    <row r="1714" spans="1:11" ht="30" customHeight="1" x14ac:dyDescent="0.25">
      <c r="A1714" s="25" t="str">
        <f>IF(Table1[[#This Row],[Name of Student]]="","",ROWS($A$1:A1710))</f>
        <v/>
      </c>
      <c r="B1714" s="26" t="str">
        <f>IF('Paste SD Data'!A1711="","",'Paste SD Data'!A1711)</f>
        <v/>
      </c>
      <c r="C1714" s="26" t="str">
        <f>IF('Paste SD Data'!B1711="","",'Paste SD Data'!B1711)</f>
        <v/>
      </c>
      <c r="D1714" s="26" t="str">
        <f>IF('Paste SD Data'!C1711="","",'Paste SD Data'!C1711)</f>
        <v/>
      </c>
      <c r="E1714" s="27" t="str">
        <f>IF('Paste SD Data'!E1711="","",UPPER('Paste SD Data'!E1711))</f>
        <v/>
      </c>
      <c r="F1714" s="27" t="str">
        <f>IF('Paste SD Data'!G1711="","",UPPER('Paste SD Data'!G1711))</f>
        <v/>
      </c>
      <c r="G1714" s="27" t="str">
        <f>IF('Paste SD Data'!H1711="","",UPPER('Paste SD Data'!H1711))</f>
        <v/>
      </c>
      <c r="H1714" s="26" t="str">
        <f>IF('Paste SD Data'!I1711="","",IF('Paste SD Data'!I1711="M","BOY","GIRL"))</f>
        <v/>
      </c>
      <c r="I1714" s="28" t="str">
        <f>IF('Paste SD Data'!J1711="","",'Paste SD Data'!J1711)</f>
        <v/>
      </c>
      <c r="J1714" s="34">
        <f t="shared" si="26"/>
        <v>2140</v>
      </c>
      <c r="K1714" s="29" t="str">
        <f>IF('Paste SD Data'!O1711="","",'Paste SD Data'!O1711)</f>
        <v/>
      </c>
    </row>
    <row r="1715" spans="1:11" ht="30" customHeight="1" x14ac:dyDescent="0.25">
      <c r="A1715" s="25" t="str">
        <f>IF(Table1[[#This Row],[Name of Student]]="","",ROWS($A$1:A1711))</f>
        <v/>
      </c>
      <c r="B1715" s="26" t="str">
        <f>IF('Paste SD Data'!A1712="","",'Paste SD Data'!A1712)</f>
        <v/>
      </c>
      <c r="C1715" s="26" t="str">
        <f>IF('Paste SD Data'!B1712="","",'Paste SD Data'!B1712)</f>
        <v/>
      </c>
      <c r="D1715" s="26" t="str">
        <f>IF('Paste SD Data'!C1712="","",'Paste SD Data'!C1712)</f>
        <v/>
      </c>
      <c r="E1715" s="27" t="str">
        <f>IF('Paste SD Data'!E1712="","",UPPER('Paste SD Data'!E1712))</f>
        <v/>
      </c>
      <c r="F1715" s="27" t="str">
        <f>IF('Paste SD Data'!G1712="","",UPPER('Paste SD Data'!G1712))</f>
        <v/>
      </c>
      <c r="G1715" s="27" t="str">
        <f>IF('Paste SD Data'!H1712="","",UPPER('Paste SD Data'!H1712))</f>
        <v/>
      </c>
      <c r="H1715" s="26" t="str">
        <f>IF('Paste SD Data'!I1712="","",IF('Paste SD Data'!I1712="M","BOY","GIRL"))</f>
        <v/>
      </c>
      <c r="I1715" s="28" t="str">
        <f>IF('Paste SD Data'!J1712="","",'Paste SD Data'!J1712)</f>
        <v/>
      </c>
      <c r="J1715" s="34">
        <f t="shared" si="26"/>
        <v>2141</v>
      </c>
      <c r="K1715" s="29" t="str">
        <f>IF('Paste SD Data'!O1712="","",'Paste SD Data'!O1712)</f>
        <v/>
      </c>
    </row>
    <row r="1716" spans="1:11" ht="30" customHeight="1" x14ac:dyDescent="0.25">
      <c r="A1716" s="25" t="str">
        <f>IF(Table1[[#This Row],[Name of Student]]="","",ROWS($A$1:A1712))</f>
        <v/>
      </c>
      <c r="B1716" s="26" t="str">
        <f>IF('Paste SD Data'!A1713="","",'Paste SD Data'!A1713)</f>
        <v/>
      </c>
      <c r="C1716" s="26" t="str">
        <f>IF('Paste SD Data'!B1713="","",'Paste SD Data'!B1713)</f>
        <v/>
      </c>
      <c r="D1716" s="26" t="str">
        <f>IF('Paste SD Data'!C1713="","",'Paste SD Data'!C1713)</f>
        <v/>
      </c>
      <c r="E1716" s="27" t="str">
        <f>IF('Paste SD Data'!E1713="","",UPPER('Paste SD Data'!E1713))</f>
        <v/>
      </c>
      <c r="F1716" s="27" t="str">
        <f>IF('Paste SD Data'!G1713="","",UPPER('Paste SD Data'!G1713))</f>
        <v/>
      </c>
      <c r="G1716" s="27" t="str">
        <f>IF('Paste SD Data'!H1713="","",UPPER('Paste SD Data'!H1713))</f>
        <v/>
      </c>
      <c r="H1716" s="26" t="str">
        <f>IF('Paste SD Data'!I1713="","",IF('Paste SD Data'!I1713="M","BOY","GIRL"))</f>
        <v/>
      </c>
      <c r="I1716" s="28" t="str">
        <f>IF('Paste SD Data'!J1713="","",'Paste SD Data'!J1713)</f>
        <v/>
      </c>
      <c r="J1716" s="34">
        <f t="shared" si="26"/>
        <v>2142</v>
      </c>
      <c r="K1716" s="29" t="str">
        <f>IF('Paste SD Data'!O1713="","",'Paste SD Data'!O1713)</f>
        <v/>
      </c>
    </row>
    <row r="1717" spans="1:11" ht="30" customHeight="1" x14ac:dyDescent="0.25">
      <c r="A1717" s="25" t="str">
        <f>IF(Table1[[#This Row],[Name of Student]]="","",ROWS($A$1:A1713))</f>
        <v/>
      </c>
      <c r="B1717" s="26" t="str">
        <f>IF('Paste SD Data'!A1714="","",'Paste SD Data'!A1714)</f>
        <v/>
      </c>
      <c r="C1717" s="26" t="str">
        <f>IF('Paste SD Data'!B1714="","",'Paste SD Data'!B1714)</f>
        <v/>
      </c>
      <c r="D1717" s="26" t="str">
        <f>IF('Paste SD Data'!C1714="","",'Paste SD Data'!C1714)</f>
        <v/>
      </c>
      <c r="E1717" s="27" t="str">
        <f>IF('Paste SD Data'!E1714="","",UPPER('Paste SD Data'!E1714))</f>
        <v/>
      </c>
      <c r="F1717" s="27" t="str">
        <f>IF('Paste SD Data'!G1714="","",UPPER('Paste SD Data'!G1714))</f>
        <v/>
      </c>
      <c r="G1717" s="27" t="str">
        <f>IF('Paste SD Data'!H1714="","",UPPER('Paste SD Data'!H1714))</f>
        <v/>
      </c>
      <c r="H1717" s="26" t="str">
        <f>IF('Paste SD Data'!I1714="","",IF('Paste SD Data'!I1714="M","BOY","GIRL"))</f>
        <v/>
      </c>
      <c r="I1717" s="28" t="str">
        <f>IF('Paste SD Data'!J1714="","",'Paste SD Data'!J1714)</f>
        <v/>
      </c>
      <c r="J1717" s="34">
        <f t="shared" si="26"/>
        <v>2143</v>
      </c>
      <c r="K1717" s="29" t="str">
        <f>IF('Paste SD Data'!O1714="","",'Paste SD Data'!O1714)</f>
        <v/>
      </c>
    </row>
    <row r="1718" spans="1:11" ht="30" customHeight="1" x14ac:dyDescent="0.25">
      <c r="A1718" s="25" t="str">
        <f>IF(Table1[[#This Row],[Name of Student]]="","",ROWS($A$1:A1714))</f>
        <v/>
      </c>
      <c r="B1718" s="26" t="str">
        <f>IF('Paste SD Data'!A1715="","",'Paste SD Data'!A1715)</f>
        <v/>
      </c>
      <c r="C1718" s="26" t="str">
        <f>IF('Paste SD Data'!B1715="","",'Paste SD Data'!B1715)</f>
        <v/>
      </c>
      <c r="D1718" s="26" t="str">
        <f>IF('Paste SD Data'!C1715="","",'Paste SD Data'!C1715)</f>
        <v/>
      </c>
      <c r="E1718" s="27" t="str">
        <f>IF('Paste SD Data'!E1715="","",UPPER('Paste SD Data'!E1715))</f>
        <v/>
      </c>
      <c r="F1718" s="27" t="str">
        <f>IF('Paste SD Data'!G1715="","",UPPER('Paste SD Data'!G1715))</f>
        <v/>
      </c>
      <c r="G1718" s="27" t="str">
        <f>IF('Paste SD Data'!H1715="","",UPPER('Paste SD Data'!H1715))</f>
        <v/>
      </c>
      <c r="H1718" s="26" t="str">
        <f>IF('Paste SD Data'!I1715="","",IF('Paste SD Data'!I1715="M","BOY","GIRL"))</f>
        <v/>
      </c>
      <c r="I1718" s="28" t="str">
        <f>IF('Paste SD Data'!J1715="","",'Paste SD Data'!J1715)</f>
        <v/>
      </c>
      <c r="J1718" s="34">
        <f t="shared" si="26"/>
        <v>2144</v>
      </c>
      <c r="K1718" s="29" t="str">
        <f>IF('Paste SD Data'!O1715="","",'Paste SD Data'!O1715)</f>
        <v/>
      </c>
    </row>
    <row r="1719" spans="1:11" ht="30" customHeight="1" x14ac:dyDescent="0.25">
      <c r="A1719" s="25" t="str">
        <f>IF(Table1[[#This Row],[Name of Student]]="","",ROWS($A$1:A1715))</f>
        <v/>
      </c>
      <c r="B1719" s="26" t="str">
        <f>IF('Paste SD Data'!A1716="","",'Paste SD Data'!A1716)</f>
        <v/>
      </c>
      <c r="C1719" s="26" t="str">
        <f>IF('Paste SD Data'!B1716="","",'Paste SD Data'!B1716)</f>
        <v/>
      </c>
      <c r="D1719" s="26" t="str">
        <f>IF('Paste SD Data'!C1716="","",'Paste SD Data'!C1716)</f>
        <v/>
      </c>
      <c r="E1719" s="27" t="str">
        <f>IF('Paste SD Data'!E1716="","",UPPER('Paste SD Data'!E1716))</f>
        <v/>
      </c>
      <c r="F1719" s="27" t="str">
        <f>IF('Paste SD Data'!G1716="","",UPPER('Paste SD Data'!G1716))</f>
        <v/>
      </c>
      <c r="G1719" s="27" t="str">
        <f>IF('Paste SD Data'!H1716="","",UPPER('Paste SD Data'!H1716))</f>
        <v/>
      </c>
      <c r="H1719" s="26" t="str">
        <f>IF('Paste SD Data'!I1716="","",IF('Paste SD Data'!I1716="M","BOY","GIRL"))</f>
        <v/>
      </c>
      <c r="I1719" s="28" t="str">
        <f>IF('Paste SD Data'!J1716="","",'Paste SD Data'!J1716)</f>
        <v/>
      </c>
      <c r="J1719" s="34">
        <f t="shared" si="26"/>
        <v>2145</v>
      </c>
      <c r="K1719" s="29" t="str">
        <f>IF('Paste SD Data'!O1716="","",'Paste SD Data'!O1716)</f>
        <v/>
      </c>
    </row>
    <row r="1720" spans="1:11" ht="30" customHeight="1" x14ac:dyDescent="0.25">
      <c r="A1720" s="25" t="str">
        <f>IF(Table1[[#This Row],[Name of Student]]="","",ROWS($A$1:A1716))</f>
        <v/>
      </c>
      <c r="B1720" s="26" t="str">
        <f>IF('Paste SD Data'!A1717="","",'Paste SD Data'!A1717)</f>
        <v/>
      </c>
      <c r="C1720" s="26" t="str">
        <f>IF('Paste SD Data'!B1717="","",'Paste SD Data'!B1717)</f>
        <v/>
      </c>
      <c r="D1720" s="26" t="str">
        <f>IF('Paste SD Data'!C1717="","",'Paste SD Data'!C1717)</f>
        <v/>
      </c>
      <c r="E1720" s="27" t="str">
        <f>IF('Paste SD Data'!E1717="","",UPPER('Paste SD Data'!E1717))</f>
        <v/>
      </c>
      <c r="F1720" s="27" t="str">
        <f>IF('Paste SD Data'!G1717="","",UPPER('Paste SD Data'!G1717))</f>
        <v/>
      </c>
      <c r="G1720" s="27" t="str">
        <f>IF('Paste SD Data'!H1717="","",UPPER('Paste SD Data'!H1717))</f>
        <v/>
      </c>
      <c r="H1720" s="26" t="str">
        <f>IF('Paste SD Data'!I1717="","",IF('Paste SD Data'!I1717="M","BOY","GIRL"))</f>
        <v/>
      </c>
      <c r="I1720" s="28" t="str">
        <f>IF('Paste SD Data'!J1717="","",'Paste SD Data'!J1717)</f>
        <v/>
      </c>
      <c r="J1720" s="34">
        <f t="shared" si="26"/>
        <v>2146</v>
      </c>
      <c r="K1720" s="29" t="str">
        <f>IF('Paste SD Data'!O1717="","",'Paste SD Data'!O1717)</f>
        <v/>
      </c>
    </row>
    <row r="1721" spans="1:11" ht="30" customHeight="1" x14ac:dyDescent="0.25">
      <c r="A1721" s="25" t="str">
        <f>IF(Table1[[#This Row],[Name of Student]]="","",ROWS($A$1:A1717))</f>
        <v/>
      </c>
      <c r="B1721" s="26" t="str">
        <f>IF('Paste SD Data'!A1718="","",'Paste SD Data'!A1718)</f>
        <v/>
      </c>
      <c r="C1721" s="26" t="str">
        <f>IF('Paste SD Data'!B1718="","",'Paste SD Data'!B1718)</f>
        <v/>
      </c>
      <c r="D1721" s="26" t="str">
        <f>IF('Paste SD Data'!C1718="","",'Paste SD Data'!C1718)</f>
        <v/>
      </c>
      <c r="E1721" s="27" t="str">
        <f>IF('Paste SD Data'!E1718="","",UPPER('Paste SD Data'!E1718))</f>
        <v/>
      </c>
      <c r="F1721" s="27" t="str">
        <f>IF('Paste SD Data'!G1718="","",UPPER('Paste SD Data'!G1718))</f>
        <v/>
      </c>
      <c r="G1721" s="27" t="str">
        <f>IF('Paste SD Data'!H1718="","",UPPER('Paste SD Data'!H1718))</f>
        <v/>
      </c>
      <c r="H1721" s="26" t="str">
        <f>IF('Paste SD Data'!I1718="","",IF('Paste SD Data'!I1718="M","BOY","GIRL"))</f>
        <v/>
      </c>
      <c r="I1721" s="28" t="str">
        <f>IF('Paste SD Data'!J1718="","",'Paste SD Data'!J1718)</f>
        <v/>
      </c>
      <c r="J1721" s="34">
        <f t="shared" si="26"/>
        <v>2147</v>
      </c>
      <c r="K1721" s="29" t="str">
        <f>IF('Paste SD Data'!O1718="","",'Paste SD Data'!O1718)</f>
        <v/>
      </c>
    </row>
    <row r="1722" spans="1:11" ht="30" customHeight="1" x14ac:dyDescent="0.25">
      <c r="A1722" s="25" t="str">
        <f>IF(Table1[[#This Row],[Name of Student]]="","",ROWS($A$1:A1718))</f>
        <v/>
      </c>
      <c r="B1722" s="26" t="str">
        <f>IF('Paste SD Data'!A1719="","",'Paste SD Data'!A1719)</f>
        <v/>
      </c>
      <c r="C1722" s="26" t="str">
        <f>IF('Paste SD Data'!B1719="","",'Paste SD Data'!B1719)</f>
        <v/>
      </c>
      <c r="D1722" s="26" t="str">
        <f>IF('Paste SD Data'!C1719="","",'Paste SD Data'!C1719)</f>
        <v/>
      </c>
      <c r="E1722" s="27" t="str">
        <f>IF('Paste SD Data'!E1719="","",UPPER('Paste SD Data'!E1719))</f>
        <v/>
      </c>
      <c r="F1722" s="27" t="str">
        <f>IF('Paste SD Data'!G1719="","",UPPER('Paste SD Data'!G1719))</f>
        <v/>
      </c>
      <c r="G1722" s="27" t="str">
        <f>IF('Paste SD Data'!H1719="","",UPPER('Paste SD Data'!H1719))</f>
        <v/>
      </c>
      <c r="H1722" s="26" t="str">
        <f>IF('Paste SD Data'!I1719="","",IF('Paste SD Data'!I1719="M","BOY","GIRL"))</f>
        <v/>
      </c>
      <c r="I1722" s="28" t="str">
        <f>IF('Paste SD Data'!J1719="","",'Paste SD Data'!J1719)</f>
        <v/>
      </c>
      <c r="J1722" s="34">
        <f t="shared" si="26"/>
        <v>2148</v>
      </c>
      <c r="K1722" s="29" t="str">
        <f>IF('Paste SD Data'!O1719="","",'Paste SD Data'!O1719)</f>
        <v/>
      </c>
    </row>
    <row r="1723" spans="1:11" ht="30" customHeight="1" x14ac:dyDescent="0.25">
      <c r="A1723" s="25" t="str">
        <f>IF(Table1[[#This Row],[Name of Student]]="","",ROWS($A$1:A1719))</f>
        <v/>
      </c>
      <c r="B1723" s="26" t="str">
        <f>IF('Paste SD Data'!A1720="","",'Paste SD Data'!A1720)</f>
        <v/>
      </c>
      <c r="C1723" s="26" t="str">
        <f>IF('Paste SD Data'!B1720="","",'Paste SD Data'!B1720)</f>
        <v/>
      </c>
      <c r="D1723" s="26" t="str">
        <f>IF('Paste SD Data'!C1720="","",'Paste SD Data'!C1720)</f>
        <v/>
      </c>
      <c r="E1723" s="27" t="str">
        <f>IF('Paste SD Data'!E1720="","",UPPER('Paste SD Data'!E1720))</f>
        <v/>
      </c>
      <c r="F1723" s="27" t="str">
        <f>IF('Paste SD Data'!G1720="","",UPPER('Paste SD Data'!G1720))</f>
        <v/>
      </c>
      <c r="G1723" s="27" t="str">
        <f>IF('Paste SD Data'!H1720="","",UPPER('Paste SD Data'!H1720))</f>
        <v/>
      </c>
      <c r="H1723" s="26" t="str">
        <f>IF('Paste SD Data'!I1720="","",IF('Paste SD Data'!I1720="M","BOY","GIRL"))</f>
        <v/>
      </c>
      <c r="I1723" s="28" t="str">
        <f>IF('Paste SD Data'!J1720="","",'Paste SD Data'!J1720)</f>
        <v/>
      </c>
      <c r="J1723" s="34">
        <f t="shared" si="26"/>
        <v>2149</v>
      </c>
      <c r="K1723" s="29" t="str">
        <f>IF('Paste SD Data'!O1720="","",'Paste SD Data'!O1720)</f>
        <v/>
      </c>
    </row>
    <row r="1724" spans="1:11" ht="30" customHeight="1" x14ac:dyDescent="0.25">
      <c r="A1724" s="25" t="str">
        <f>IF(Table1[[#This Row],[Name of Student]]="","",ROWS($A$1:A1720))</f>
        <v/>
      </c>
      <c r="B1724" s="26" t="str">
        <f>IF('Paste SD Data'!A1721="","",'Paste SD Data'!A1721)</f>
        <v/>
      </c>
      <c r="C1724" s="26" t="str">
        <f>IF('Paste SD Data'!B1721="","",'Paste SD Data'!B1721)</f>
        <v/>
      </c>
      <c r="D1724" s="26" t="str">
        <f>IF('Paste SD Data'!C1721="","",'Paste SD Data'!C1721)</f>
        <v/>
      </c>
      <c r="E1724" s="27" t="str">
        <f>IF('Paste SD Data'!E1721="","",UPPER('Paste SD Data'!E1721))</f>
        <v/>
      </c>
      <c r="F1724" s="27" t="str">
        <f>IF('Paste SD Data'!G1721="","",UPPER('Paste SD Data'!G1721))</f>
        <v/>
      </c>
      <c r="G1724" s="27" t="str">
        <f>IF('Paste SD Data'!H1721="","",UPPER('Paste SD Data'!H1721))</f>
        <v/>
      </c>
      <c r="H1724" s="26" t="str">
        <f>IF('Paste SD Data'!I1721="","",IF('Paste SD Data'!I1721="M","BOY","GIRL"))</f>
        <v/>
      </c>
      <c r="I1724" s="28" t="str">
        <f>IF('Paste SD Data'!J1721="","",'Paste SD Data'!J1721)</f>
        <v/>
      </c>
      <c r="J1724" s="34">
        <f t="shared" si="26"/>
        <v>2150</v>
      </c>
      <c r="K1724" s="29" t="str">
        <f>IF('Paste SD Data'!O1721="","",'Paste SD Data'!O1721)</f>
        <v/>
      </c>
    </row>
    <row r="1725" spans="1:11" ht="30" customHeight="1" x14ac:dyDescent="0.25">
      <c r="A1725" s="25" t="str">
        <f>IF(Table1[[#This Row],[Name of Student]]="","",ROWS($A$1:A1721))</f>
        <v/>
      </c>
      <c r="B1725" s="26" t="str">
        <f>IF('Paste SD Data'!A1722="","",'Paste SD Data'!A1722)</f>
        <v/>
      </c>
      <c r="C1725" s="26" t="str">
        <f>IF('Paste SD Data'!B1722="","",'Paste SD Data'!B1722)</f>
        <v/>
      </c>
      <c r="D1725" s="26" t="str">
        <f>IF('Paste SD Data'!C1722="","",'Paste SD Data'!C1722)</f>
        <v/>
      </c>
      <c r="E1725" s="27" t="str">
        <f>IF('Paste SD Data'!E1722="","",UPPER('Paste SD Data'!E1722))</f>
        <v/>
      </c>
      <c r="F1725" s="27" t="str">
        <f>IF('Paste SD Data'!G1722="","",UPPER('Paste SD Data'!G1722))</f>
        <v/>
      </c>
      <c r="G1725" s="27" t="str">
        <f>IF('Paste SD Data'!H1722="","",UPPER('Paste SD Data'!H1722))</f>
        <v/>
      </c>
      <c r="H1725" s="26" t="str">
        <f>IF('Paste SD Data'!I1722="","",IF('Paste SD Data'!I1722="M","BOY","GIRL"))</f>
        <v/>
      </c>
      <c r="I1725" s="28" t="str">
        <f>IF('Paste SD Data'!J1722="","",'Paste SD Data'!J1722)</f>
        <v/>
      </c>
      <c r="J1725" s="34">
        <f t="shared" si="26"/>
        <v>2151</v>
      </c>
      <c r="K1725" s="29" t="str">
        <f>IF('Paste SD Data'!O1722="","",'Paste SD Data'!O1722)</f>
        <v/>
      </c>
    </row>
    <row r="1726" spans="1:11" ht="30" customHeight="1" x14ac:dyDescent="0.25">
      <c r="A1726" s="25" t="str">
        <f>IF(Table1[[#This Row],[Name of Student]]="","",ROWS($A$1:A1722))</f>
        <v/>
      </c>
      <c r="B1726" s="26" t="str">
        <f>IF('Paste SD Data'!A1723="","",'Paste SD Data'!A1723)</f>
        <v/>
      </c>
      <c r="C1726" s="26" t="str">
        <f>IF('Paste SD Data'!B1723="","",'Paste SD Data'!B1723)</f>
        <v/>
      </c>
      <c r="D1726" s="26" t="str">
        <f>IF('Paste SD Data'!C1723="","",'Paste SD Data'!C1723)</f>
        <v/>
      </c>
      <c r="E1726" s="27" t="str">
        <f>IF('Paste SD Data'!E1723="","",UPPER('Paste SD Data'!E1723))</f>
        <v/>
      </c>
      <c r="F1726" s="27" t="str">
        <f>IF('Paste SD Data'!G1723="","",UPPER('Paste SD Data'!G1723))</f>
        <v/>
      </c>
      <c r="G1726" s="27" t="str">
        <f>IF('Paste SD Data'!H1723="","",UPPER('Paste SD Data'!H1723))</f>
        <v/>
      </c>
      <c r="H1726" s="26" t="str">
        <f>IF('Paste SD Data'!I1723="","",IF('Paste SD Data'!I1723="M","BOY","GIRL"))</f>
        <v/>
      </c>
      <c r="I1726" s="28" t="str">
        <f>IF('Paste SD Data'!J1723="","",'Paste SD Data'!J1723)</f>
        <v/>
      </c>
      <c r="J1726" s="34">
        <f t="shared" si="26"/>
        <v>2152</v>
      </c>
      <c r="K1726" s="29" t="str">
        <f>IF('Paste SD Data'!O1723="","",'Paste SD Data'!O1723)</f>
        <v/>
      </c>
    </row>
    <row r="1727" spans="1:11" ht="30" customHeight="1" x14ac:dyDescent="0.25">
      <c r="A1727" s="25" t="str">
        <f>IF(Table1[[#This Row],[Name of Student]]="","",ROWS($A$1:A1723))</f>
        <v/>
      </c>
      <c r="B1727" s="26" t="str">
        <f>IF('Paste SD Data'!A1724="","",'Paste SD Data'!A1724)</f>
        <v/>
      </c>
      <c r="C1727" s="26" t="str">
        <f>IF('Paste SD Data'!B1724="","",'Paste SD Data'!B1724)</f>
        <v/>
      </c>
      <c r="D1727" s="26" t="str">
        <f>IF('Paste SD Data'!C1724="","",'Paste SD Data'!C1724)</f>
        <v/>
      </c>
      <c r="E1727" s="27" t="str">
        <f>IF('Paste SD Data'!E1724="","",UPPER('Paste SD Data'!E1724))</f>
        <v/>
      </c>
      <c r="F1727" s="27" t="str">
        <f>IF('Paste SD Data'!G1724="","",UPPER('Paste SD Data'!G1724))</f>
        <v/>
      </c>
      <c r="G1727" s="27" t="str">
        <f>IF('Paste SD Data'!H1724="","",UPPER('Paste SD Data'!H1724))</f>
        <v/>
      </c>
      <c r="H1727" s="26" t="str">
        <f>IF('Paste SD Data'!I1724="","",IF('Paste SD Data'!I1724="M","BOY","GIRL"))</f>
        <v/>
      </c>
      <c r="I1727" s="28" t="str">
        <f>IF('Paste SD Data'!J1724="","",'Paste SD Data'!J1724)</f>
        <v/>
      </c>
      <c r="J1727" s="34">
        <f t="shared" si="26"/>
        <v>2153</v>
      </c>
      <c r="K1727" s="29" t="str">
        <f>IF('Paste SD Data'!O1724="","",'Paste SD Data'!O1724)</f>
        <v/>
      </c>
    </row>
    <row r="1728" spans="1:11" ht="30" customHeight="1" x14ac:dyDescent="0.25">
      <c r="A1728" s="25" t="str">
        <f>IF(Table1[[#This Row],[Name of Student]]="","",ROWS($A$1:A1724))</f>
        <v/>
      </c>
      <c r="B1728" s="26" t="str">
        <f>IF('Paste SD Data'!A1725="","",'Paste SD Data'!A1725)</f>
        <v/>
      </c>
      <c r="C1728" s="26" t="str">
        <f>IF('Paste SD Data'!B1725="","",'Paste SD Data'!B1725)</f>
        <v/>
      </c>
      <c r="D1728" s="26" t="str">
        <f>IF('Paste SD Data'!C1725="","",'Paste SD Data'!C1725)</f>
        <v/>
      </c>
      <c r="E1728" s="27" t="str">
        <f>IF('Paste SD Data'!E1725="","",UPPER('Paste SD Data'!E1725))</f>
        <v/>
      </c>
      <c r="F1728" s="27" t="str">
        <f>IF('Paste SD Data'!G1725="","",UPPER('Paste SD Data'!G1725))</f>
        <v/>
      </c>
      <c r="G1728" s="27" t="str">
        <f>IF('Paste SD Data'!H1725="","",UPPER('Paste SD Data'!H1725))</f>
        <v/>
      </c>
      <c r="H1728" s="26" t="str">
        <f>IF('Paste SD Data'!I1725="","",IF('Paste SD Data'!I1725="M","BOY","GIRL"))</f>
        <v/>
      </c>
      <c r="I1728" s="28" t="str">
        <f>IF('Paste SD Data'!J1725="","",'Paste SD Data'!J1725)</f>
        <v/>
      </c>
      <c r="J1728" s="34">
        <f t="shared" si="26"/>
        <v>2154</v>
      </c>
      <c r="K1728" s="29" t="str">
        <f>IF('Paste SD Data'!O1725="","",'Paste SD Data'!O1725)</f>
        <v/>
      </c>
    </row>
    <row r="1729" spans="1:11" ht="30" customHeight="1" x14ac:dyDescent="0.25">
      <c r="A1729" s="25" t="str">
        <f>IF(Table1[[#This Row],[Name of Student]]="","",ROWS($A$1:A1725))</f>
        <v/>
      </c>
      <c r="B1729" s="26" t="str">
        <f>IF('Paste SD Data'!A1726="","",'Paste SD Data'!A1726)</f>
        <v/>
      </c>
      <c r="C1729" s="26" t="str">
        <f>IF('Paste SD Data'!B1726="","",'Paste SD Data'!B1726)</f>
        <v/>
      </c>
      <c r="D1729" s="26" t="str">
        <f>IF('Paste SD Data'!C1726="","",'Paste SD Data'!C1726)</f>
        <v/>
      </c>
      <c r="E1729" s="27" t="str">
        <f>IF('Paste SD Data'!E1726="","",UPPER('Paste SD Data'!E1726))</f>
        <v/>
      </c>
      <c r="F1729" s="27" t="str">
        <f>IF('Paste SD Data'!G1726="","",UPPER('Paste SD Data'!G1726))</f>
        <v/>
      </c>
      <c r="G1729" s="27" t="str">
        <f>IF('Paste SD Data'!H1726="","",UPPER('Paste SD Data'!H1726))</f>
        <v/>
      </c>
      <c r="H1729" s="26" t="str">
        <f>IF('Paste SD Data'!I1726="","",IF('Paste SD Data'!I1726="M","BOY","GIRL"))</f>
        <v/>
      </c>
      <c r="I1729" s="28" t="str">
        <f>IF('Paste SD Data'!J1726="","",'Paste SD Data'!J1726)</f>
        <v/>
      </c>
      <c r="J1729" s="34">
        <f t="shared" si="26"/>
        <v>2155</v>
      </c>
      <c r="K1729" s="29" t="str">
        <f>IF('Paste SD Data'!O1726="","",'Paste SD Data'!O1726)</f>
        <v/>
      </c>
    </row>
    <row r="1730" spans="1:11" ht="30" customHeight="1" x14ac:dyDescent="0.25">
      <c r="A1730" s="25" t="str">
        <f>IF(Table1[[#This Row],[Name of Student]]="","",ROWS($A$1:A1726))</f>
        <v/>
      </c>
      <c r="B1730" s="26" t="str">
        <f>IF('Paste SD Data'!A1727="","",'Paste SD Data'!A1727)</f>
        <v/>
      </c>
      <c r="C1730" s="26" t="str">
        <f>IF('Paste SD Data'!B1727="","",'Paste SD Data'!B1727)</f>
        <v/>
      </c>
      <c r="D1730" s="26" t="str">
        <f>IF('Paste SD Data'!C1727="","",'Paste SD Data'!C1727)</f>
        <v/>
      </c>
      <c r="E1730" s="27" t="str">
        <f>IF('Paste SD Data'!E1727="","",UPPER('Paste SD Data'!E1727))</f>
        <v/>
      </c>
      <c r="F1730" s="27" t="str">
        <f>IF('Paste SD Data'!G1727="","",UPPER('Paste SD Data'!G1727))</f>
        <v/>
      </c>
      <c r="G1730" s="27" t="str">
        <f>IF('Paste SD Data'!H1727="","",UPPER('Paste SD Data'!H1727))</f>
        <v/>
      </c>
      <c r="H1730" s="26" t="str">
        <f>IF('Paste SD Data'!I1727="","",IF('Paste SD Data'!I1727="M","BOY","GIRL"))</f>
        <v/>
      </c>
      <c r="I1730" s="28" t="str">
        <f>IF('Paste SD Data'!J1727="","",'Paste SD Data'!J1727)</f>
        <v/>
      </c>
      <c r="J1730" s="34">
        <f t="shared" si="26"/>
        <v>2156</v>
      </c>
      <c r="K1730" s="29" t="str">
        <f>IF('Paste SD Data'!O1727="","",'Paste SD Data'!O1727)</f>
        <v/>
      </c>
    </row>
    <row r="1731" spans="1:11" ht="30" customHeight="1" x14ac:dyDescent="0.25">
      <c r="A1731" s="25" t="str">
        <f>IF(Table1[[#This Row],[Name of Student]]="","",ROWS($A$1:A1727))</f>
        <v/>
      </c>
      <c r="B1731" s="26" t="str">
        <f>IF('Paste SD Data'!A1728="","",'Paste SD Data'!A1728)</f>
        <v/>
      </c>
      <c r="C1731" s="26" t="str">
        <f>IF('Paste SD Data'!B1728="","",'Paste SD Data'!B1728)</f>
        <v/>
      </c>
      <c r="D1731" s="26" t="str">
        <f>IF('Paste SD Data'!C1728="","",'Paste SD Data'!C1728)</f>
        <v/>
      </c>
      <c r="E1731" s="27" t="str">
        <f>IF('Paste SD Data'!E1728="","",UPPER('Paste SD Data'!E1728))</f>
        <v/>
      </c>
      <c r="F1731" s="27" t="str">
        <f>IF('Paste SD Data'!G1728="","",UPPER('Paste SD Data'!G1728))</f>
        <v/>
      </c>
      <c r="G1731" s="27" t="str">
        <f>IF('Paste SD Data'!H1728="","",UPPER('Paste SD Data'!H1728))</f>
        <v/>
      </c>
      <c r="H1731" s="26" t="str">
        <f>IF('Paste SD Data'!I1728="","",IF('Paste SD Data'!I1728="M","BOY","GIRL"))</f>
        <v/>
      </c>
      <c r="I1731" s="28" t="str">
        <f>IF('Paste SD Data'!J1728="","",'Paste SD Data'!J1728)</f>
        <v/>
      </c>
      <c r="J1731" s="34">
        <f t="shared" si="26"/>
        <v>2157</v>
      </c>
      <c r="K1731" s="29" t="str">
        <f>IF('Paste SD Data'!O1728="","",'Paste SD Data'!O1728)</f>
        <v/>
      </c>
    </row>
    <row r="1732" spans="1:11" ht="30" customHeight="1" x14ac:dyDescent="0.25">
      <c r="A1732" s="25" t="str">
        <f>IF(Table1[[#This Row],[Name of Student]]="","",ROWS($A$1:A1728))</f>
        <v/>
      </c>
      <c r="B1732" s="26" t="str">
        <f>IF('Paste SD Data'!A1729="","",'Paste SD Data'!A1729)</f>
        <v/>
      </c>
      <c r="C1732" s="26" t="str">
        <f>IF('Paste SD Data'!B1729="","",'Paste SD Data'!B1729)</f>
        <v/>
      </c>
      <c r="D1732" s="26" t="str">
        <f>IF('Paste SD Data'!C1729="","",'Paste SD Data'!C1729)</f>
        <v/>
      </c>
      <c r="E1732" s="27" t="str">
        <f>IF('Paste SD Data'!E1729="","",UPPER('Paste SD Data'!E1729))</f>
        <v/>
      </c>
      <c r="F1732" s="27" t="str">
        <f>IF('Paste SD Data'!G1729="","",UPPER('Paste SD Data'!G1729))</f>
        <v/>
      </c>
      <c r="G1732" s="27" t="str">
        <f>IF('Paste SD Data'!H1729="","",UPPER('Paste SD Data'!H1729))</f>
        <v/>
      </c>
      <c r="H1732" s="26" t="str">
        <f>IF('Paste SD Data'!I1729="","",IF('Paste SD Data'!I1729="M","BOY","GIRL"))</f>
        <v/>
      </c>
      <c r="I1732" s="28" t="str">
        <f>IF('Paste SD Data'!J1729="","",'Paste SD Data'!J1729)</f>
        <v/>
      </c>
      <c r="J1732" s="34">
        <f t="shared" si="26"/>
        <v>2158</v>
      </c>
      <c r="K1732" s="29" t="str">
        <f>IF('Paste SD Data'!O1729="","",'Paste SD Data'!O1729)</f>
        <v/>
      </c>
    </row>
    <row r="1733" spans="1:11" ht="30" customHeight="1" x14ac:dyDescent="0.25">
      <c r="A1733" s="25" t="str">
        <f>IF(Table1[[#This Row],[Name of Student]]="","",ROWS($A$1:A1729))</f>
        <v/>
      </c>
      <c r="B1733" s="26" t="str">
        <f>IF('Paste SD Data'!A1730="","",'Paste SD Data'!A1730)</f>
        <v/>
      </c>
      <c r="C1733" s="26" t="str">
        <f>IF('Paste SD Data'!B1730="","",'Paste SD Data'!B1730)</f>
        <v/>
      </c>
      <c r="D1733" s="26" t="str">
        <f>IF('Paste SD Data'!C1730="","",'Paste SD Data'!C1730)</f>
        <v/>
      </c>
      <c r="E1733" s="27" t="str">
        <f>IF('Paste SD Data'!E1730="","",UPPER('Paste SD Data'!E1730))</f>
        <v/>
      </c>
      <c r="F1733" s="27" t="str">
        <f>IF('Paste SD Data'!G1730="","",UPPER('Paste SD Data'!G1730))</f>
        <v/>
      </c>
      <c r="G1733" s="27" t="str">
        <f>IF('Paste SD Data'!H1730="","",UPPER('Paste SD Data'!H1730))</f>
        <v/>
      </c>
      <c r="H1733" s="26" t="str">
        <f>IF('Paste SD Data'!I1730="","",IF('Paste SD Data'!I1730="M","BOY","GIRL"))</f>
        <v/>
      </c>
      <c r="I1733" s="28" t="str">
        <f>IF('Paste SD Data'!J1730="","",'Paste SD Data'!J1730)</f>
        <v/>
      </c>
      <c r="J1733" s="34">
        <f t="shared" si="26"/>
        <v>2159</v>
      </c>
      <c r="K1733" s="29" t="str">
        <f>IF('Paste SD Data'!O1730="","",'Paste SD Data'!O1730)</f>
        <v/>
      </c>
    </row>
    <row r="1734" spans="1:11" ht="30" customHeight="1" x14ac:dyDescent="0.25">
      <c r="A1734" s="25" t="str">
        <f>IF(Table1[[#This Row],[Name of Student]]="","",ROWS($A$1:A1730))</f>
        <v/>
      </c>
      <c r="B1734" s="26" t="str">
        <f>IF('Paste SD Data'!A1731="","",'Paste SD Data'!A1731)</f>
        <v/>
      </c>
      <c r="C1734" s="26" t="str">
        <f>IF('Paste SD Data'!B1731="","",'Paste SD Data'!B1731)</f>
        <v/>
      </c>
      <c r="D1734" s="26" t="str">
        <f>IF('Paste SD Data'!C1731="","",'Paste SD Data'!C1731)</f>
        <v/>
      </c>
      <c r="E1734" s="27" t="str">
        <f>IF('Paste SD Data'!E1731="","",UPPER('Paste SD Data'!E1731))</f>
        <v/>
      </c>
      <c r="F1734" s="27" t="str">
        <f>IF('Paste SD Data'!G1731="","",UPPER('Paste SD Data'!G1731))</f>
        <v/>
      </c>
      <c r="G1734" s="27" t="str">
        <f>IF('Paste SD Data'!H1731="","",UPPER('Paste SD Data'!H1731))</f>
        <v/>
      </c>
      <c r="H1734" s="26" t="str">
        <f>IF('Paste SD Data'!I1731="","",IF('Paste SD Data'!I1731="M","BOY","GIRL"))</f>
        <v/>
      </c>
      <c r="I1734" s="28" t="str">
        <f>IF('Paste SD Data'!J1731="","",'Paste SD Data'!J1731)</f>
        <v/>
      </c>
      <c r="J1734" s="34">
        <f t="shared" si="26"/>
        <v>2160</v>
      </c>
      <c r="K1734" s="29" t="str">
        <f>IF('Paste SD Data'!O1731="","",'Paste SD Data'!O1731)</f>
        <v/>
      </c>
    </row>
    <row r="1735" spans="1:11" ht="30" customHeight="1" x14ac:dyDescent="0.25">
      <c r="A1735" s="25" t="str">
        <f>IF(Table1[[#This Row],[Name of Student]]="","",ROWS($A$1:A1731))</f>
        <v/>
      </c>
      <c r="B1735" s="26" t="str">
        <f>IF('Paste SD Data'!A1732="","",'Paste SD Data'!A1732)</f>
        <v/>
      </c>
      <c r="C1735" s="26" t="str">
        <f>IF('Paste SD Data'!B1732="","",'Paste SD Data'!B1732)</f>
        <v/>
      </c>
      <c r="D1735" s="26" t="str">
        <f>IF('Paste SD Data'!C1732="","",'Paste SD Data'!C1732)</f>
        <v/>
      </c>
      <c r="E1735" s="27" t="str">
        <f>IF('Paste SD Data'!E1732="","",UPPER('Paste SD Data'!E1732))</f>
        <v/>
      </c>
      <c r="F1735" s="27" t="str">
        <f>IF('Paste SD Data'!G1732="","",UPPER('Paste SD Data'!G1732))</f>
        <v/>
      </c>
      <c r="G1735" s="27" t="str">
        <f>IF('Paste SD Data'!H1732="","",UPPER('Paste SD Data'!H1732))</f>
        <v/>
      </c>
      <c r="H1735" s="26" t="str">
        <f>IF('Paste SD Data'!I1732="","",IF('Paste SD Data'!I1732="M","BOY","GIRL"))</f>
        <v/>
      </c>
      <c r="I1735" s="28" t="str">
        <f>IF('Paste SD Data'!J1732="","",'Paste SD Data'!J1732)</f>
        <v/>
      </c>
      <c r="J1735" s="34">
        <f t="shared" ref="J1735:J1798" si="27">J1734+1</f>
        <v>2161</v>
      </c>
      <c r="K1735" s="29" t="str">
        <f>IF('Paste SD Data'!O1732="","",'Paste SD Data'!O1732)</f>
        <v/>
      </c>
    </row>
    <row r="1736" spans="1:11" ht="30" customHeight="1" x14ac:dyDescent="0.25">
      <c r="A1736" s="25" t="str">
        <f>IF(Table1[[#This Row],[Name of Student]]="","",ROWS($A$1:A1732))</f>
        <v/>
      </c>
      <c r="B1736" s="26" t="str">
        <f>IF('Paste SD Data'!A1733="","",'Paste SD Data'!A1733)</f>
        <v/>
      </c>
      <c r="C1736" s="26" t="str">
        <f>IF('Paste SD Data'!B1733="","",'Paste SD Data'!B1733)</f>
        <v/>
      </c>
      <c r="D1736" s="26" t="str">
        <f>IF('Paste SD Data'!C1733="","",'Paste SD Data'!C1733)</f>
        <v/>
      </c>
      <c r="E1736" s="27" t="str">
        <f>IF('Paste SD Data'!E1733="","",UPPER('Paste SD Data'!E1733))</f>
        <v/>
      </c>
      <c r="F1736" s="27" t="str">
        <f>IF('Paste SD Data'!G1733="","",UPPER('Paste SD Data'!G1733))</f>
        <v/>
      </c>
      <c r="G1736" s="27" t="str">
        <f>IF('Paste SD Data'!H1733="","",UPPER('Paste SD Data'!H1733))</f>
        <v/>
      </c>
      <c r="H1736" s="26" t="str">
        <f>IF('Paste SD Data'!I1733="","",IF('Paste SD Data'!I1733="M","BOY","GIRL"))</f>
        <v/>
      </c>
      <c r="I1736" s="28" t="str">
        <f>IF('Paste SD Data'!J1733="","",'Paste SD Data'!J1733)</f>
        <v/>
      </c>
      <c r="J1736" s="34">
        <f t="shared" si="27"/>
        <v>2162</v>
      </c>
      <c r="K1736" s="29" t="str">
        <f>IF('Paste SD Data'!O1733="","",'Paste SD Data'!O1733)</f>
        <v/>
      </c>
    </row>
    <row r="1737" spans="1:11" ht="30" customHeight="1" x14ac:dyDescent="0.25">
      <c r="A1737" s="25" t="str">
        <f>IF(Table1[[#This Row],[Name of Student]]="","",ROWS($A$1:A1733))</f>
        <v/>
      </c>
      <c r="B1737" s="26" t="str">
        <f>IF('Paste SD Data'!A1734="","",'Paste SD Data'!A1734)</f>
        <v/>
      </c>
      <c r="C1737" s="26" t="str">
        <f>IF('Paste SD Data'!B1734="","",'Paste SD Data'!B1734)</f>
        <v/>
      </c>
      <c r="D1737" s="26" t="str">
        <f>IF('Paste SD Data'!C1734="","",'Paste SD Data'!C1734)</f>
        <v/>
      </c>
      <c r="E1737" s="27" t="str">
        <f>IF('Paste SD Data'!E1734="","",UPPER('Paste SD Data'!E1734))</f>
        <v/>
      </c>
      <c r="F1737" s="27" t="str">
        <f>IF('Paste SD Data'!G1734="","",UPPER('Paste SD Data'!G1734))</f>
        <v/>
      </c>
      <c r="G1737" s="27" t="str">
        <f>IF('Paste SD Data'!H1734="","",UPPER('Paste SD Data'!H1734))</f>
        <v/>
      </c>
      <c r="H1737" s="26" t="str">
        <f>IF('Paste SD Data'!I1734="","",IF('Paste SD Data'!I1734="M","BOY","GIRL"))</f>
        <v/>
      </c>
      <c r="I1737" s="28" t="str">
        <f>IF('Paste SD Data'!J1734="","",'Paste SD Data'!J1734)</f>
        <v/>
      </c>
      <c r="J1737" s="34">
        <f t="shared" si="27"/>
        <v>2163</v>
      </c>
      <c r="K1737" s="29" t="str">
        <f>IF('Paste SD Data'!O1734="","",'Paste SD Data'!O1734)</f>
        <v/>
      </c>
    </row>
    <row r="1738" spans="1:11" ht="30" customHeight="1" x14ac:dyDescent="0.25">
      <c r="A1738" s="25" t="str">
        <f>IF(Table1[[#This Row],[Name of Student]]="","",ROWS($A$1:A1734))</f>
        <v/>
      </c>
      <c r="B1738" s="26" t="str">
        <f>IF('Paste SD Data'!A1735="","",'Paste SD Data'!A1735)</f>
        <v/>
      </c>
      <c r="C1738" s="26" t="str">
        <f>IF('Paste SD Data'!B1735="","",'Paste SD Data'!B1735)</f>
        <v/>
      </c>
      <c r="D1738" s="26" t="str">
        <f>IF('Paste SD Data'!C1735="","",'Paste SD Data'!C1735)</f>
        <v/>
      </c>
      <c r="E1738" s="27" t="str">
        <f>IF('Paste SD Data'!E1735="","",UPPER('Paste SD Data'!E1735))</f>
        <v/>
      </c>
      <c r="F1738" s="27" t="str">
        <f>IF('Paste SD Data'!G1735="","",UPPER('Paste SD Data'!G1735))</f>
        <v/>
      </c>
      <c r="G1738" s="27" t="str">
        <f>IF('Paste SD Data'!H1735="","",UPPER('Paste SD Data'!H1735))</f>
        <v/>
      </c>
      <c r="H1738" s="26" t="str">
        <f>IF('Paste SD Data'!I1735="","",IF('Paste SD Data'!I1735="M","BOY","GIRL"))</f>
        <v/>
      </c>
      <c r="I1738" s="28" t="str">
        <f>IF('Paste SD Data'!J1735="","",'Paste SD Data'!J1735)</f>
        <v/>
      </c>
      <c r="J1738" s="34">
        <f t="shared" si="27"/>
        <v>2164</v>
      </c>
      <c r="K1738" s="29" t="str">
        <f>IF('Paste SD Data'!O1735="","",'Paste SD Data'!O1735)</f>
        <v/>
      </c>
    </row>
    <row r="1739" spans="1:11" ht="30" customHeight="1" x14ac:dyDescent="0.25">
      <c r="A1739" s="25" t="str">
        <f>IF(Table1[[#This Row],[Name of Student]]="","",ROWS($A$1:A1735))</f>
        <v/>
      </c>
      <c r="B1739" s="26" t="str">
        <f>IF('Paste SD Data'!A1736="","",'Paste SD Data'!A1736)</f>
        <v/>
      </c>
      <c r="C1739" s="26" t="str">
        <f>IF('Paste SD Data'!B1736="","",'Paste SD Data'!B1736)</f>
        <v/>
      </c>
      <c r="D1739" s="26" t="str">
        <f>IF('Paste SD Data'!C1736="","",'Paste SD Data'!C1736)</f>
        <v/>
      </c>
      <c r="E1739" s="27" t="str">
        <f>IF('Paste SD Data'!E1736="","",UPPER('Paste SD Data'!E1736))</f>
        <v/>
      </c>
      <c r="F1739" s="27" t="str">
        <f>IF('Paste SD Data'!G1736="","",UPPER('Paste SD Data'!G1736))</f>
        <v/>
      </c>
      <c r="G1739" s="27" t="str">
        <f>IF('Paste SD Data'!H1736="","",UPPER('Paste SD Data'!H1736))</f>
        <v/>
      </c>
      <c r="H1739" s="26" t="str">
        <f>IF('Paste SD Data'!I1736="","",IF('Paste SD Data'!I1736="M","BOY","GIRL"))</f>
        <v/>
      </c>
      <c r="I1739" s="28" t="str">
        <f>IF('Paste SD Data'!J1736="","",'Paste SD Data'!J1736)</f>
        <v/>
      </c>
      <c r="J1739" s="34">
        <f t="shared" si="27"/>
        <v>2165</v>
      </c>
      <c r="K1739" s="29" t="str">
        <f>IF('Paste SD Data'!O1736="","",'Paste SD Data'!O1736)</f>
        <v/>
      </c>
    </row>
    <row r="1740" spans="1:11" ht="30" customHeight="1" x14ac:dyDescent="0.25">
      <c r="A1740" s="25" t="str">
        <f>IF(Table1[[#This Row],[Name of Student]]="","",ROWS($A$1:A1736))</f>
        <v/>
      </c>
      <c r="B1740" s="26" t="str">
        <f>IF('Paste SD Data'!A1737="","",'Paste SD Data'!A1737)</f>
        <v/>
      </c>
      <c r="C1740" s="26" t="str">
        <f>IF('Paste SD Data'!B1737="","",'Paste SD Data'!B1737)</f>
        <v/>
      </c>
      <c r="D1740" s="26" t="str">
        <f>IF('Paste SD Data'!C1737="","",'Paste SD Data'!C1737)</f>
        <v/>
      </c>
      <c r="E1740" s="27" t="str">
        <f>IF('Paste SD Data'!E1737="","",UPPER('Paste SD Data'!E1737))</f>
        <v/>
      </c>
      <c r="F1740" s="27" t="str">
        <f>IF('Paste SD Data'!G1737="","",UPPER('Paste SD Data'!G1737))</f>
        <v/>
      </c>
      <c r="G1740" s="27" t="str">
        <f>IF('Paste SD Data'!H1737="","",UPPER('Paste SD Data'!H1737))</f>
        <v/>
      </c>
      <c r="H1740" s="26" t="str">
        <f>IF('Paste SD Data'!I1737="","",IF('Paste SD Data'!I1737="M","BOY","GIRL"))</f>
        <v/>
      </c>
      <c r="I1740" s="28" t="str">
        <f>IF('Paste SD Data'!J1737="","",'Paste SD Data'!J1737)</f>
        <v/>
      </c>
      <c r="J1740" s="34">
        <f t="shared" si="27"/>
        <v>2166</v>
      </c>
      <c r="K1740" s="29" t="str">
        <f>IF('Paste SD Data'!O1737="","",'Paste SD Data'!O1737)</f>
        <v/>
      </c>
    </row>
    <row r="1741" spans="1:11" ht="30" customHeight="1" x14ac:dyDescent="0.25">
      <c r="A1741" s="25" t="str">
        <f>IF(Table1[[#This Row],[Name of Student]]="","",ROWS($A$1:A1737))</f>
        <v/>
      </c>
      <c r="B1741" s="26" t="str">
        <f>IF('Paste SD Data'!A1738="","",'Paste SD Data'!A1738)</f>
        <v/>
      </c>
      <c r="C1741" s="26" t="str">
        <f>IF('Paste SD Data'!B1738="","",'Paste SD Data'!B1738)</f>
        <v/>
      </c>
      <c r="D1741" s="26" t="str">
        <f>IF('Paste SD Data'!C1738="","",'Paste SD Data'!C1738)</f>
        <v/>
      </c>
      <c r="E1741" s="27" t="str">
        <f>IF('Paste SD Data'!E1738="","",UPPER('Paste SD Data'!E1738))</f>
        <v/>
      </c>
      <c r="F1741" s="27" t="str">
        <f>IF('Paste SD Data'!G1738="","",UPPER('Paste SD Data'!G1738))</f>
        <v/>
      </c>
      <c r="G1741" s="27" t="str">
        <f>IF('Paste SD Data'!H1738="","",UPPER('Paste SD Data'!H1738))</f>
        <v/>
      </c>
      <c r="H1741" s="26" t="str">
        <f>IF('Paste SD Data'!I1738="","",IF('Paste SD Data'!I1738="M","BOY","GIRL"))</f>
        <v/>
      </c>
      <c r="I1741" s="28" t="str">
        <f>IF('Paste SD Data'!J1738="","",'Paste SD Data'!J1738)</f>
        <v/>
      </c>
      <c r="J1741" s="34">
        <f t="shared" si="27"/>
        <v>2167</v>
      </c>
      <c r="K1741" s="29" t="str">
        <f>IF('Paste SD Data'!O1738="","",'Paste SD Data'!O1738)</f>
        <v/>
      </c>
    </row>
    <row r="1742" spans="1:11" ht="30" customHeight="1" x14ac:dyDescent="0.25">
      <c r="A1742" s="25" t="str">
        <f>IF(Table1[[#This Row],[Name of Student]]="","",ROWS($A$1:A1738))</f>
        <v/>
      </c>
      <c r="B1742" s="26" t="str">
        <f>IF('Paste SD Data'!A1739="","",'Paste SD Data'!A1739)</f>
        <v/>
      </c>
      <c r="C1742" s="26" t="str">
        <f>IF('Paste SD Data'!B1739="","",'Paste SD Data'!B1739)</f>
        <v/>
      </c>
      <c r="D1742" s="26" t="str">
        <f>IF('Paste SD Data'!C1739="","",'Paste SD Data'!C1739)</f>
        <v/>
      </c>
      <c r="E1742" s="27" t="str">
        <f>IF('Paste SD Data'!E1739="","",UPPER('Paste SD Data'!E1739))</f>
        <v/>
      </c>
      <c r="F1742" s="27" t="str">
        <f>IF('Paste SD Data'!G1739="","",UPPER('Paste SD Data'!G1739))</f>
        <v/>
      </c>
      <c r="G1742" s="27" t="str">
        <f>IF('Paste SD Data'!H1739="","",UPPER('Paste SD Data'!H1739))</f>
        <v/>
      </c>
      <c r="H1742" s="26" t="str">
        <f>IF('Paste SD Data'!I1739="","",IF('Paste SD Data'!I1739="M","BOY","GIRL"))</f>
        <v/>
      </c>
      <c r="I1742" s="28" t="str">
        <f>IF('Paste SD Data'!J1739="","",'Paste SD Data'!J1739)</f>
        <v/>
      </c>
      <c r="J1742" s="34">
        <f t="shared" si="27"/>
        <v>2168</v>
      </c>
      <c r="K1742" s="29" t="str">
        <f>IF('Paste SD Data'!O1739="","",'Paste SD Data'!O1739)</f>
        <v/>
      </c>
    </row>
    <row r="1743" spans="1:11" ht="30" customHeight="1" x14ac:dyDescent="0.25">
      <c r="A1743" s="25" t="str">
        <f>IF(Table1[[#This Row],[Name of Student]]="","",ROWS($A$1:A1739))</f>
        <v/>
      </c>
      <c r="B1743" s="26" t="str">
        <f>IF('Paste SD Data'!A1740="","",'Paste SD Data'!A1740)</f>
        <v/>
      </c>
      <c r="C1743" s="26" t="str">
        <f>IF('Paste SD Data'!B1740="","",'Paste SD Data'!B1740)</f>
        <v/>
      </c>
      <c r="D1743" s="26" t="str">
        <f>IF('Paste SD Data'!C1740="","",'Paste SD Data'!C1740)</f>
        <v/>
      </c>
      <c r="E1743" s="27" t="str">
        <f>IF('Paste SD Data'!E1740="","",UPPER('Paste SD Data'!E1740))</f>
        <v/>
      </c>
      <c r="F1743" s="27" t="str">
        <f>IF('Paste SD Data'!G1740="","",UPPER('Paste SD Data'!G1740))</f>
        <v/>
      </c>
      <c r="G1743" s="27" t="str">
        <f>IF('Paste SD Data'!H1740="","",UPPER('Paste SD Data'!H1740))</f>
        <v/>
      </c>
      <c r="H1743" s="26" t="str">
        <f>IF('Paste SD Data'!I1740="","",IF('Paste SD Data'!I1740="M","BOY","GIRL"))</f>
        <v/>
      </c>
      <c r="I1743" s="28" t="str">
        <f>IF('Paste SD Data'!J1740="","",'Paste SD Data'!J1740)</f>
        <v/>
      </c>
      <c r="J1743" s="34">
        <f t="shared" si="27"/>
        <v>2169</v>
      </c>
      <c r="K1743" s="29" t="str">
        <f>IF('Paste SD Data'!O1740="","",'Paste SD Data'!O1740)</f>
        <v/>
      </c>
    </row>
    <row r="1744" spans="1:11" ht="30" customHeight="1" x14ac:dyDescent="0.25">
      <c r="A1744" s="25" t="str">
        <f>IF(Table1[[#This Row],[Name of Student]]="","",ROWS($A$1:A1740))</f>
        <v/>
      </c>
      <c r="B1744" s="26" t="str">
        <f>IF('Paste SD Data'!A1741="","",'Paste SD Data'!A1741)</f>
        <v/>
      </c>
      <c r="C1744" s="26" t="str">
        <f>IF('Paste SD Data'!B1741="","",'Paste SD Data'!B1741)</f>
        <v/>
      </c>
      <c r="D1744" s="26" t="str">
        <f>IF('Paste SD Data'!C1741="","",'Paste SD Data'!C1741)</f>
        <v/>
      </c>
      <c r="E1744" s="27" t="str">
        <f>IF('Paste SD Data'!E1741="","",UPPER('Paste SD Data'!E1741))</f>
        <v/>
      </c>
      <c r="F1744" s="27" t="str">
        <f>IF('Paste SD Data'!G1741="","",UPPER('Paste SD Data'!G1741))</f>
        <v/>
      </c>
      <c r="G1744" s="27" t="str">
        <f>IF('Paste SD Data'!H1741="","",UPPER('Paste SD Data'!H1741))</f>
        <v/>
      </c>
      <c r="H1744" s="26" t="str">
        <f>IF('Paste SD Data'!I1741="","",IF('Paste SD Data'!I1741="M","BOY","GIRL"))</f>
        <v/>
      </c>
      <c r="I1744" s="28" t="str">
        <f>IF('Paste SD Data'!J1741="","",'Paste SD Data'!J1741)</f>
        <v/>
      </c>
      <c r="J1744" s="34">
        <f t="shared" si="27"/>
        <v>2170</v>
      </c>
      <c r="K1744" s="29" t="str">
        <f>IF('Paste SD Data'!O1741="","",'Paste SD Data'!O1741)</f>
        <v/>
      </c>
    </row>
    <row r="1745" spans="1:11" ht="30" customHeight="1" x14ac:dyDescent="0.25">
      <c r="A1745" s="25" t="str">
        <f>IF(Table1[[#This Row],[Name of Student]]="","",ROWS($A$1:A1741))</f>
        <v/>
      </c>
      <c r="B1745" s="26" t="str">
        <f>IF('Paste SD Data'!A1742="","",'Paste SD Data'!A1742)</f>
        <v/>
      </c>
      <c r="C1745" s="26" t="str">
        <f>IF('Paste SD Data'!B1742="","",'Paste SD Data'!B1742)</f>
        <v/>
      </c>
      <c r="D1745" s="26" t="str">
        <f>IF('Paste SD Data'!C1742="","",'Paste SD Data'!C1742)</f>
        <v/>
      </c>
      <c r="E1745" s="27" t="str">
        <f>IF('Paste SD Data'!E1742="","",UPPER('Paste SD Data'!E1742))</f>
        <v/>
      </c>
      <c r="F1745" s="27" t="str">
        <f>IF('Paste SD Data'!G1742="","",UPPER('Paste SD Data'!G1742))</f>
        <v/>
      </c>
      <c r="G1745" s="27" t="str">
        <f>IF('Paste SD Data'!H1742="","",UPPER('Paste SD Data'!H1742))</f>
        <v/>
      </c>
      <c r="H1745" s="26" t="str">
        <f>IF('Paste SD Data'!I1742="","",IF('Paste SD Data'!I1742="M","BOY","GIRL"))</f>
        <v/>
      </c>
      <c r="I1745" s="28" t="str">
        <f>IF('Paste SD Data'!J1742="","",'Paste SD Data'!J1742)</f>
        <v/>
      </c>
      <c r="J1745" s="34">
        <f t="shared" si="27"/>
        <v>2171</v>
      </c>
      <c r="K1745" s="29" t="str">
        <f>IF('Paste SD Data'!O1742="","",'Paste SD Data'!O1742)</f>
        <v/>
      </c>
    </row>
    <row r="1746" spans="1:11" ht="30" customHeight="1" x14ac:dyDescent="0.25">
      <c r="A1746" s="25" t="str">
        <f>IF(Table1[[#This Row],[Name of Student]]="","",ROWS($A$1:A1742))</f>
        <v/>
      </c>
      <c r="B1746" s="26" t="str">
        <f>IF('Paste SD Data'!A1743="","",'Paste SD Data'!A1743)</f>
        <v/>
      </c>
      <c r="C1746" s="26" t="str">
        <f>IF('Paste SD Data'!B1743="","",'Paste SD Data'!B1743)</f>
        <v/>
      </c>
      <c r="D1746" s="26" t="str">
        <f>IF('Paste SD Data'!C1743="","",'Paste SD Data'!C1743)</f>
        <v/>
      </c>
      <c r="E1746" s="27" t="str">
        <f>IF('Paste SD Data'!E1743="","",UPPER('Paste SD Data'!E1743))</f>
        <v/>
      </c>
      <c r="F1746" s="27" t="str">
        <f>IF('Paste SD Data'!G1743="","",UPPER('Paste SD Data'!G1743))</f>
        <v/>
      </c>
      <c r="G1746" s="27" t="str">
        <f>IF('Paste SD Data'!H1743="","",UPPER('Paste SD Data'!H1743))</f>
        <v/>
      </c>
      <c r="H1746" s="26" t="str">
        <f>IF('Paste SD Data'!I1743="","",IF('Paste SD Data'!I1743="M","BOY","GIRL"))</f>
        <v/>
      </c>
      <c r="I1746" s="28" t="str">
        <f>IF('Paste SD Data'!J1743="","",'Paste SD Data'!J1743)</f>
        <v/>
      </c>
      <c r="J1746" s="34">
        <f t="shared" si="27"/>
        <v>2172</v>
      </c>
      <c r="K1746" s="29" t="str">
        <f>IF('Paste SD Data'!O1743="","",'Paste SD Data'!O1743)</f>
        <v/>
      </c>
    </row>
    <row r="1747" spans="1:11" ht="30" customHeight="1" x14ac:dyDescent="0.25">
      <c r="A1747" s="25" t="str">
        <f>IF(Table1[[#This Row],[Name of Student]]="","",ROWS($A$1:A1743))</f>
        <v/>
      </c>
      <c r="B1747" s="26" t="str">
        <f>IF('Paste SD Data'!A1744="","",'Paste SD Data'!A1744)</f>
        <v/>
      </c>
      <c r="C1747" s="26" t="str">
        <f>IF('Paste SD Data'!B1744="","",'Paste SD Data'!B1744)</f>
        <v/>
      </c>
      <c r="D1747" s="26" t="str">
        <f>IF('Paste SD Data'!C1744="","",'Paste SD Data'!C1744)</f>
        <v/>
      </c>
      <c r="E1747" s="27" t="str">
        <f>IF('Paste SD Data'!E1744="","",UPPER('Paste SD Data'!E1744))</f>
        <v/>
      </c>
      <c r="F1747" s="27" t="str">
        <f>IF('Paste SD Data'!G1744="","",UPPER('Paste SD Data'!G1744))</f>
        <v/>
      </c>
      <c r="G1747" s="27" t="str">
        <f>IF('Paste SD Data'!H1744="","",UPPER('Paste SD Data'!H1744))</f>
        <v/>
      </c>
      <c r="H1747" s="26" t="str">
        <f>IF('Paste SD Data'!I1744="","",IF('Paste SD Data'!I1744="M","BOY","GIRL"))</f>
        <v/>
      </c>
      <c r="I1747" s="28" t="str">
        <f>IF('Paste SD Data'!J1744="","",'Paste SD Data'!J1744)</f>
        <v/>
      </c>
      <c r="J1747" s="34">
        <f t="shared" si="27"/>
        <v>2173</v>
      </c>
      <c r="K1747" s="29" t="str">
        <f>IF('Paste SD Data'!O1744="","",'Paste SD Data'!O1744)</f>
        <v/>
      </c>
    </row>
    <row r="1748" spans="1:11" ht="30" customHeight="1" x14ac:dyDescent="0.25">
      <c r="A1748" s="25" t="str">
        <f>IF(Table1[[#This Row],[Name of Student]]="","",ROWS($A$1:A1744))</f>
        <v/>
      </c>
      <c r="B1748" s="26" t="str">
        <f>IF('Paste SD Data'!A1745="","",'Paste SD Data'!A1745)</f>
        <v/>
      </c>
      <c r="C1748" s="26" t="str">
        <f>IF('Paste SD Data'!B1745="","",'Paste SD Data'!B1745)</f>
        <v/>
      </c>
      <c r="D1748" s="26" t="str">
        <f>IF('Paste SD Data'!C1745="","",'Paste SD Data'!C1745)</f>
        <v/>
      </c>
      <c r="E1748" s="27" t="str">
        <f>IF('Paste SD Data'!E1745="","",UPPER('Paste SD Data'!E1745))</f>
        <v/>
      </c>
      <c r="F1748" s="27" t="str">
        <f>IF('Paste SD Data'!G1745="","",UPPER('Paste SD Data'!G1745))</f>
        <v/>
      </c>
      <c r="G1748" s="27" t="str">
        <f>IF('Paste SD Data'!H1745="","",UPPER('Paste SD Data'!H1745))</f>
        <v/>
      </c>
      <c r="H1748" s="26" t="str">
        <f>IF('Paste SD Data'!I1745="","",IF('Paste SD Data'!I1745="M","BOY","GIRL"))</f>
        <v/>
      </c>
      <c r="I1748" s="28" t="str">
        <f>IF('Paste SD Data'!J1745="","",'Paste SD Data'!J1745)</f>
        <v/>
      </c>
      <c r="J1748" s="34">
        <f t="shared" si="27"/>
        <v>2174</v>
      </c>
      <c r="K1748" s="29" t="str">
        <f>IF('Paste SD Data'!O1745="","",'Paste SD Data'!O1745)</f>
        <v/>
      </c>
    </row>
    <row r="1749" spans="1:11" ht="30" customHeight="1" x14ac:dyDescent="0.25">
      <c r="A1749" s="25" t="str">
        <f>IF(Table1[[#This Row],[Name of Student]]="","",ROWS($A$1:A1745))</f>
        <v/>
      </c>
      <c r="B1749" s="26" t="str">
        <f>IF('Paste SD Data'!A1746="","",'Paste SD Data'!A1746)</f>
        <v/>
      </c>
      <c r="C1749" s="26" t="str">
        <f>IF('Paste SD Data'!B1746="","",'Paste SD Data'!B1746)</f>
        <v/>
      </c>
      <c r="D1749" s="26" t="str">
        <f>IF('Paste SD Data'!C1746="","",'Paste SD Data'!C1746)</f>
        <v/>
      </c>
      <c r="E1749" s="27" t="str">
        <f>IF('Paste SD Data'!E1746="","",UPPER('Paste SD Data'!E1746))</f>
        <v/>
      </c>
      <c r="F1749" s="27" t="str">
        <f>IF('Paste SD Data'!G1746="","",UPPER('Paste SD Data'!G1746))</f>
        <v/>
      </c>
      <c r="G1749" s="27" t="str">
        <f>IF('Paste SD Data'!H1746="","",UPPER('Paste SD Data'!H1746))</f>
        <v/>
      </c>
      <c r="H1749" s="26" t="str">
        <f>IF('Paste SD Data'!I1746="","",IF('Paste SD Data'!I1746="M","BOY","GIRL"))</f>
        <v/>
      </c>
      <c r="I1749" s="28" t="str">
        <f>IF('Paste SD Data'!J1746="","",'Paste SD Data'!J1746)</f>
        <v/>
      </c>
      <c r="J1749" s="34">
        <f t="shared" si="27"/>
        <v>2175</v>
      </c>
      <c r="K1749" s="29" t="str">
        <f>IF('Paste SD Data'!O1746="","",'Paste SD Data'!O1746)</f>
        <v/>
      </c>
    </row>
    <row r="1750" spans="1:11" ht="30" customHeight="1" x14ac:dyDescent="0.25">
      <c r="A1750" s="25" t="str">
        <f>IF(Table1[[#This Row],[Name of Student]]="","",ROWS($A$1:A1746))</f>
        <v/>
      </c>
      <c r="B1750" s="26" t="str">
        <f>IF('Paste SD Data'!A1747="","",'Paste SD Data'!A1747)</f>
        <v/>
      </c>
      <c r="C1750" s="26" t="str">
        <f>IF('Paste SD Data'!B1747="","",'Paste SD Data'!B1747)</f>
        <v/>
      </c>
      <c r="D1750" s="26" t="str">
        <f>IF('Paste SD Data'!C1747="","",'Paste SD Data'!C1747)</f>
        <v/>
      </c>
      <c r="E1750" s="27" t="str">
        <f>IF('Paste SD Data'!E1747="","",UPPER('Paste SD Data'!E1747))</f>
        <v/>
      </c>
      <c r="F1750" s="27" t="str">
        <f>IF('Paste SD Data'!G1747="","",UPPER('Paste SD Data'!G1747))</f>
        <v/>
      </c>
      <c r="G1750" s="27" t="str">
        <f>IF('Paste SD Data'!H1747="","",UPPER('Paste SD Data'!H1747))</f>
        <v/>
      </c>
      <c r="H1750" s="26" t="str">
        <f>IF('Paste SD Data'!I1747="","",IF('Paste SD Data'!I1747="M","BOY","GIRL"))</f>
        <v/>
      </c>
      <c r="I1750" s="28" t="str">
        <f>IF('Paste SD Data'!J1747="","",'Paste SD Data'!J1747)</f>
        <v/>
      </c>
      <c r="J1750" s="34">
        <f t="shared" si="27"/>
        <v>2176</v>
      </c>
      <c r="K1750" s="29" t="str">
        <f>IF('Paste SD Data'!O1747="","",'Paste SD Data'!O1747)</f>
        <v/>
      </c>
    </row>
    <row r="1751" spans="1:11" ht="30" customHeight="1" x14ac:dyDescent="0.25">
      <c r="A1751" s="25" t="str">
        <f>IF(Table1[[#This Row],[Name of Student]]="","",ROWS($A$1:A1747))</f>
        <v/>
      </c>
      <c r="B1751" s="26" t="str">
        <f>IF('Paste SD Data'!A1748="","",'Paste SD Data'!A1748)</f>
        <v/>
      </c>
      <c r="C1751" s="26" t="str">
        <f>IF('Paste SD Data'!B1748="","",'Paste SD Data'!B1748)</f>
        <v/>
      </c>
      <c r="D1751" s="26" t="str">
        <f>IF('Paste SD Data'!C1748="","",'Paste SD Data'!C1748)</f>
        <v/>
      </c>
      <c r="E1751" s="27" t="str">
        <f>IF('Paste SD Data'!E1748="","",UPPER('Paste SD Data'!E1748))</f>
        <v/>
      </c>
      <c r="F1751" s="27" t="str">
        <f>IF('Paste SD Data'!G1748="","",UPPER('Paste SD Data'!G1748))</f>
        <v/>
      </c>
      <c r="G1751" s="27" t="str">
        <f>IF('Paste SD Data'!H1748="","",UPPER('Paste SD Data'!H1748))</f>
        <v/>
      </c>
      <c r="H1751" s="26" t="str">
        <f>IF('Paste SD Data'!I1748="","",IF('Paste SD Data'!I1748="M","BOY","GIRL"))</f>
        <v/>
      </c>
      <c r="I1751" s="28" t="str">
        <f>IF('Paste SD Data'!J1748="","",'Paste SD Data'!J1748)</f>
        <v/>
      </c>
      <c r="J1751" s="34">
        <f t="shared" si="27"/>
        <v>2177</v>
      </c>
      <c r="K1751" s="29" t="str">
        <f>IF('Paste SD Data'!O1748="","",'Paste SD Data'!O1748)</f>
        <v/>
      </c>
    </row>
    <row r="1752" spans="1:11" ht="30" customHeight="1" x14ac:dyDescent="0.25">
      <c r="A1752" s="25" t="str">
        <f>IF(Table1[[#This Row],[Name of Student]]="","",ROWS($A$1:A1748))</f>
        <v/>
      </c>
      <c r="B1752" s="26" t="str">
        <f>IF('Paste SD Data'!A1749="","",'Paste SD Data'!A1749)</f>
        <v/>
      </c>
      <c r="C1752" s="26" t="str">
        <f>IF('Paste SD Data'!B1749="","",'Paste SD Data'!B1749)</f>
        <v/>
      </c>
      <c r="D1752" s="26" t="str">
        <f>IF('Paste SD Data'!C1749="","",'Paste SD Data'!C1749)</f>
        <v/>
      </c>
      <c r="E1752" s="27" t="str">
        <f>IF('Paste SD Data'!E1749="","",UPPER('Paste SD Data'!E1749))</f>
        <v/>
      </c>
      <c r="F1752" s="27" t="str">
        <f>IF('Paste SD Data'!G1749="","",UPPER('Paste SD Data'!G1749))</f>
        <v/>
      </c>
      <c r="G1752" s="27" t="str">
        <f>IF('Paste SD Data'!H1749="","",UPPER('Paste SD Data'!H1749))</f>
        <v/>
      </c>
      <c r="H1752" s="26" t="str">
        <f>IF('Paste SD Data'!I1749="","",IF('Paste SD Data'!I1749="M","BOY","GIRL"))</f>
        <v/>
      </c>
      <c r="I1752" s="28" t="str">
        <f>IF('Paste SD Data'!J1749="","",'Paste SD Data'!J1749)</f>
        <v/>
      </c>
      <c r="J1752" s="34">
        <f t="shared" si="27"/>
        <v>2178</v>
      </c>
      <c r="K1752" s="29" t="str">
        <f>IF('Paste SD Data'!O1749="","",'Paste SD Data'!O1749)</f>
        <v/>
      </c>
    </row>
    <row r="1753" spans="1:11" ht="30" customHeight="1" x14ac:dyDescent="0.25">
      <c r="A1753" s="25" t="str">
        <f>IF(Table1[[#This Row],[Name of Student]]="","",ROWS($A$1:A1749))</f>
        <v/>
      </c>
      <c r="B1753" s="26" t="str">
        <f>IF('Paste SD Data'!A1750="","",'Paste SD Data'!A1750)</f>
        <v/>
      </c>
      <c r="C1753" s="26" t="str">
        <f>IF('Paste SD Data'!B1750="","",'Paste SD Data'!B1750)</f>
        <v/>
      </c>
      <c r="D1753" s="26" t="str">
        <f>IF('Paste SD Data'!C1750="","",'Paste SD Data'!C1750)</f>
        <v/>
      </c>
      <c r="E1753" s="27" t="str">
        <f>IF('Paste SD Data'!E1750="","",UPPER('Paste SD Data'!E1750))</f>
        <v/>
      </c>
      <c r="F1753" s="27" t="str">
        <f>IF('Paste SD Data'!G1750="","",UPPER('Paste SD Data'!G1750))</f>
        <v/>
      </c>
      <c r="G1753" s="27" t="str">
        <f>IF('Paste SD Data'!H1750="","",UPPER('Paste SD Data'!H1750))</f>
        <v/>
      </c>
      <c r="H1753" s="26" t="str">
        <f>IF('Paste SD Data'!I1750="","",IF('Paste SD Data'!I1750="M","BOY","GIRL"))</f>
        <v/>
      </c>
      <c r="I1753" s="28" t="str">
        <f>IF('Paste SD Data'!J1750="","",'Paste SD Data'!J1750)</f>
        <v/>
      </c>
      <c r="J1753" s="34">
        <f t="shared" si="27"/>
        <v>2179</v>
      </c>
      <c r="K1753" s="29" t="str">
        <f>IF('Paste SD Data'!O1750="","",'Paste SD Data'!O1750)</f>
        <v/>
      </c>
    </row>
    <row r="1754" spans="1:11" ht="30" customHeight="1" x14ac:dyDescent="0.25">
      <c r="A1754" s="25" t="str">
        <f>IF(Table1[[#This Row],[Name of Student]]="","",ROWS($A$1:A1750))</f>
        <v/>
      </c>
      <c r="B1754" s="26" t="str">
        <f>IF('Paste SD Data'!A1751="","",'Paste SD Data'!A1751)</f>
        <v/>
      </c>
      <c r="C1754" s="26" t="str">
        <f>IF('Paste SD Data'!B1751="","",'Paste SD Data'!B1751)</f>
        <v/>
      </c>
      <c r="D1754" s="26" t="str">
        <f>IF('Paste SD Data'!C1751="","",'Paste SD Data'!C1751)</f>
        <v/>
      </c>
      <c r="E1754" s="27" t="str">
        <f>IF('Paste SD Data'!E1751="","",UPPER('Paste SD Data'!E1751))</f>
        <v/>
      </c>
      <c r="F1754" s="27" t="str">
        <f>IF('Paste SD Data'!G1751="","",UPPER('Paste SD Data'!G1751))</f>
        <v/>
      </c>
      <c r="G1754" s="27" t="str">
        <f>IF('Paste SD Data'!H1751="","",UPPER('Paste SD Data'!H1751))</f>
        <v/>
      </c>
      <c r="H1754" s="26" t="str">
        <f>IF('Paste SD Data'!I1751="","",IF('Paste SD Data'!I1751="M","BOY","GIRL"))</f>
        <v/>
      </c>
      <c r="I1754" s="28" t="str">
        <f>IF('Paste SD Data'!J1751="","",'Paste SD Data'!J1751)</f>
        <v/>
      </c>
      <c r="J1754" s="34">
        <f t="shared" si="27"/>
        <v>2180</v>
      </c>
      <c r="K1754" s="29" t="str">
        <f>IF('Paste SD Data'!O1751="","",'Paste SD Data'!O1751)</f>
        <v/>
      </c>
    </row>
    <row r="1755" spans="1:11" ht="30" customHeight="1" x14ac:dyDescent="0.25">
      <c r="A1755" s="25" t="str">
        <f>IF(Table1[[#This Row],[Name of Student]]="","",ROWS($A$1:A1751))</f>
        <v/>
      </c>
      <c r="B1755" s="26" t="str">
        <f>IF('Paste SD Data'!A1752="","",'Paste SD Data'!A1752)</f>
        <v/>
      </c>
      <c r="C1755" s="26" t="str">
        <f>IF('Paste SD Data'!B1752="","",'Paste SD Data'!B1752)</f>
        <v/>
      </c>
      <c r="D1755" s="26" t="str">
        <f>IF('Paste SD Data'!C1752="","",'Paste SD Data'!C1752)</f>
        <v/>
      </c>
      <c r="E1755" s="27" t="str">
        <f>IF('Paste SD Data'!E1752="","",UPPER('Paste SD Data'!E1752))</f>
        <v/>
      </c>
      <c r="F1755" s="27" t="str">
        <f>IF('Paste SD Data'!G1752="","",UPPER('Paste SD Data'!G1752))</f>
        <v/>
      </c>
      <c r="G1755" s="27" t="str">
        <f>IF('Paste SD Data'!H1752="","",UPPER('Paste SD Data'!H1752))</f>
        <v/>
      </c>
      <c r="H1755" s="26" t="str">
        <f>IF('Paste SD Data'!I1752="","",IF('Paste SD Data'!I1752="M","BOY","GIRL"))</f>
        <v/>
      </c>
      <c r="I1755" s="28" t="str">
        <f>IF('Paste SD Data'!J1752="","",'Paste SD Data'!J1752)</f>
        <v/>
      </c>
      <c r="J1755" s="34">
        <f t="shared" si="27"/>
        <v>2181</v>
      </c>
      <c r="K1755" s="29" t="str">
        <f>IF('Paste SD Data'!O1752="","",'Paste SD Data'!O1752)</f>
        <v/>
      </c>
    </row>
    <row r="1756" spans="1:11" ht="30" customHeight="1" x14ac:dyDescent="0.25">
      <c r="A1756" s="25" t="str">
        <f>IF(Table1[[#This Row],[Name of Student]]="","",ROWS($A$1:A1752))</f>
        <v/>
      </c>
      <c r="B1756" s="26" t="str">
        <f>IF('Paste SD Data'!A1753="","",'Paste SD Data'!A1753)</f>
        <v/>
      </c>
      <c r="C1756" s="26" t="str">
        <f>IF('Paste SD Data'!B1753="","",'Paste SD Data'!B1753)</f>
        <v/>
      </c>
      <c r="D1756" s="26" t="str">
        <f>IF('Paste SD Data'!C1753="","",'Paste SD Data'!C1753)</f>
        <v/>
      </c>
      <c r="E1756" s="27" t="str">
        <f>IF('Paste SD Data'!E1753="","",UPPER('Paste SD Data'!E1753))</f>
        <v/>
      </c>
      <c r="F1756" s="27" t="str">
        <f>IF('Paste SD Data'!G1753="","",UPPER('Paste SD Data'!G1753))</f>
        <v/>
      </c>
      <c r="G1756" s="27" t="str">
        <f>IF('Paste SD Data'!H1753="","",UPPER('Paste SD Data'!H1753))</f>
        <v/>
      </c>
      <c r="H1756" s="26" t="str">
        <f>IF('Paste SD Data'!I1753="","",IF('Paste SD Data'!I1753="M","BOY","GIRL"))</f>
        <v/>
      </c>
      <c r="I1756" s="28" t="str">
        <f>IF('Paste SD Data'!J1753="","",'Paste SD Data'!J1753)</f>
        <v/>
      </c>
      <c r="J1756" s="34">
        <f t="shared" si="27"/>
        <v>2182</v>
      </c>
      <c r="K1756" s="29" t="str">
        <f>IF('Paste SD Data'!O1753="","",'Paste SD Data'!O1753)</f>
        <v/>
      </c>
    </row>
    <row r="1757" spans="1:11" ht="30" customHeight="1" x14ac:dyDescent="0.25">
      <c r="A1757" s="25" t="str">
        <f>IF(Table1[[#This Row],[Name of Student]]="","",ROWS($A$1:A1753))</f>
        <v/>
      </c>
      <c r="B1757" s="26" t="str">
        <f>IF('Paste SD Data'!A1754="","",'Paste SD Data'!A1754)</f>
        <v/>
      </c>
      <c r="C1757" s="26" t="str">
        <f>IF('Paste SD Data'!B1754="","",'Paste SD Data'!B1754)</f>
        <v/>
      </c>
      <c r="D1757" s="26" t="str">
        <f>IF('Paste SD Data'!C1754="","",'Paste SD Data'!C1754)</f>
        <v/>
      </c>
      <c r="E1757" s="27" t="str">
        <f>IF('Paste SD Data'!E1754="","",UPPER('Paste SD Data'!E1754))</f>
        <v/>
      </c>
      <c r="F1757" s="27" t="str">
        <f>IF('Paste SD Data'!G1754="","",UPPER('Paste SD Data'!G1754))</f>
        <v/>
      </c>
      <c r="G1757" s="27" t="str">
        <f>IF('Paste SD Data'!H1754="","",UPPER('Paste SD Data'!H1754))</f>
        <v/>
      </c>
      <c r="H1757" s="26" t="str">
        <f>IF('Paste SD Data'!I1754="","",IF('Paste SD Data'!I1754="M","BOY","GIRL"))</f>
        <v/>
      </c>
      <c r="I1757" s="28" t="str">
        <f>IF('Paste SD Data'!J1754="","",'Paste SD Data'!J1754)</f>
        <v/>
      </c>
      <c r="J1757" s="34">
        <f t="shared" si="27"/>
        <v>2183</v>
      </c>
      <c r="K1757" s="29" t="str">
        <f>IF('Paste SD Data'!O1754="","",'Paste SD Data'!O1754)</f>
        <v/>
      </c>
    </row>
    <row r="1758" spans="1:11" ht="30" customHeight="1" x14ac:dyDescent="0.25">
      <c r="A1758" s="25" t="str">
        <f>IF(Table1[[#This Row],[Name of Student]]="","",ROWS($A$1:A1754))</f>
        <v/>
      </c>
      <c r="B1758" s="26" t="str">
        <f>IF('Paste SD Data'!A1755="","",'Paste SD Data'!A1755)</f>
        <v/>
      </c>
      <c r="C1758" s="26" t="str">
        <f>IF('Paste SD Data'!B1755="","",'Paste SD Data'!B1755)</f>
        <v/>
      </c>
      <c r="D1758" s="26" t="str">
        <f>IF('Paste SD Data'!C1755="","",'Paste SD Data'!C1755)</f>
        <v/>
      </c>
      <c r="E1758" s="27" t="str">
        <f>IF('Paste SD Data'!E1755="","",UPPER('Paste SD Data'!E1755))</f>
        <v/>
      </c>
      <c r="F1758" s="27" t="str">
        <f>IF('Paste SD Data'!G1755="","",UPPER('Paste SD Data'!G1755))</f>
        <v/>
      </c>
      <c r="G1758" s="27" t="str">
        <f>IF('Paste SD Data'!H1755="","",UPPER('Paste SD Data'!H1755))</f>
        <v/>
      </c>
      <c r="H1758" s="26" t="str">
        <f>IF('Paste SD Data'!I1755="","",IF('Paste SD Data'!I1755="M","BOY","GIRL"))</f>
        <v/>
      </c>
      <c r="I1758" s="28" t="str">
        <f>IF('Paste SD Data'!J1755="","",'Paste SD Data'!J1755)</f>
        <v/>
      </c>
      <c r="J1758" s="34">
        <f t="shared" si="27"/>
        <v>2184</v>
      </c>
      <c r="K1758" s="29" t="str">
        <f>IF('Paste SD Data'!O1755="","",'Paste SD Data'!O1755)</f>
        <v/>
      </c>
    </row>
    <row r="1759" spans="1:11" ht="30" customHeight="1" x14ac:dyDescent="0.25">
      <c r="A1759" s="25" t="str">
        <f>IF(Table1[[#This Row],[Name of Student]]="","",ROWS($A$1:A1755))</f>
        <v/>
      </c>
      <c r="B1759" s="26" t="str">
        <f>IF('Paste SD Data'!A1756="","",'Paste SD Data'!A1756)</f>
        <v/>
      </c>
      <c r="C1759" s="26" t="str">
        <f>IF('Paste SD Data'!B1756="","",'Paste SD Data'!B1756)</f>
        <v/>
      </c>
      <c r="D1759" s="26" t="str">
        <f>IF('Paste SD Data'!C1756="","",'Paste SD Data'!C1756)</f>
        <v/>
      </c>
      <c r="E1759" s="27" t="str">
        <f>IF('Paste SD Data'!E1756="","",UPPER('Paste SD Data'!E1756))</f>
        <v/>
      </c>
      <c r="F1759" s="27" t="str">
        <f>IF('Paste SD Data'!G1756="","",UPPER('Paste SD Data'!G1756))</f>
        <v/>
      </c>
      <c r="G1759" s="27" t="str">
        <f>IF('Paste SD Data'!H1756="","",UPPER('Paste SD Data'!H1756))</f>
        <v/>
      </c>
      <c r="H1759" s="26" t="str">
        <f>IF('Paste SD Data'!I1756="","",IF('Paste SD Data'!I1756="M","BOY","GIRL"))</f>
        <v/>
      </c>
      <c r="I1759" s="28" t="str">
        <f>IF('Paste SD Data'!J1756="","",'Paste SD Data'!J1756)</f>
        <v/>
      </c>
      <c r="J1759" s="34">
        <f t="shared" si="27"/>
        <v>2185</v>
      </c>
      <c r="K1759" s="29" t="str">
        <f>IF('Paste SD Data'!O1756="","",'Paste SD Data'!O1756)</f>
        <v/>
      </c>
    </row>
    <row r="1760" spans="1:11" ht="30" customHeight="1" x14ac:dyDescent="0.25">
      <c r="A1760" s="25" t="str">
        <f>IF(Table1[[#This Row],[Name of Student]]="","",ROWS($A$1:A1756))</f>
        <v/>
      </c>
      <c r="B1760" s="26" t="str">
        <f>IF('Paste SD Data'!A1757="","",'Paste SD Data'!A1757)</f>
        <v/>
      </c>
      <c r="C1760" s="26" t="str">
        <f>IF('Paste SD Data'!B1757="","",'Paste SD Data'!B1757)</f>
        <v/>
      </c>
      <c r="D1760" s="26" t="str">
        <f>IF('Paste SD Data'!C1757="","",'Paste SD Data'!C1757)</f>
        <v/>
      </c>
      <c r="E1760" s="27" t="str">
        <f>IF('Paste SD Data'!E1757="","",UPPER('Paste SD Data'!E1757))</f>
        <v/>
      </c>
      <c r="F1760" s="27" t="str">
        <f>IF('Paste SD Data'!G1757="","",UPPER('Paste SD Data'!G1757))</f>
        <v/>
      </c>
      <c r="G1760" s="27" t="str">
        <f>IF('Paste SD Data'!H1757="","",UPPER('Paste SD Data'!H1757))</f>
        <v/>
      </c>
      <c r="H1760" s="26" t="str">
        <f>IF('Paste SD Data'!I1757="","",IF('Paste SD Data'!I1757="M","BOY","GIRL"))</f>
        <v/>
      </c>
      <c r="I1760" s="28" t="str">
        <f>IF('Paste SD Data'!J1757="","",'Paste SD Data'!J1757)</f>
        <v/>
      </c>
      <c r="J1760" s="34">
        <f t="shared" si="27"/>
        <v>2186</v>
      </c>
      <c r="K1760" s="29" t="str">
        <f>IF('Paste SD Data'!O1757="","",'Paste SD Data'!O1757)</f>
        <v/>
      </c>
    </row>
    <row r="1761" spans="1:11" ht="30" customHeight="1" x14ac:dyDescent="0.25">
      <c r="A1761" s="25" t="str">
        <f>IF(Table1[[#This Row],[Name of Student]]="","",ROWS($A$1:A1757))</f>
        <v/>
      </c>
      <c r="B1761" s="26" t="str">
        <f>IF('Paste SD Data'!A1758="","",'Paste SD Data'!A1758)</f>
        <v/>
      </c>
      <c r="C1761" s="26" t="str">
        <f>IF('Paste SD Data'!B1758="","",'Paste SD Data'!B1758)</f>
        <v/>
      </c>
      <c r="D1761" s="26" t="str">
        <f>IF('Paste SD Data'!C1758="","",'Paste SD Data'!C1758)</f>
        <v/>
      </c>
      <c r="E1761" s="27" t="str">
        <f>IF('Paste SD Data'!E1758="","",UPPER('Paste SD Data'!E1758))</f>
        <v/>
      </c>
      <c r="F1761" s="27" t="str">
        <f>IF('Paste SD Data'!G1758="","",UPPER('Paste SD Data'!G1758))</f>
        <v/>
      </c>
      <c r="G1761" s="27" t="str">
        <f>IF('Paste SD Data'!H1758="","",UPPER('Paste SD Data'!H1758))</f>
        <v/>
      </c>
      <c r="H1761" s="26" t="str">
        <f>IF('Paste SD Data'!I1758="","",IF('Paste SD Data'!I1758="M","BOY","GIRL"))</f>
        <v/>
      </c>
      <c r="I1761" s="28" t="str">
        <f>IF('Paste SD Data'!J1758="","",'Paste SD Data'!J1758)</f>
        <v/>
      </c>
      <c r="J1761" s="34">
        <f t="shared" si="27"/>
        <v>2187</v>
      </c>
      <c r="K1761" s="29" t="str">
        <f>IF('Paste SD Data'!O1758="","",'Paste SD Data'!O1758)</f>
        <v/>
      </c>
    </row>
    <row r="1762" spans="1:11" ht="30" customHeight="1" x14ac:dyDescent="0.25">
      <c r="A1762" s="25" t="str">
        <f>IF(Table1[[#This Row],[Name of Student]]="","",ROWS($A$1:A1758))</f>
        <v/>
      </c>
      <c r="B1762" s="26" t="str">
        <f>IF('Paste SD Data'!A1759="","",'Paste SD Data'!A1759)</f>
        <v/>
      </c>
      <c r="C1762" s="26" t="str">
        <f>IF('Paste SD Data'!B1759="","",'Paste SD Data'!B1759)</f>
        <v/>
      </c>
      <c r="D1762" s="26" t="str">
        <f>IF('Paste SD Data'!C1759="","",'Paste SD Data'!C1759)</f>
        <v/>
      </c>
      <c r="E1762" s="27" t="str">
        <f>IF('Paste SD Data'!E1759="","",UPPER('Paste SD Data'!E1759))</f>
        <v/>
      </c>
      <c r="F1762" s="27" t="str">
        <f>IF('Paste SD Data'!G1759="","",UPPER('Paste SD Data'!G1759))</f>
        <v/>
      </c>
      <c r="G1762" s="27" t="str">
        <f>IF('Paste SD Data'!H1759="","",UPPER('Paste SD Data'!H1759))</f>
        <v/>
      </c>
      <c r="H1762" s="26" t="str">
        <f>IF('Paste SD Data'!I1759="","",IF('Paste SD Data'!I1759="M","BOY","GIRL"))</f>
        <v/>
      </c>
      <c r="I1762" s="28" t="str">
        <f>IF('Paste SD Data'!J1759="","",'Paste SD Data'!J1759)</f>
        <v/>
      </c>
      <c r="J1762" s="34">
        <f t="shared" si="27"/>
        <v>2188</v>
      </c>
      <c r="K1762" s="29" t="str">
        <f>IF('Paste SD Data'!O1759="","",'Paste SD Data'!O1759)</f>
        <v/>
      </c>
    </row>
    <row r="1763" spans="1:11" ht="30" customHeight="1" x14ac:dyDescent="0.25">
      <c r="A1763" s="25" t="str">
        <f>IF(Table1[[#This Row],[Name of Student]]="","",ROWS($A$1:A1759))</f>
        <v/>
      </c>
      <c r="B1763" s="26" t="str">
        <f>IF('Paste SD Data'!A1760="","",'Paste SD Data'!A1760)</f>
        <v/>
      </c>
      <c r="C1763" s="26" t="str">
        <f>IF('Paste SD Data'!B1760="","",'Paste SD Data'!B1760)</f>
        <v/>
      </c>
      <c r="D1763" s="26" t="str">
        <f>IF('Paste SD Data'!C1760="","",'Paste SD Data'!C1760)</f>
        <v/>
      </c>
      <c r="E1763" s="27" t="str">
        <f>IF('Paste SD Data'!E1760="","",UPPER('Paste SD Data'!E1760))</f>
        <v/>
      </c>
      <c r="F1763" s="27" t="str">
        <f>IF('Paste SD Data'!G1760="","",UPPER('Paste SD Data'!G1760))</f>
        <v/>
      </c>
      <c r="G1763" s="27" t="str">
        <f>IF('Paste SD Data'!H1760="","",UPPER('Paste SD Data'!H1760))</f>
        <v/>
      </c>
      <c r="H1763" s="26" t="str">
        <f>IF('Paste SD Data'!I1760="","",IF('Paste SD Data'!I1760="M","BOY","GIRL"))</f>
        <v/>
      </c>
      <c r="I1763" s="28" t="str">
        <f>IF('Paste SD Data'!J1760="","",'Paste SD Data'!J1760)</f>
        <v/>
      </c>
      <c r="J1763" s="34">
        <f t="shared" si="27"/>
        <v>2189</v>
      </c>
      <c r="K1763" s="29" t="str">
        <f>IF('Paste SD Data'!O1760="","",'Paste SD Data'!O1760)</f>
        <v/>
      </c>
    </row>
    <row r="1764" spans="1:11" ht="30" customHeight="1" x14ac:dyDescent="0.25">
      <c r="A1764" s="25" t="str">
        <f>IF(Table1[[#This Row],[Name of Student]]="","",ROWS($A$1:A1760))</f>
        <v/>
      </c>
      <c r="B1764" s="26" t="str">
        <f>IF('Paste SD Data'!A1761="","",'Paste SD Data'!A1761)</f>
        <v/>
      </c>
      <c r="C1764" s="26" t="str">
        <f>IF('Paste SD Data'!B1761="","",'Paste SD Data'!B1761)</f>
        <v/>
      </c>
      <c r="D1764" s="26" t="str">
        <f>IF('Paste SD Data'!C1761="","",'Paste SD Data'!C1761)</f>
        <v/>
      </c>
      <c r="E1764" s="27" t="str">
        <f>IF('Paste SD Data'!E1761="","",UPPER('Paste SD Data'!E1761))</f>
        <v/>
      </c>
      <c r="F1764" s="27" t="str">
        <f>IF('Paste SD Data'!G1761="","",UPPER('Paste SD Data'!G1761))</f>
        <v/>
      </c>
      <c r="G1764" s="27" t="str">
        <f>IF('Paste SD Data'!H1761="","",UPPER('Paste SD Data'!H1761))</f>
        <v/>
      </c>
      <c r="H1764" s="26" t="str">
        <f>IF('Paste SD Data'!I1761="","",IF('Paste SD Data'!I1761="M","BOY","GIRL"))</f>
        <v/>
      </c>
      <c r="I1764" s="28" t="str">
        <f>IF('Paste SD Data'!J1761="","",'Paste SD Data'!J1761)</f>
        <v/>
      </c>
      <c r="J1764" s="34">
        <f t="shared" si="27"/>
        <v>2190</v>
      </c>
      <c r="K1764" s="29" t="str">
        <f>IF('Paste SD Data'!O1761="","",'Paste SD Data'!O1761)</f>
        <v/>
      </c>
    </row>
    <row r="1765" spans="1:11" ht="30" customHeight="1" x14ac:dyDescent="0.25">
      <c r="A1765" s="25" t="str">
        <f>IF(Table1[[#This Row],[Name of Student]]="","",ROWS($A$1:A1761))</f>
        <v/>
      </c>
      <c r="B1765" s="26" t="str">
        <f>IF('Paste SD Data'!A1762="","",'Paste SD Data'!A1762)</f>
        <v/>
      </c>
      <c r="C1765" s="26" t="str">
        <f>IF('Paste SD Data'!B1762="","",'Paste SD Data'!B1762)</f>
        <v/>
      </c>
      <c r="D1765" s="26" t="str">
        <f>IF('Paste SD Data'!C1762="","",'Paste SD Data'!C1762)</f>
        <v/>
      </c>
      <c r="E1765" s="27" t="str">
        <f>IF('Paste SD Data'!E1762="","",UPPER('Paste SD Data'!E1762))</f>
        <v/>
      </c>
      <c r="F1765" s="27" t="str">
        <f>IF('Paste SD Data'!G1762="","",UPPER('Paste SD Data'!G1762))</f>
        <v/>
      </c>
      <c r="G1765" s="27" t="str">
        <f>IF('Paste SD Data'!H1762="","",UPPER('Paste SD Data'!H1762))</f>
        <v/>
      </c>
      <c r="H1765" s="26" t="str">
        <f>IF('Paste SD Data'!I1762="","",IF('Paste SD Data'!I1762="M","BOY","GIRL"))</f>
        <v/>
      </c>
      <c r="I1765" s="28" t="str">
        <f>IF('Paste SD Data'!J1762="","",'Paste SD Data'!J1762)</f>
        <v/>
      </c>
      <c r="J1765" s="34">
        <f t="shared" si="27"/>
        <v>2191</v>
      </c>
      <c r="K1765" s="29" t="str">
        <f>IF('Paste SD Data'!O1762="","",'Paste SD Data'!O1762)</f>
        <v/>
      </c>
    </row>
    <row r="1766" spans="1:11" ht="30" customHeight="1" x14ac:dyDescent="0.25">
      <c r="A1766" s="25" t="str">
        <f>IF(Table1[[#This Row],[Name of Student]]="","",ROWS($A$1:A1762))</f>
        <v/>
      </c>
      <c r="B1766" s="26" t="str">
        <f>IF('Paste SD Data'!A1763="","",'Paste SD Data'!A1763)</f>
        <v/>
      </c>
      <c r="C1766" s="26" t="str">
        <f>IF('Paste SD Data'!B1763="","",'Paste SD Data'!B1763)</f>
        <v/>
      </c>
      <c r="D1766" s="26" t="str">
        <f>IF('Paste SD Data'!C1763="","",'Paste SD Data'!C1763)</f>
        <v/>
      </c>
      <c r="E1766" s="27" t="str">
        <f>IF('Paste SD Data'!E1763="","",UPPER('Paste SD Data'!E1763))</f>
        <v/>
      </c>
      <c r="F1766" s="27" t="str">
        <f>IF('Paste SD Data'!G1763="","",UPPER('Paste SD Data'!G1763))</f>
        <v/>
      </c>
      <c r="G1766" s="27" t="str">
        <f>IF('Paste SD Data'!H1763="","",UPPER('Paste SD Data'!H1763))</f>
        <v/>
      </c>
      <c r="H1766" s="26" t="str">
        <f>IF('Paste SD Data'!I1763="","",IF('Paste SD Data'!I1763="M","BOY","GIRL"))</f>
        <v/>
      </c>
      <c r="I1766" s="28" t="str">
        <f>IF('Paste SD Data'!J1763="","",'Paste SD Data'!J1763)</f>
        <v/>
      </c>
      <c r="J1766" s="34">
        <f t="shared" si="27"/>
        <v>2192</v>
      </c>
      <c r="K1766" s="29" t="str">
        <f>IF('Paste SD Data'!O1763="","",'Paste SD Data'!O1763)</f>
        <v/>
      </c>
    </row>
    <row r="1767" spans="1:11" ht="30" customHeight="1" x14ac:dyDescent="0.25">
      <c r="A1767" s="25" t="str">
        <f>IF(Table1[[#This Row],[Name of Student]]="","",ROWS($A$1:A1763))</f>
        <v/>
      </c>
      <c r="B1767" s="26" t="str">
        <f>IF('Paste SD Data'!A1764="","",'Paste SD Data'!A1764)</f>
        <v/>
      </c>
      <c r="C1767" s="26" t="str">
        <f>IF('Paste SD Data'!B1764="","",'Paste SD Data'!B1764)</f>
        <v/>
      </c>
      <c r="D1767" s="26" t="str">
        <f>IF('Paste SD Data'!C1764="","",'Paste SD Data'!C1764)</f>
        <v/>
      </c>
      <c r="E1767" s="27" t="str">
        <f>IF('Paste SD Data'!E1764="","",UPPER('Paste SD Data'!E1764))</f>
        <v/>
      </c>
      <c r="F1767" s="27" t="str">
        <f>IF('Paste SD Data'!G1764="","",UPPER('Paste SD Data'!G1764))</f>
        <v/>
      </c>
      <c r="G1767" s="27" t="str">
        <f>IF('Paste SD Data'!H1764="","",UPPER('Paste SD Data'!H1764))</f>
        <v/>
      </c>
      <c r="H1767" s="26" t="str">
        <f>IF('Paste SD Data'!I1764="","",IF('Paste SD Data'!I1764="M","BOY","GIRL"))</f>
        <v/>
      </c>
      <c r="I1767" s="28" t="str">
        <f>IF('Paste SD Data'!J1764="","",'Paste SD Data'!J1764)</f>
        <v/>
      </c>
      <c r="J1767" s="34">
        <f t="shared" si="27"/>
        <v>2193</v>
      </c>
      <c r="K1767" s="29" t="str">
        <f>IF('Paste SD Data'!O1764="","",'Paste SD Data'!O1764)</f>
        <v/>
      </c>
    </row>
    <row r="1768" spans="1:11" ht="30" customHeight="1" x14ac:dyDescent="0.25">
      <c r="A1768" s="25" t="str">
        <f>IF(Table1[[#This Row],[Name of Student]]="","",ROWS($A$1:A1764))</f>
        <v/>
      </c>
      <c r="B1768" s="26" t="str">
        <f>IF('Paste SD Data'!A1765="","",'Paste SD Data'!A1765)</f>
        <v/>
      </c>
      <c r="C1768" s="26" t="str">
        <f>IF('Paste SD Data'!B1765="","",'Paste SD Data'!B1765)</f>
        <v/>
      </c>
      <c r="D1768" s="26" t="str">
        <f>IF('Paste SD Data'!C1765="","",'Paste SD Data'!C1765)</f>
        <v/>
      </c>
      <c r="E1768" s="27" t="str">
        <f>IF('Paste SD Data'!E1765="","",UPPER('Paste SD Data'!E1765))</f>
        <v/>
      </c>
      <c r="F1768" s="27" t="str">
        <f>IF('Paste SD Data'!G1765="","",UPPER('Paste SD Data'!G1765))</f>
        <v/>
      </c>
      <c r="G1768" s="27" t="str">
        <f>IF('Paste SD Data'!H1765="","",UPPER('Paste SD Data'!H1765))</f>
        <v/>
      </c>
      <c r="H1768" s="26" t="str">
        <f>IF('Paste SD Data'!I1765="","",IF('Paste SD Data'!I1765="M","BOY","GIRL"))</f>
        <v/>
      </c>
      <c r="I1768" s="28" t="str">
        <f>IF('Paste SD Data'!J1765="","",'Paste SD Data'!J1765)</f>
        <v/>
      </c>
      <c r="J1768" s="34">
        <f t="shared" si="27"/>
        <v>2194</v>
      </c>
      <c r="K1768" s="29" t="str">
        <f>IF('Paste SD Data'!O1765="","",'Paste SD Data'!O1765)</f>
        <v/>
      </c>
    </row>
    <row r="1769" spans="1:11" ht="30" customHeight="1" x14ac:dyDescent="0.25">
      <c r="A1769" s="25" t="str">
        <f>IF(Table1[[#This Row],[Name of Student]]="","",ROWS($A$1:A1765))</f>
        <v/>
      </c>
      <c r="B1769" s="26" t="str">
        <f>IF('Paste SD Data'!A1766="","",'Paste SD Data'!A1766)</f>
        <v/>
      </c>
      <c r="C1769" s="26" t="str">
        <f>IF('Paste SD Data'!B1766="","",'Paste SD Data'!B1766)</f>
        <v/>
      </c>
      <c r="D1769" s="26" t="str">
        <f>IF('Paste SD Data'!C1766="","",'Paste SD Data'!C1766)</f>
        <v/>
      </c>
      <c r="E1769" s="27" t="str">
        <f>IF('Paste SD Data'!E1766="","",UPPER('Paste SD Data'!E1766))</f>
        <v/>
      </c>
      <c r="F1769" s="27" t="str">
        <f>IF('Paste SD Data'!G1766="","",UPPER('Paste SD Data'!G1766))</f>
        <v/>
      </c>
      <c r="G1769" s="27" t="str">
        <f>IF('Paste SD Data'!H1766="","",UPPER('Paste SD Data'!H1766))</f>
        <v/>
      </c>
      <c r="H1769" s="26" t="str">
        <f>IF('Paste SD Data'!I1766="","",IF('Paste SD Data'!I1766="M","BOY","GIRL"))</f>
        <v/>
      </c>
      <c r="I1769" s="28" t="str">
        <f>IF('Paste SD Data'!J1766="","",'Paste SD Data'!J1766)</f>
        <v/>
      </c>
      <c r="J1769" s="34">
        <f t="shared" si="27"/>
        <v>2195</v>
      </c>
      <c r="K1769" s="29" t="str">
        <f>IF('Paste SD Data'!O1766="","",'Paste SD Data'!O1766)</f>
        <v/>
      </c>
    </row>
    <row r="1770" spans="1:11" ht="30" customHeight="1" x14ac:dyDescent="0.25">
      <c r="A1770" s="25" t="str">
        <f>IF(Table1[[#This Row],[Name of Student]]="","",ROWS($A$1:A1766))</f>
        <v/>
      </c>
      <c r="B1770" s="26" t="str">
        <f>IF('Paste SD Data'!A1767="","",'Paste SD Data'!A1767)</f>
        <v/>
      </c>
      <c r="C1770" s="26" t="str">
        <f>IF('Paste SD Data'!B1767="","",'Paste SD Data'!B1767)</f>
        <v/>
      </c>
      <c r="D1770" s="26" t="str">
        <f>IF('Paste SD Data'!C1767="","",'Paste SD Data'!C1767)</f>
        <v/>
      </c>
      <c r="E1770" s="27" t="str">
        <f>IF('Paste SD Data'!E1767="","",UPPER('Paste SD Data'!E1767))</f>
        <v/>
      </c>
      <c r="F1770" s="27" t="str">
        <f>IF('Paste SD Data'!G1767="","",UPPER('Paste SD Data'!G1767))</f>
        <v/>
      </c>
      <c r="G1770" s="27" t="str">
        <f>IF('Paste SD Data'!H1767="","",UPPER('Paste SD Data'!H1767))</f>
        <v/>
      </c>
      <c r="H1770" s="26" t="str">
        <f>IF('Paste SD Data'!I1767="","",IF('Paste SD Data'!I1767="M","BOY","GIRL"))</f>
        <v/>
      </c>
      <c r="I1770" s="28" t="str">
        <f>IF('Paste SD Data'!J1767="","",'Paste SD Data'!J1767)</f>
        <v/>
      </c>
      <c r="J1770" s="34">
        <f t="shared" si="27"/>
        <v>2196</v>
      </c>
      <c r="K1770" s="29" t="str">
        <f>IF('Paste SD Data'!O1767="","",'Paste SD Data'!O1767)</f>
        <v/>
      </c>
    </row>
    <row r="1771" spans="1:11" ht="30" customHeight="1" x14ac:dyDescent="0.25">
      <c r="A1771" s="25" t="str">
        <f>IF(Table1[[#This Row],[Name of Student]]="","",ROWS($A$1:A1767))</f>
        <v/>
      </c>
      <c r="B1771" s="26" t="str">
        <f>IF('Paste SD Data'!A1768="","",'Paste SD Data'!A1768)</f>
        <v/>
      </c>
      <c r="C1771" s="26" t="str">
        <f>IF('Paste SD Data'!B1768="","",'Paste SD Data'!B1768)</f>
        <v/>
      </c>
      <c r="D1771" s="26" t="str">
        <f>IF('Paste SD Data'!C1768="","",'Paste SD Data'!C1768)</f>
        <v/>
      </c>
      <c r="E1771" s="27" t="str">
        <f>IF('Paste SD Data'!E1768="","",UPPER('Paste SD Data'!E1768))</f>
        <v/>
      </c>
      <c r="F1771" s="27" t="str">
        <f>IF('Paste SD Data'!G1768="","",UPPER('Paste SD Data'!G1768))</f>
        <v/>
      </c>
      <c r="G1771" s="27" t="str">
        <f>IF('Paste SD Data'!H1768="","",UPPER('Paste SD Data'!H1768))</f>
        <v/>
      </c>
      <c r="H1771" s="26" t="str">
        <f>IF('Paste SD Data'!I1768="","",IF('Paste SD Data'!I1768="M","BOY","GIRL"))</f>
        <v/>
      </c>
      <c r="I1771" s="28" t="str">
        <f>IF('Paste SD Data'!J1768="","",'Paste SD Data'!J1768)</f>
        <v/>
      </c>
      <c r="J1771" s="34">
        <f t="shared" si="27"/>
        <v>2197</v>
      </c>
      <c r="K1771" s="29" t="str">
        <f>IF('Paste SD Data'!O1768="","",'Paste SD Data'!O1768)</f>
        <v/>
      </c>
    </row>
    <row r="1772" spans="1:11" ht="30" customHeight="1" x14ac:dyDescent="0.25">
      <c r="A1772" s="25" t="str">
        <f>IF(Table1[[#This Row],[Name of Student]]="","",ROWS($A$1:A1768))</f>
        <v/>
      </c>
      <c r="B1772" s="26" t="str">
        <f>IF('Paste SD Data'!A1769="","",'Paste SD Data'!A1769)</f>
        <v/>
      </c>
      <c r="C1772" s="26" t="str">
        <f>IF('Paste SD Data'!B1769="","",'Paste SD Data'!B1769)</f>
        <v/>
      </c>
      <c r="D1772" s="26" t="str">
        <f>IF('Paste SD Data'!C1769="","",'Paste SD Data'!C1769)</f>
        <v/>
      </c>
      <c r="E1772" s="27" t="str">
        <f>IF('Paste SD Data'!E1769="","",UPPER('Paste SD Data'!E1769))</f>
        <v/>
      </c>
      <c r="F1772" s="27" t="str">
        <f>IF('Paste SD Data'!G1769="","",UPPER('Paste SD Data'!G1769))</f>
        <v/>
      </c>
      <c r="G1772" s="27" t="str">
        <f>IF('Paste SD Data'!H1769="","",UPPER('Paste SD Data'!H1769))</f>
        <v/>
      </c>
      <c r="H1772" s="26" t="str">
        <f>IF('Paste SD Data'!I1769="","",IF('Paste SD Data'!I1769="M","BOY","GIRL"))</f>
        <v/>
      </c>
      <c r="I1772" s="28" t="str">
        <f>IF('Paste SD Data'!J1769="","",'Paste SD Data'!J1769)</f>
        <v/>
      </c>
      <c r="J1772" s="34">
        <f t="shared" si="27"/>
        <v>2198</v>
      </c>
      <c r="K1772" s="29" t="str">
        <f>IF('Paste SD Data'!O1769="","",'Paste SD Data'!O1769)</f>
        <v/>
      </c>
    </row>
    <row r="1773" spans="1:11" ht="30" customHeight="1" x14ac:dyDescent="0.25">
      <c r="A1773" s="25" t="str">
        <f>IF(Table1[[#This Row],[Name of Student]]="","",ROWS($A$1:A1769))</f>
        <v/>
      </c>
      <c r="B1773" s="26" t="str">
        <f>IF('Paste SD Data'!A1770="","",'Paste SD Data'!A1770)</f>
        <v/>
      </c>
      <c r="C1773" s="26" t="str">
        <f>IF('Paste SD Data'!B1770="","",'Paste SD Data'!B1770)</f>
        <v/>
      </c>
      <c r="D1773" s="26" t="str">
        <f>IF('Paste SD Data'!C1770="","",'Paste SD Data'!C1770)</f>
        <v/>
      </c>
      <c r="E1773" s="27" t="str">
        <f>IF('Paste SD Data'!E1770="","",UPPER('Paste SD Data'!E1770))</f>
        <v/>
      </c>
      <c r="F1773" s="27" t="str">
        <f>IF('Paste SD Data'!G1770="","",UPPER('Paste SD Data'!G1770))</f>
        <v/>
      </c>
      <c r="G1773" s="27" t="str">
        <f>IF('Paste SD Data'!H1770="","",UPPER('Paste SD Data'!H1770))</f>
        <v/>
      </c>
      <c r="H1773" s="26" t="str">
        <f>IF('Paste SD Data'!I1770="","",IF('Paste SD Data'!I1770="M","BOY","GIRL"))</f>
        <v/>
      </c>
      <c r="I1773" s="28" t="str">
        <f>IF('Paste SD Data'!J1770="","",'Paste SD Data'!J1770)</f>
        <v/>
      </c>
      <c r="J1773" s="34">
        <f t="shared" si="27"/>
        <v>2199</v>
      </c>
      <c r="K1773" s="29" t="str">
        <f>IF('Paste SD Data'!O1770="","",'Paste SD Data'!O1770)</f>
        <v/>
      </c>
    </row>
    <row r="1774" spans="1:11" ht="30" customHeight="1" x14ac:dyDescent="0.25">
      <c r="A1774" s="25" t="str">
        <f>IF(Table1[[#This Row],[Name of Student]]="","",ROWS($A$1:A1770))</f>
        <v/>
      </c>
      <c r="B1774" s="26" t="str">
        <f>IF('Paste SD Data'!A1771="","",'Paste SD Data'!A1771)</f>
        <v/>
      </c>
      <c r="C1774" s="26" t="str">
        <f>IF('Paste SD Data'!B1771="","",'Paste SD Data'!B1771)</f>
        <v/>
      </c>
      <c r="D1774" s="26" t="str">
        <f>IF('Paste SD Data'!C1771="","",'Paste SD Data'!C1771)</f>
        <v/>
      </c>
      <c r="E1774" s="27" t="str">
        <f>IF('Paste SD Data'!E1771="","",UPPER('Paste SD Data'!E1771))</f>
        <v/>
      </c>
      <c r="F1774" s="27" t="str">
        <f>IF('Paste SD Data'!G1771="","",UPPER('Paste SD Data'!G1771))</f>
        <v/>
      </c>
      <c r="G1774" s="27" t="str">
        <f>IF('Paste SD Data'!H1771="","",UPPER('Paste SD Data'!H1771))</f>
        <v/>
      </c>
      <c r="H1774" s="26" t="str">
        <f>IF('Paste SD Data'!I1771="","",IF('Paste SD Data'!I1771="M","BOY","GIRL"))</f>
        <v/>
      </c>
      <c r="I1774" s="28" t="str">
        <f>IF('Paste SD Data'!J1771="","",'Paste SD Data'!J1771)</f>
        <v/>
      </c>
      <c r="J1774" s="34">
        <f t="shared" si="27"/>
        <v>2200</v>
      </c>
      <c r="K1774" s="29" t="str">
        <f>IF('Paste SD Data'!O1771="","",'Paste SD Data'!O1771)</f>
        <v/>
      </c>
    </row>
    <row r="1775" spans="1:11" ht="30" customHeight="1" x14ac:dyDescent="0.25">
      <c r="A1775" s="25" t="str">
        <f>IF(Table1[[#This Row],[Name of Student]]="","",ROWS($A$1:A1771))</f>
        <v/>
      </c>
      <c r="B1775" s="26" t="str">
        <f>IF('Paste SD Data'!A1772="","",'Paste SD Data'!A1772)</f>
        <v/>
      </c>
      <c r="C1775" s="26" t="str">
        <f>IF('Paste SD Data'!B1772="","",'Paste SD Data'!B1772)</f>
        <v/>
      </c>
      <c r="D1775" s="26" t="str">
        <f>IF('Paste SD Data'!C1772="","",'Paste SD Data'!C1772)</f>
        <v/>
      </c>
      <c r="E1775" s="27" t="str">
        <f>IF('Paste SD Data'!E1772="","",UPPER('Paste SD Data'!E1772))</f>
        <v/>
      </c>
      <c r="F1775" s="27" t="str">
        <f>IF('Paste SD Data'!G1772="","",UPPER('Paste SD Data'!G1772))</f>
        <v/>
      </c>
      <c r="G1775" s="27" t="str">
        <f>IF('Paste SD Data'!H1772="","",UPPER('Paste SD Data'!H1772))</f>
        <v/>
      </c>
      <c r="H1775" s="26" t="str">
        <f>IF('Paste SD Data'!I1772="","",IF('Paste SD Data'!I1772="M","BOY","GIRL"))</f>
        <v/>
      </c>
      <c r="I1775" s="28" t="str">
        <f>IF('Paste SD Data'!J1772="","",'Paste SD Data'!J1772)</f>
        <v/>
      </c>
      <c r="J1775" s="34">
        <f t="shared" si="27"/>
        <v>2201</v>
      </c>
      <c r="K1775" s="29" t="str">
        <f>IF('Paste SD Data'!O1772="","",'Paste SD Data'!O1772)</f>
        <v/>
      </c>
    </row>
    <row r="1776" spans="1:11" ht="30" customHeight="1" x14ac:dyDescent="0.25">
      <c r="A1776" s="25" t="str">
        <f>IF(Table1[[#This Row],[Name of Student]]="","",ROWS($A$1:A1772))</f>
        <v/>
      </c>
      <c r="B1776" s="26" t="str">
        <f>IF('Paste SD Data'!A1773="","",'Paste SD Data'!A1773)</f>
        <v/>
      </c>
      <c r="C1776" s="26" t="str">
        <f>IF('Paste SD Data'!B1773="","",'Paste SD Data'!B1773)</f>
        <v/>
      </c>
      <c r="D1776" s="26" t="str">
        <f>IF('Paste SD Data'!C1773="","",'Paste SD Data'!C1773)</f>
        <v/>
      </c>
      <c r="E1776" s="27" t="str">
        <f>IF('Paste SD Data'!E1773="","",UPPER('Paste SD Data'!E1773))</f>
        <v/>
      </c>
      <c r="F1776" s="27" t="str">
        <f>IF('Paste SD Data'!G1773="","",UPPER('Paste SD Data'!G1773))</f>
        <v/>
      </c>
      <c r="G1776" s="27" t="str">
        <f>IF('Paste SD Data'!H1773="","",UPPER('Paste SD Data'!H1773))</f>
        <v/>
      </c>
      <c r="H1776" s="26" t="str">
        <f>IF('Paste SD Data'!I1773="","",IF('Paste SD Data'!I1773="M","BOY","GIRL"))</f>
        <v/>
      </c>
      <c r="I1776" s="28" t="str">
        <f>IF('Paste SD Data'!J1773="","",'Paste SD Data'!J1773)</f>
        <v/>
      </c>
      <c r="J1776" s="34">
        <f t="shared" si="27"/>
        <v>2202</v>
      </c>
      <c r="K1776" s="29" t="str">
        <f>IF('Paste SD Data'!O1773="","",'Paste SD Data'!O1773)</f>
        <v/>
      </c>
    </row>
    <row r="1777" spans="1:11" ht="30" customHeight="1" x14ac:dyDescent="0.25">
      <c r="A1777" s="25" t="str">
        <f>IF(Table1[[#This Row],[Name of Student]]="","",ROWS($A$1:A1773))</f>
        <v/>
      </c>
      <c r="B1777" s="26" t="str">
        <f>IF('Paste SD Data'!A1774="","",'Paste SD Data'!A1774)</f>
        <v/>
      </c>
      <c r="C1777" s="26" t="str">
        <f>IF('Paste SD Data'!B1774="","",'Paste SD Data'!B1774)</f>
        <v/>
      </c>
      <c r="D1777" s="26" t="str">
        <f>IF('Paste SD Data'!C1774="","",'Paste SD Data'!C1774)</f>
        <v/>
      </c>
      <c r="E1777" s="27" t="str">
        <f>IF('Paste SD Data'!E1774="","",UPPER('Paste SD Data'!E1774))</f>
        <v/>
      </c>
      <c r="F1777" s="27" t="str">
        <f>IF('Paste SD Data'!G1774="","",UPPER('Paste SD Data'!G1774))</f>
        <v/>
      </c>
      <c r="G1777" s="27" t="str">
        <f>IF('Paste SD Data'!H1774="","",UPPER('Paste SD Data'!H1774))</f>
        <v/>
      </c>
      <c r="H1777" s="26" t="str">
        <f>IF('Paste SD Data'!I1774="","",IF('Paste SD Data'!I1774="M","BOY","GIRL"))</f>
        <v/>
      </c>
      <c r="I1777" s="28" t="str">
        <f>IF('Paste SD Data'!J1774="","",'Paste SD Data'!J1774)</f>
        <v/>
      </c>
      <c r="J1777" s="34">
        <f t="shared" si="27"/>
        <v>2203</v>
      </c>
      <c r="K1777" s="29" t="str">
        <f>IF('Paste SD Data'!O1774="","",'Paste SD Data'!O1774)</f>
        <v/>
      </c>
    </row>
    <row r="1778" spans="1:11" ht="30" customHeight="1" x14ac:dyDescent="0.25">
      <c r="A1778" s="25" t="str">
        <f>IF(Table1[[#This Row],[Name of Student]]="","",ROWS($A$1:A1774))</f>
        <v/>
      </c>
      <c r="B1778" s="26" t="str">
        <f>IF('Paste SD Data'!A1775="","",'Paste SD Data'!A1775)</f>
        <v/>
      </c>
      <c r="C1778" s="26" t="str">
        <f>IF('Paste SD Data'!B1775="","",'Paste SD Data'!B1775)</f>
        <v/>
      </c>
      <c r="D1778" s="26" t="str">
        <f>IF('Paste SD Data'!C1775="","",'Paste SD Data'!C1775)</f>
        <v/>
      </c>
      <c r="E1778" s="27" t="str">
        <f>IF('Paste SD Data'!E1775="","",UPPER('Paste SD Data'!E1775))</f>
        <v/>
      </c>
      <c r="F1778" s="27" t="str">
        <f>IF('Paste SD Data'!G1775="","",UPPER('Paste SD Data'!G1775))</f>
        <v/>
      </c>
      <c r="G1778" s="27" t="str">
        <f>IF('Paste SD Data'!H1775="","",UPPER('Paste SD Data'!H1775))</f>
        <v/>
      </c>
      <c r="H1778" s="26" t="str">
        <f>IF('Paste SD Data'!I1775="","",IF('Paste SD Data'!I1775="M","BOY","GIRL"))</f>
        <v/>
      </c>
      <c r="I1778" s="28" t="str">
        <f>IF('Paste SD Data'!J1775="","",'Paste SD Data'!J1775)</f>
        <v/>
      </c>
      <c r="J1778" s="34">
        <f t="shared" si="27"/>
        <v>2204</v>
      </c>
      <c r="K1778" s="29" t="str">
        <f>IF('Paste SD Data'!O1775="","",'Paste SD Data'!O1775)</f>
        <v/>
      </c>
    </row>
    <row r="1779" spans="1:11" ht="30" customHeight="1" x14ac:dyDescent="0.25">
      <c r="A1779" s="25" t="str">
        <f>IF(Table1[[#This Row],[Name of Student]]="","",ROWS($A$1:A1775))</f>
        <v/>
      </c>
      <c r="B1779" s="26" t="str">
        <f>IF('Paste SD Data'!A1776="","",'Paste SD Data'!A1776)</f>
        <v/>
      </c>
      <c r="C1779" s="26" t="str">
        <f>IF('Paste SD Data'!B1776="","",'Paste SD Data'!B1776)</f>
        <v/>
      </c>
      <c r="D1779" s="26" t="str">
        <f>IF('Paste SD Data'!C1776="","",'Paste SD Data'!C1776)</f>
        <v/>
      </c>
      <c r="E1779" s="27" t="str">
        <f>IF('Paste SD Data'!E1776="","",UPPER('Paste SD Data'!E1776))</f>
        <v/>
      </c>
      <c r="F1779" s="27" t="str">
        <f>IF('Paste SD Data'!G1776="","",UPPER('Paste SD Data'!G1776))</f>
        <v/>
      </c>
      <c r="G1779" s="27" t="str">
        <f>IF('Paste SD Data'!H1776="","",UPPER('Paste SD Data'!H1776))</f>
        <v/>
      </c>
      <c r="H1779" s="26" t="str">
        <f>IF('Paste SD Data'!I1776="","",IF('Paste SD Data'!I1776="M","BOY","GIRL"))</f>
        <v/>
      </c>
      <c r="I1779" s="28" t="str">
        <f>IF('Paste SD Data'!J1776="","",'Paste SD Data'!J1776)</f>
        <v/>
      </c>
      <c r="J1779" s="34">
        <f t="shared" si="27"/>
        <v>2205</v>
      </c>
      <c r="K1779" s="29" t="str">
        <f>IF('Paste SD Data'!O1776="","",'Paste SD Data'!O1776)</f>
        <v/>
      </c>
    </row>
    <row r="1780" spans="1:11" ht="30" customHeight="1" x14ac:dyDescent="0.25">
      <c r="A1780" s="25" t="str">
        <f>IF(Table1[[#This Row],[Name of Student]]="","",ROWS($A$1:A1776))</f>
        <v/>
      </c>
      <c r="B1780" s="26" t="str">
        <f>IF('Paste SD Data'!A1777="","",'Paste SD Data'!A1777)</f>
        <v/>
      </c>
      <c r="C1780" s="26" t="str">
        <f>IF('Paste SD Data'!B1777="","",'Paste SD Data'!B1777)</f>
        <v/>
      </c>
      <c r="D1780" s="26" t="str">
        <f>IF('Paste SD Data'!C1777="","",'Paste SD Data'!C1777)</f>
        <v/>
      </c>
      <c r="E1780" s="27" t="str">
        <f>IF('Paste SD Data'!E1777="","",UPPER('Paste SD Data'!E1777))</f>
        <v/>
      </c>
      <c r="F1780" s="27" t="str">
        <f>IF('Paste SD Data'!G1777="","",UPPER('Paste SD Data'!G1777))</f>
        <v/>
      </c>
      <c r="G1780" s="27" t="str">
        <f>IF('Paste SD Data'!H1777="","",UPPER('Paste SD Data'!H1777))</f>
        <v/>
      </c>
      <c r="H1780" s="26" t="str">
        <f>IF('Paste SD Data'!I1777="","",IF('Paste SD Data'!I1777="M","BOY","GIRL"))</f>
        <v/>
      </c>
      <c r="I1780" s="28" t="str">
        <f>IF('Paste SD Data'!J1777="","",'Paste SD Data'!J1777)</f>
        <v/>
      </c>
      <c r="J1780" s="34">
        <f t="shared" si="27"/>
        <v>2206</v>
      </c>
      <c r="K1780" s="29" t="str">
        <f>IF('Paste SD Data'!O1777="","",'Paste SD Data'!O1777)</f>
        <v/>
      </c>
    </row>
    <row r="1781" spans="1:11" ht="30" customHeight="1" x14ac:dyDescent="0.25">
      <c r="A1781" s="25" t="str">
        <f>IF(Table1[[#This Row],[Name of Student]]="","",ROWS($A$1:A1777))</f>
        <v/>
      </c>
      <c r="B1781" s="26" t="str">
        <f>IF('Paste SD Data'!A1778="","",'Paste SD Data'!A1778)</f>
        <v/>
      </c>
      <c r="C1781" s="26" t="str">
        <f>IF('Paste SD Data'!B1778="","",'Paste SD Data'!B1778)</f>
        <v/>
      </c>
      <c r="D1781" s="26" t="str">
        <f>IF('Paste SD Data'!C1778="","",'Paste SD Data'!C1778)</f>
        <v/>
      </c>
      <c r="E1781" s="27" t="str">
        <f>IF('Paste SD Data'!E1778="","",UPPER('Paste SD Data'!E1778))</f>
        <v/>
      </c>
      <c r="F1781" s="27" t="str">
        <f>IF('Paste SD Data'!G1778="","",UPPER('Paste SD Data'!G1778))</f>
        <v/>
      </c>
      <c r="G1781" s="27" t="str">
        <f>IF('Paste SD Data'!H1778="","",UPPER('Paste SD Data'!H1778))</f>
        <v/>
      </c>
      <c r="H1781" s="26" t="str">
        <f>IF('Paste SD Data'!I1778="","",IF('Paste SD Data'!I1778="M","BOY","GIRL"))</f>
        <v/>
      </c>
      <c r="I1781" s="28" t="str">
        <f>IF('Paste SD Data'!J1778="","",'Paste SD Data'!J1778)</f>
        <v/>
      </c>
      <c r="J1781" s="34">
        <f t="shared" si="27"/>
        <v>2207</v>
      </c>
      <c r="K1781" s="29" t="str">
        <f>IF('Paste SD Data'!O1778="","",'Paste SD Data'!O1778)</f>
        <v/>
      </c>
    </row>
    <row r="1782" spans="1:11" ht="30" customHeight="1" x14ac:dyDescent="0.25">
      <c r="A1782" s="25" t="str">
        <f>IF(Table1[[#This Row],[Name of Student]]="","",ROWS($A$1:A1778))</f>
        <v/>
      </c>
      <c r="B1782" s="26" t="str">
        <f>IF('Paste SD Data'!A1779="","",'Paste SD Data'!A1779)</f>
        <v/>
      </c>
      <c r="C1782" s="26" t="str">
        <f>IF('Paste SD Data'!B1779="","",'Paste SD Data'!B1779)</f>
        <v/>
      </c>
      <c r="D1782" s="26" t="str">
        <f>IF('Paste SD Data'!C1779="","",'Paste SD Data'!C1779)</f>
        <v/>
      </c>
      <c r="E1782" s="27" t="str">
        <f>IF('Paste SD Data'!E1779="","",UPPER('Paste SD Data'!E1779))</f>
        <v/>
      </c>
      <c r="F1782" s="27" t="str">
        <f>IF('Paste SD Data'!G1779="","",UPPER('Paste SD Data'!G1779))</f>
        <v/>
      </c>
      <c r="G1782" s="27" t="str">
        <f>IF('Paste SD Data'!H1779="","",UPPER('Paste SD Data'!H1779))</f>
        <v/>
      </c>
      <c r="H1782" s="26" t="str">
        <f>IF('Paste SD Data'!I1779="","",IF('Paste SD Data'!I1779="M","BOY","GIRL"))</f>
        <v/>
      </c>
      <c r="I1782" s="28" t="str">
        <f>IF('Paste SD Data'!J1779="","",'Paste SD Data'!J1779)</f>
        <v/>
      </c>
      <c r="J1782" s="34">
        <f t="shared" si="27"/>
        <v>2208</v>
      </c>
      <c r="K1782" s="29" t="str">
        <f>IF('Paste SD Data'!O1779="","",'Paste SD Data'!O1779)</f>
        <v/>
      </c>
    </row>
    <row r="1783" spans="1:11" ht="30" customHeight="1" x14ac:dyDescent="0.25">
      <c r="A1783" s="25" t="str">
        <f>IF(Table1[[#This Row],[Name of Student]]="","",ROWS($A$1:A1779))</f>
        <v/>
      </c>
      <c r="B1783" s="26" t="str">
        <f>IF('Paste SD Data'!A1780="","",'Paste SD Data'!A1780)</f>
        <v/>
      </c>
      <c r="C1783" s="26" t="str">
        <f>IF('Paste SD Data'!B1780="","",'Paste SD Data'!B1780)</f>
        <v/>
      </c>
      <c r="D1783" s="26" t="str">
        <f>IF('Paste SD Data'!C1780="","",'Paste SD Data'!C1780)</f>
        <v/>
      </c>
      <c r="E1783" s="27" t="str">
        <f>IF('Paste SD Data'!E1780="","",UPPER('Paste SD Data'!E1780))</f>
        <v/>
      </c>
      <c r="F1783" s="27" t="str">
        <f>IF('Paste SD Data'!G1780="","",UPPER('Paste SD Data'!G1780))</f>
        <v/>
      </c>
      <c r="G1783" s="27" t="str">
        <f>IF('Paste SD Data'!H1780="","",UPPER('Paste SD Data'!H1780))</f>
        <v/>
      </c>
      <c r="H1783" s="26" t="str">
        <f>IF('Paste SD Data'!I1780="","",IF('Paste SD Data'!I1780="M","BOY","GIRL"))</f>
        <v/>
      </c>
      <c r="I1783" s="28" t="str">
        <f>IF('Paste SD Data'!J1780="","",'Paste SD Data'!J1780)</f>
        <v/>
      </c>
      <c r="J1783" s="34">
        <f t="shared" si="27"/>
        <v>2209</v>
      </c>
      <c r="K1783" s="29" t="str">
        <f>IF('Paste SD Data'!O1780="","",'Paste SD Data'!O1780)</f>
        <v/>
      </c>
    </row>
    <row r="1784" spans="1:11" ht="30" customHeight="1" x14ac:dyDescent="0.25">
      <c r="A1784" s="25" t="str">
        <f>IF(Table1[[#This Row],[Name of Student]]="","",ROWS($A$1:A1780))</f>
        <v/>
      </c>
      <c r="B1784" s="26" t="str">
        <f>IF('Paste SD Data'!A1781="","",'Paste SD Data'!A1781)</f>
        <v/>
      </c>
      <c r="C1784" s="26" t="str">
        <f>IF('Paste SD Data'!B1781="","",'Paste SD Data'!B1781)</f>
        <v/>
      </c>
      <c r="D1784" s="26" t="str">
        <f>IF('Paste SD Data'!C1781="","",'Paste SD Data'!C1781)</f>
        <v/>
      </c>
      <c r="E1784" s="27" t="str">
        <f>IF('Paste SD Data'!E1781="","",UPPER('Paste SD Data'!E1781))</f>
        <v/>
      </c>
      <c r="F1784" s="27" t="str">
        <f>IF('Paste SD Data'!G1781="","",UPPER('Paste SD Data'!G1781))</f>
        <v/>
      </c>
      <c r="G1784" s="27" t="str">
        <f>IF('Paste SD Data'!H1781="","",UPPER('Paste SD Data'!H1781))</f>
        <v/>
      </c>
      <c r="H1784" s="26" t="str">
        <f>IF('Paste SD Data'!I1781="","",IF('Paste SD Data'!I1781="M","BOY","GIRL"))</f>
        <v/>
      </c>
      <c r="I1784" s="28" t="str">
        <f>IF('Paste SD Data'!J1781="","",'Paste SD Data'!J1781)</f>
        <v/>
      </c>
      <c r="J1784" s="34">
        <f t="shared" si="27"/>
        <v>2210</v>
      </c>
      <c r="K1784" s="29" t="str">
        <f>IF('Paste SD Data'!O1781="","",'Paste SD Data'!O1781)</f>
        <v/>
      </c>
    </row>
    <row r="1785" spans="1:11" ht="30" customHeight="1" x14ac:dyDescent="0.25">
      <c r="A1785" s="25" t="str">
        <f>IF(Table1[[#This Row],[Name of Student]]="","",ROWS($A$1:A1781))</f>
        <v/>
      </c>
      <c r="B1785" s="26" t="str">
        <f>IF('Paste SD Data'!A1782="","",'Paste SD Data'!A1782)</f>
        <v/>
      </c>
      <c r="C1785" s="26" t="str">
        <f>IF('Paste SD Data'!B1782="","",'Paste SD Data'!B1782)</f>
        <v/>
      </c>
      <c r="D1785" s="26" t="str">
        <f>IF('Paste SD Data'!C1782="","",'Paste SD Data'!C1782)</f>
        <v/>
      </c>
      <c r="E1785" s="27" t="str">
        <f>IF('Paste SD Data'!E1782="","",UPPER('Paste SD Data'!E1782))</f>
        <v/>
      </c>
      <c r="F1785" s="27" t="str">
        <f>IF('Paste SD Data'!G1782="","",UPPER('Paste SD Data'!G1782))</f>
        <v/>
      </c>
      <c r="G1785" s="27" t="str">
        <f>IF('Paste SD Data'!H1782="","",UPPER('Paste SD Data'!H1782))</f>
        <v/>
      </c>
      <c r="H1785" s="26" t="str">
        <f>IF('Paste SD Data'!I1782="","",IF('Paste SD Data'!I1782="M","BOY","GIRL"))</f>
        <v/>
      </c>
      <c r="I1785" s="28" t="str">
        <f>IF('Paste SD Data'!J1782="","",'Paste SD Data'!J1782)</f>
        <v/>
      </c>
      <c r="J1785" s="34">
        <f t="shared" si="27"/>
        <v>2211</v>
      </c>
      <c r="K1785" s="29" t="str">
        <f>IF('Paste SD Data'!O1782="","",'Paste SD Data'!O1782)</f>
        <v/>
      </c>
    </row>
    <row r="1786" spans="1:11" ht="30" customHeight="1" x14ac:dyDescent="0.25">
      <c r="A1786" s="25" t="str">
        <f>IF(Table1[[#This Row],[Name of Student]]="","",ROWS($A$1:A1782))</f>
        <v/>
      </c>
      <c r="B1786" s="26" t="str">
        <f>IF('Paste SD Data'!A1783="","",'Paste SD Data'!A1783)</f>
        <v/>
      </c>
      <c r="C1786" s="26" t="str">
        <f>IF('Paste SD Data'!B1783="","",'Paste SD Data'!B1783)</f>
        <v/>
      </c>
      <c r="D1786" s="26" t="str">
        <f>IF('Paste SD Data'!C1783="","",'Paste SD Data'!C1783)</f>
        <v/>
      </c>
      <c r="E1786" s="27" t="str">
        <f>IF('Paste SD Data'!E1783="","",UPPER('Paste SD Data'!E1783))</f>
        <v/>
      </c>
      <c r="F1786" s="27" t="str">
        <f>IF('Paste SD Data'!G1783="","",UPPER('Paste SD Data'!G1783))</f>
        <v/>
      </c>
      <c r="G1786" s="27" t="str">
        <f>IF('Paste SD Data'!H1783="","",UPPER('Paste SD Data'!H1783))</f>
        <v/>
      </c>
      <c r="H1786" s="26" t="str">
        <f>IF('Paste SD Data'!I1783="","",IF('Paste SD Data'!I1783="M","BOY","GIRL"))</f>
        <v/>
      </c>
      <c r="I1786" s="28" t="str">
        <f>IF('Paste SD Data'!J1783="","",'Paste SD Data'!J1783)</f>
        <v/>
      </c>
      <c r="J1786" s="34">
        <f t="shared" si="27"/>
        <v>2212</v>
      </c>
      <c r="K1786" s="29" t="str">
        <f>IF('Paste SD Data'!O1783="","",'Paste SD Data'!O1783)</f>
        <v/>
      </c>
    </row>
    <row r="1787" spans="1:11" ht="30" customHeight="1" x14ac:dyDescent="0.25">
      <c r="A1787" s="25" t="str">
        <f>IF(Table1[[#This Row],[Name of Student]]="","",ROWS($A$1:A1783))</f>
        <v/>
      </c>
      <c r="B1787" s="26" t="str">
        <f>IF('Paste SD Data'!A1784="","",'Paste SD Data'!A1784)</f>
        <v/>
      </c>
      <c r="C1787" s="26" t="str">
        <f>IF('Paste SD Data'!B1784="","",'Paste SD Data'!B1784)</f>
        <v/>
      </c>
      <c r="D1787" s="26" t="str">
        <f>IF('Paste SD Data'!C1784="","",'Paste SD Data'!C1784)</f>
        <v/>
      </c>
      <c r="E1787" s="27" t="str">
        <f>IF('Paste SD Data'!E1784="","",UPPER('Paste SD Data'!E1784))</f>
        <v/>
      </c>
      <c r="F1787" s="27" t="str">
        <f>IF('Paste SD Data'!G1784="","",UPPER('Paste SD Data'!G1784))</f>
        <v/>
      </c>
      <c r="G1787" s="27" t="str">
        <f>IF('Paste SD Data'!H1784="","",UPPER('Paste SD Data'!H1784))</f>
        <v/>
      </c>
      <c r="H1787" s="26" t="str">
        <f>IF('Paste SD Data'!I1784="","",IF('Paste SD Data'!I1784="M","BOY","GIRL"))</f>
        <v/>
      </c>
      <c r="I1787" s="28" t="str">
        <f>IF('Paste SD Data'!J1784="","",'Paste SD Data'!J1784)</f>
        <v/>
      </c>
      <c r="J1787" s="34">
        <f t="shared" si="27"/>
        <v>2213</v>
      </c>
      <c r="K1787" s="29" t="str">
        <f>IF('Paste SD Data'!O1784="","",'Paste SD Data'!O1784)</f>
        <v/>
      </c>
    </row>
    <row r="1788" spans="1:11" ht="30" customHeight="1" x14ac:dyDescent="0.25">
      <c r="A1788" s="25" t="str">
        <f>IF(Table1[[#This Row],[Name of Student]]="","",ROWS($A$1:A1784))</f>
        <v/>
      </c>
      <c r="B1788" s="26" t="str">
        <f>IF('Paste SD Data'!A1785="","",'Paste SD Data'!A1785)</f>
        <v/>
      </c>
      <c r="C1788" s="26" t="str">
        <f>IF('Paste SD Data'!B1785="","",'Paste SD Data'!B1785)</f>
        <v/>
      </c>
      <c r="D1788" s="26" t="str">
        <f>IF('Paste SD Data'!C1785="","",'Paste SD Data'!C1785)</f>
        <v/>
      </c>
      <c r="E1788" s="27" t="str">
        <f>IF('Paste SD Data'!E1785="","",UPPER('Paste SD Data'!E1785))</f>
        <v/>
      </c>
      <c r="F1788" s="27" t="str">
        <f>IF('Paste SD Data'!G1785="","",UPPER('Paste SD Data'!G1785))</f>
        <v/>
      </c>
      <c r="G1788" s="27" t="str">
        <f>IF('Paste SD Data'!H1785="","",UPPER('Paste SD Data'!H1785))</f>
        <v/>
      </c>
      <c r="H1788" s="26" t="str">
        <f>IF('Paste SD Data'!I1785="","",IF('Paste SD Data'!I1785="M","BOY","GIRL"))</f>
        <v/>
      </c>
      <c r="I1788" s="28" t="str">
        <f>IF('Paste SD Data'!J1785="","",'Paste SD Data'!J1785)</f>
        <v/>
      </c>
      <c r="J1788" s="34">
        <f t="shared" si="27"/>
        <v>2214</v>
      </c>
      <c r="K1788" s="29" t="str">
        <f>IF('Paste SD Data'!O1785="","",'Paste SD Data'!O1785)</f>
        <v/>
      </c>
    </row>
    <row r="1789" spans="1:11" ht="30" customHeight="1" x14ac:dyDescent="0.25">
      <c r="A1789" s="25" t="str">
        <f>IF(Table1[[#This Row],[Name of Student]]="","",ROWS($A$1:A1785))</f>
        <v/>
      </c>
      <c r="B1789" s="26" t="str">
        <f>IF('Paste SD Data'!A1786="","",'Paste SD Data'!A1786)</f>
        <v/>
      </c>
      <c r="C1789" s="26" t="str">
        <f>IF('Paste SD Data'!B1786="","",'Paste SD Data'!B1786)</f>
        <v/>
      </c>
      <c r="D1789" s="26" t="str">
        <f>IF('Paste SD Data'!C1786="","",'Paste SD Data'!C1786)</f>
        <v/>
      </c>
      <c r="E1789" s="27" t="str">
        <f>IF('Paste SD Data'!E1786="","",UPPER('Paste SD Data'!E1786))</f>
        <v/>
      </c>
      <c r="F1789" s="27" t="str">
        <f>IF('Paste SD Data'!G1786="","",UPPER('Paste SD Data'!G1786))</f>
        <v/>
      </c>
      <c r="G1789" s="27" t="str">
        <f>IF('Paste SD Data'!H1786="","",UPPER('Paste SD Data'!H1786))</f>
        <v/>
      </c>
      <c r="H1789" s="26" t="str">
        <f>IF('Paste SD Data'!I1786="","",IF('Paste SD Data'!I1786="M","BOY","GIRL"))</f>
        <v/>
      </c>
      <c r="I1789" s="28" t="str">
        <f>IF('Paste SD Data'!J1786="","",'Paste SD Data'!J1786)</f>
        <v/>
      </c>
      <c r="J1789" s="34">
        <f t="shared" si="27"/>
        <v>2215</v>
      </c>
      <c r="K1789" s="29" t="str">
        <f>IF('Paste SD Data'!O1786="","",'Paste SD Data'!O1786)</f>
        <v/>
      </c>
    </row>
    <row r="1790" spans="1:11" ht="30" customHeight="1" x14ac:dyDescent="0.25">
      <c r="A1790" s="25" t="str">
        <f>IF(Table1[[#This Row],[Name of Student]]="","",ROWS($A$1:A1786))</f>
        <v/>
      </c>
      <c r="B1790" s="26" t="str">
        <f>IF('Paste SD Data'!A1787="","",'Paste SD Data'!A1787)</f>
        <v/>
      </c>
      <c r="C1790" s="26" t="str">
        <f>IF('Paste SD Data'!B1787="","",'Paste SD Data'!B1787)</f>
        <v/>
      </c>
      <c r="D1790" s="26" t="str">
        <f>IF('Paste SD Data'!C1787="","",'Paste SD Data'!C1787)</f>
        <v/>
      </c>
      <c r="E1790" s="27" t="str">
        <f>IF('Paste SD Data'!E1787="","",UPPER('Paste SD Data'!E1787))</f>
        <v/>
      </c>
      <c r="F1790" s="27" t="str">
        <f>IF('Paste SD Data'!G1787="","",UPPER('Paste SD Data'!G1787))</f>
        <v/>
      </c>
      <c r="G1790" s="27" t="str">
        <f>IF('Paste SD Data'!H1787="","",UPPER('Paste SD Data'!H1787))</f>
        <v/>
      </c>
      <c r="H1790" s="26" t="str">
        <f>IF('Paste SD Data'!I1787="","",IF('Paste SD Data'!I1787="M","BOY","GIRL"))</f>
        <v/>
      </c>
      <c r="I1790" s="28" t="str">
        <f>IF('Paste SD Data'!J1787="","",'Paste SD Data'!J1787)</f>
        <v/>
      </c>
      <c r="J1790" s="34">
        <f t="shared" si="27"/>
        <v>2216</v>
      </c>
      <c r="K1790" s="29" t="str">
        <f>IF('Paste SD Data'!O1787="","",'Paste SD Data'!O1787)</f>
        <v/>
      </c>
    </row>
    <row r="1791" spans="1:11" ht="30" customHeight="1" x14ac:dyDescent="0.25">
      <c r="A1791" s="25" t="str">
        <f>IF(Table1[[#This Row],[Name of Student]]="","",ROWS($A$1:A1787))</f>
        <v/>
      </c>
      <c r="B1791" s="26" t="str">
        <f>IF('Paste SD Data'!A1788="","",'Paste SD Data'!A1788)</f>
        <v/>
      </c>
      <c r="C1791" s="26" t="str">
        <f>IF('Paste SD Data'!B1788="","",'Paste SD Data'!B1788)</f>
        <v/>
      </c>
      <c r="D1791" s="26" t="str">
        <f>IF('Paste SD Data'!C1788="","",'Paste SD Data'!C1788)</f>
        <v/>
      </c>
      <c r="E1791" s="27" t="str">
        <f>IF('Paste SD Data'!E1788="","",UPPER('Paste SD Data'!E1788))</f>
        <v/>
      </c>
      <c r="F1791" s="27" t="str">
        <f>IF('Paste SD Data'!G1788="","",UPPER('Paste SD Data'!G1788))</f>
        <v/>
      </c>
      <c r="G1791" s="27" t="str">
        <f>IF('Paste SD Data'!H1788="","",UPPER('Paste SD Data'!H1788))</f>
        <v/>
      </c>
      <c r="H1791" s="26" t="str">
        <f>IF('Paste SD Data'!I1788="","",IF('Paste SD Data'!I1788="M","BOY","GIRL"))</f>
        <v/>
      </c>
      <c r="I1791" s="28" t="str">
        <f>IF('Paste SD Data'!J1788="","",'Paste SD Data'!J1788)</f>
        <v/>
      </c>
      <c r="J1791" s="34">
        <f t="shared" si="27"/>
        <v>2217</v>
      </c>
      <c r="K1791" s="29" t="str">
        <f>IF('Paste SD Data'!O1788="","",'Paste SD Data'!O1788)</f>
        <v/>
      </c>
    </row>
    <row r="1792" spans="1:11" ht="30" customHeight="1" x14ac:dyDescent="0.25">
      <c r="A1792" s="25" t="str">
        <f>IF(Table1[[#This Row],[Name of Student]]="","",ROWS($A$1:A1788))</f>
        <v/>
      </c>
      <c r="B1792" s="26" t="str">
        <f>IF('Paste SD Data'!A1789="","",'Paste SD Data'!A1789)</f>
        <v/>
      </c>
      <c r="C1792" s="26" t="str">
        <f>IF('Paste SD Data'!B1789="","",'Paste SD Data'!B1789)</f>
        <v/>
      </c>
      <c r="D1792" s="26" t="str">
        <f>IF('Paste SD Data'!C1789="","",'Paste SD Data'!C1789)</f>
        <v/>
      </c>
      <c r="E1792" s="27" t="str">
        <f>IF('Paste SD Data'!E1789="","",UPPER('Paste SD Data'!E1789))</f>
        <v/>
      </c>
      <c r="F1792" s="27" t="str">
        <f>IF('Paste SD Data'!G1789="","",UPPER('Paste SD Data'!G1789))</f>
        <v/>
      </c>
      <c r="G1792" s="27" t="str">
        <f>IF('Paste SD Data'!H1789="","",UPPER('Paste SD Data'!H1789))</f>
        <v/>
      </c>
      <c r="H1792" s="26" t="str">
        <f>IF('Paste SD Data'!I1789="","",IF('Paste SD Data'!I1789="M","BOY","GIRL"))</f>
        <v/>
      </c>
      <c r="I1792" s="28" t="str">
        <f>IF('Paste SD Data'!J1789="","",'Paste SD Data'!J1789)</f>
        <v/>
      </c>
      <c r="J1792" s="34">
        <f t="shared" si="27"/>
        <v>2218</v>
      </c>
      <c r="K1792" s="29" t="str">
        <f>IF('Paste SD Data'!O1789="","",'Paste SD Data'!O1789)</f>
        <v/>
      </c>
    </row>
    <row r="1793" spans="1:11" ht="30" customHeight="1" x14ac:dyDescent="0.25">
      <c r="A1793" s="25" t="str">
        <f>IF(Table1[[#This Row],[Name of Student]]="","",ROWS($A$1:A1789))</f>
        <v/>
      </c>
      <c r="B1793" s="26" t="str">
        <f>IF('Paste SD Data'!A1790="","",'Paste SD Data'!A1790)</f>
        <v/>
      </c>
      <c r="C1793" s="26" t="str">
        <f>IF('Paste SD Data'!B1790="","",'Paste SD Data'!B1790)</f>
        <v/>
      </c>
      <c r="D1793" s="26" t="str">
        <f>IF('Paste SD Data'!C1790="","",'Paste SD Data'!C1790)</f>
        <v/>
      </c>
      <c r="E1793" s="27" t="str">
        <f>IF('Paste SD Data'!E1790="","",UPPER('Paste SD Data'!E1790))</f>
        <v/>
      </c>
      <c r="F1793" s="27" t="str">
        <f>IF('Paste SD Data'!G1790="","",UPPER('Paste SD Data'!G1790))</f>
        <v/>
      </c>
      <c r="G1793" s="27" t="str">
        <f>IF('Paste SD Data'!H1790="","",UPPER('Paste SD Data'!H1790))</f>
        <v/>
      </c>
      <c r="H1793" s="26" t="str">
        <f>IF('Paste SD Data'!I1790="","",IF('Paste SD Data'!I1790="M","BOY","GIRL"))</f>
        <v/>
      </c>
      <c r="I1793" s="28" t="str">
        <f>IF('Paste SD Data'!J1790="","",'Paste SD Data'!J1790)</f>
        <v/>
      </c>
      <c r="J1793" s="34">
        <f t="shared" si="27"/>
        <v>2219</v>
      </c>
      <c r="K1793" s="29" t="str">
        <f>IF('Paste SD Data'!O1790="","",'Paste SD Data'!O1790)</f>
        <v/>
      </c>
    </row>
    <row r="1794" spans="1:11" ht="30" customHeight="1" x14ac:dyDescent="0.25">
      <c r="A1794" s="25" t="str">
        <f>IF(Table1[[#This Row],[Name of Student]]="","",ROWS($A$1:A1790))</f>
        <v/>
      </c>
      <c r="B1794" s="26" t="str">
        <f>IF('Paste SD Data'!A1791="","",'Paste SD Data'!A1791)</f>
        <v/>
      </c>
      <c r="C1794" s="26" t="str">
        <f>IF('Paste SD Data'!B1791="","",'Paste SD Data'!B1791)</f>
        <v/>
      </c>
      <c r="D1794" s="26" t="str">
        <f>IF('Paste SD Data'!C1791="","",'Paste SD Data'!C1791)</f>
        <v/>
      </c>
      <c r="E1794" s="27" t="str">
        <f>IF('Paste SD Data'!E1791="","",UPPER('Paste SD Data'!E1791))</f>
        <v/>
      </c>
      <c r="F1794" s="27" t="str">
        <f>IF('Paste SD Data'!G1791="","",UPPER('Paste SD Data'!G1791))</f>
        <v/>
      </c>
      <c r="G1794" s="27" t="str">
        <f>IF('Paste SD Data'!H1791="","",UPPER('Paste SD Data'!H1791))</f>
        <v/>
      </c>
      <c r="H1794" s="26" t="str">
        <f>IF('Paste SD Data'!I1791="","",IF('Paste SD Data'!I1791="M","BOY","GIRL"))</f>
        <v/>
      </c>
      <c r="I1794" s="28" t="str">
        <f>IF('Paste SD Data'!J1791="","",'Paste SD Data'!J1791)</f>
        <v/>
      </c>
      <c r="J1794" s="34">
        <f t="shared" si="27"/>
        <v>2220</v>
      </c>
      <c r="K1794" s="29" t="str">
        <f>IF('Paste SD Data'!O1791="","",'Paste SD Data'!O1791)</f>
        <v/>
      </c>
    </row>
    <row r="1795" spans="1:11" ht="30" customHeight="1" x14ac:dyDescent="0.25">
      <c r="A1795" s="25" t="str">
        <f>IF(Table1[[#This Row],[Name of Student]]="","",ROWS($A$1:A1791))</f>
        <v/>
      </c>
      <c r="B1795" s="26" t="str">
        <f>IF('Paste SD Data'!A1792="","",'Paste SD Data'!A1792)</f>
        <v/>
      </c>
      <c r="C1795" s="26" t="str">
        <f>IF('Paste SD Data'!B1792="","",'Paste SD Data'!B1792)</f>
        <v/>
      </c>
      <c r="D1795" s="26" t="str">
        <f>IF('Paste SD Data'!C1792="","",'Paste SD Data'!C1792)</f>
        <v/>
      </c>
      <c r="E1795" s="27" t="str">
        <f>IF('Paste SD Data'!E1792="","",UPPER('Paste SD Data'!E1792))</f>
        <v/>
      </c>
      <c r="F1795" s="27" t="str">
        <f>IF('Paste SD Data'!G1792="","",UPPER('Paste SD Data'!G1792))</f>
        <v/>
      </c>
      <c r="G1795" s="27" t="str">
        <f>IF('Paste SD Data'!H1792="","",UPPER('Paste SD Data'!H1792))</f>
        <v/>
      </c>
      <c r="H1795" s="26" t="str">
        <f>IF('Paste SD Data'!I1792="","",IF('Paste SD Data'!I1792="M","BOY","GIRL"))</f>
        <v/>
      </c>
      <c r="I1795" s="28" t="str">
        <f>IF('Paste SD Data'!J1792="","",'Paste SD Data'!J1792)</f>
        <v/>
      </c>
      <c r="J1795" s="34">
        <f t="shared" si="27"/>
        <v>2221</v>
      </c>
      <c r="K1795" s="29" t="str">
        <f>IF('Paste SD Data'!O1792="","",'Paste SD Data'!O1792)</f>
        <v/>
      </c>
    </row>
    <row r="1796" spans="1:11" ht="30" customHeight="1" x14ac:dyDescent="0.25">
      <c r="A1796" s="25" t="str">
        <f>IF(Table1[[#This Row],[Name of Student]]="","",ROWS($A$1:A1792))</f>
        <v/>
      </c>
      <c r="B1796" s="26" t="str">
        <f>IF('Paste SD Data'!A1793="","",'Paste SD Data'!A1793)</f>
        <v/>
      </c>
      <c r="C1796" s="26" t="str">
        <f>IF('Paste SD Data'!B1793="","",'Paste SD Data'!B1793)</f>
        <v/>
      </c>
      <c r="D1796" s="26" t="str">
        <f>IF('Paste SD Data'!C1793="","",'Paste SD Data'!C1793)</f>
        <v/>
      </c>
      <c r="E1796" s="27" t="str">
        <f>IF('Paste SD Data'!E1793="","",UPPER('Paste SD Data'!E1793))</f>
        <v/>
      </c>
      <c r="F1796" s="27" t="str">
        <f>IF('Paste SD Data'!G1793="","",UPPER('Paste SD Data'!G1793))</f>
        <v/>
      </c>
      <c r="G1796" s="27" t="str">
        <f>IF('Paste SD Data'!H1793="","",UPPER('Paste SD Data'!H1793))</f>
        <v/>
      </c>
      <c r="H1796" s="26" t="str">
        <f>IF('Paste SD Data'!I1793="","",IF('Paste SD Data'!I1793="M","BOY","GIRL"))</f>
        <v/>
      </c>
      <c r="I1796" s="28" t="str">
        <f>IF('Paste SD Data'!J1793="","",'Paste SD Data'!J1793)</f>
        <v/>
      </c>
      <c r="J1796" s="34">
        <f t="shared" si="27"/>
        <v>2222</v>
      </c>
      <c r="K1796" s="29" t="str">
        <f>IF('Paste SD Data'!O1793="","",'Paste SD Data'!O1793)</f>
        <v/>
      </c>
    </row>
    <row r="1797" spans="1:11" ht="30" customHeight="1" x14ac:dyDescent="0.25">
      <c r="A1797" s="25" t="str">
        <f>IF(Table1[[#This Row],[Name of Student]]="","",ROWS($A$1:A1793))</f>
        <v/>
      </c>
      <c r="B1797" s="26" t="str">
        <f>IF('Paste SD Data'!A1794="","",'Paste SD Data'!A1794)</f>
        <v/>
      </c>
      <c r="C1797" s="26" t="str">
        <f>IF('Paste SD Data'!B1794="","",'Paste SD Data'!B1794)</f>
        <v/>
      </c>
      <c r="D1797" s="26" t="str">
        <f>IF('Paste SD Data'!C1794="","",'Paste SD Data'!C1794)</f>
        <v/>
      </c>
      <c r="E1797" s="27" t="str">
        <f>IF('Paste SD Data'!E1794="","",UPPER('Paste SD Data'!E1794))</f>
        <v/>
      </c>
      <c r="F1797" s="27" t="str">
        <f>IF('Paste SD Data'!G1794="","",UPPER('Paste SD Data'!G1794))</f>
        <v/>
      </c>
      <c r="G1797" s="27" t="str">
        <f>IF('Paste SD Data'!H1794="","",UPPER('Paste SD Data'!H1794))</f>
        <v/>
      </c>
      <c r="H1797" s="26" t="str">
        <f>IF('Paste SD Data'!I1794="","",IF('Paste SD Data'!I1794="M","BOY","GIRL"))</f>
        <v/>
      </c>
      <c r="I1797" s="28" t="str">
        <f>IF('Paste SD Data'!J1794="","",'Paste SD Data'!J1794)</f>
        <v/>
      </c>
      <c r="J1797" s="34">
        <f t="shared" si="27"/>
        <v>2223</v>
      </c>
      <c r="K1797" s="29" t="str">
        <f>IF('Paste SD Data'!O1794="","",'Paste SD Data'!O1794)</f>
        <v/>
      </c>
    </row>
    <row r="1798" spans="1:11" ht="30" customHeight="1" x14ac:dyDescent="0.25">
      <c r="A1798" s="25" t="str">
        <f>IF(Table1[[#This Row],[Name of Student]]="","",ROWS($A$1:A1794))</f>
        <v/>
      </c>
      <c r="B1798" s="26" t="str">
        <f>IF('Paste SD Data'!A1795="","",'Paste SD Data'!A1795)</f>
        <v/>
      </c>
      <c r="C1798" s="26" t="str">
        <f>IF('Paste SD Data'!B1795="","",'Paste SD Data'!B1795)</f>
        <v/>
      </c>
      <c r="D1798" s="26" t="str">
        <f>IF('Paste SD Data'!C1795="","",'Paste SD Data'!C1795)</f>
        <v/>
      </c>
      <c r="E1798" s="27" t="str">
        <f>IF('Paste SD Data'!E1795="","",UPPER('Paste SD Data'!E1795))</f>
        <v/>
      </c>
      <c r="F1798" s="27" t="str">
        <f>IF('Paste SD Data'!G1795="","",UPPER('Paste SD Data'!G1795))</f>
        <v/>
      </c>
      <c r="G1798" s="27" t="str">
        <f>IF('Paste SD Data'!H1795="","",UPPER('Paste SD Data'!H1795))</f>
        <v/>
      </c>
      <c r="H1798" s="26" t="str">
        <f>IF('Paste SD Data'!I1795="","",IF('Paste SD Data'!I1795="M","BOY","GIRL"))</f>
        <v/>
      </c>
      <c r="I1798" s="28" t="str">
        <f>IF('Paste SD Data'!J1795="","",'Paste SD Data'!J1795)</f>
        <v/>
      </c>
      <c r="J1798" s="34">
        <f t="shared" si="27"/>
        <v>2224</v>
      </c>
      <c r="K1798" s="29" t="str">
        <f>IF('Paste SD Data'!O1795="","",'Paste SD Data'!O1795)</f>
        <v/>
      </c>
    </row>
    <row r="1799" spans="1:11" ht="30" customHeight="1" x14ac:dyDescent="0.25">
      <c r="A1799" s="25" t="str">
        <f>IF(Table1[[#This Row],[Name of Student]]="","",ROWS($A$1:A1795))</f>
        <v/>
      </c>
      <c r="B1799" s="26" t="str">
        <f>IF('Paste SD Data'!A1796="","",'Paste SD Data'!A1796)</f>
        <v/>
      </c>
      <c r="C1799" s="26" t="str">
        <f>IF('Paste SD Data'!B1796="","",'Paste SD Data'!B1796)</f>
        <v/>
      </c>
      <c r="D1799" s="26" t="str">
        <f>IF('Paste SD Data'!C1796="","",'Paste SD Data'!C1796)</f>
        <v/>
      </c>
      <c r="E1799" s="27" t="str">
        <f>IF('Paste SD Data'!E1796="","",UPPER('Paste SD Data'!E1796))</f>
        <v/>
      </c>
      <c r="F1799" s="27" t="str">
        <f>IF('Paste SD Data'!G1796="","",UPPER('Paste SD Data'!G1796))</f>
        <v/>
      </c>
      <c r="G1799" s="27" t="str">
        <f>IF('Paste SD Data'!H1796="","",UPPER('Paste SD Data'!H1796))</f>
        <v/>
      </c>
      <c r="H1799" s="26" t="str">
        <f>IF('Paste SD Data'!I1796="","",IF('Paste SD Data'!I1796="M","BOY","GIRL"))</f>
        <v/>
      </c>
      <c r="I1799" s="28" t="str">
        <f>IF('Paste SD Data'!J1796="","",'Paste SD Data'!J1796)</f>
        <v/>
      </c>
      <c r="J1799" s="34">
        <f t="shared" ref="J1799:J1862" si="28">J1798+1</f>
        <v>2225</v>
      </c>
      <c r="K1799" s="29" t="str">
        <f>IF('Paste SD Data'!O1796="","",'Paste SD Data'!O1796)</f>
        <v/>
      </c>
    </row>
    <row r="1800" spans="1:11" ht="30" customHeight="1" x14ac:dyDescent="0.25">
      <c r="A1800" s="25" t="str">
        <f>IF(Table1[[#This Row],[Name of Student]]="","",ROWS($A$1:A1796))</f>
        <v/>
      </c>
      <c r="B1800" s="26" t="str">
        <f>IF('Paste SD Data'!A1797="","",'Paste SD Data'!A1797)</f>
        <v/>
      </c>
      <c r="C1800" s="26" t="str">
        <f>IF('Paste SD Data'!B1797="","",'Paste SD Data'!B1797)</f>
        <v/>
      </c>
      <c r="D1800" s="26" t="str">
        <f>IF('Paste SD Data'!C1797="","",'Paste SD Data'!C1797)</f>
        <v/>
      </c>
      <c r="E1800" s="27" t="str">
        <f>IF('Paste SD Data'!E1797="","",UPPER('Paste SD Data'!E1797))</f>
        <v/>
      </c>
      <c r="F1800" s="27" t="str">
        <f>IF('Paste SD Data'!G1797="","",UPPER('Paste SD Data'!G1797))</f>
        <v/>
      </c>
      <c r="G1800" s="27" t="str">
        <f>IF('Paste SD Data'!H1797="","",UPPER('Paste SD Data'!H1797))</f>
        <v/>
      </c>
      <c r="H1800" s="26" t="str">
        <f>IF('Paste SD Data'!I1797="","",IF('Paste SD Data'!I1797="M","BOY","GIRL"))</f>
        <v/>
      </c>
      <c r="I1800" s="28" t="str">
        <f>IF('Paste SD Data'!J1797="","",'Paste SD Data'!J1797)</f>
        <v/>
      </c>
      <c r="J1800" s="34">
        <f t="shared" si="28"/>
        <v>2226</v>
      </c>
      <c r="K1800" s="29" t="str">
        <f>IF('Paste SD Data'!O1797="","",'Paste SD Data'!O1797)</f>
        <v/>
      </c>
    </row>
    <row r="1801" spans="1:11" ht="30" customHeight="1" x14ac:dyDescent="0.25">
      <c r="A1801" s="25" t="str">
        <f>IF(Table1[[#This Row],[Name of Student]]="","",ROWS($A$1:A1797))</f>
        <v/>
      </c>
      <c r="B1801" s="26" t="str">
        <f>IF('Paste SD Data'!A1798="","",'Paste SD Data'!A1798)</f>
        <v/>
      </c>
      <c r="C1801" s="26" t="str">
        <f>IF('Paste SD Data'!B1798="","",'Paste SD Data'!B1798)</f>
        <v/>
      </c>
      <c r="D1801" s="26" t="str">
        <f>IF('Paste SD Data'!C1798="","",'Paste SD Data'!C1798)</f>
        <v/>
      </c>
      <c r="E1801" s="27" t="str">
        <f>IF('Paste SD Data'!E1798="","",UPPER('Paste SD Data'!E1798))</f>
        <v/>
      </c>
      <c r="F1801" s="27" t="str">
        <f>IF('Paste SD Data'!G1798="","",UPPER('Paste SD Data'!G1798))</f>
        <v/>
      </c>
      <c r="G1801" s="27" t="str">
        <f>IF('Paste SD Data'!H1798="","",UPPER('Paste SD Data'!H1798))</f>
        <v/>
      </c>
      <c r="H1801" s="26" t="str">
        <f>IF('Paste SD Data'!I1798="","",IF('Paste SD Data'!I1798="M","BOY","GIRL"))</f>
        <v/>
      </c>
      <c r="I1801" s="28" t="str">
        <f>IF('Paste SD Data'!J1798="","",'Paste SD Data'!J1798)</f>
        <v/>
      </c>
      <c r="J1801" s="34">
        <f t="shared" si="28"/>
        <v>2227</v>
      </c>
      <c r="K1801" s="29" t="str">
        <f>IF('Paste SD Data'!O1798="","",'Paste SD Data'!O1798)</f>
        <v/>
      </c>
    </row>
    <row r="1802" spans="1:11" ht="30" customHeight="1" x14ac:dyDescent="0.25">
      <c r="A1802" s="25" t="str">
        <f>IF(Table1[[#This Row],[Name of Student]]="","",ROWS($A$1:A1798))</f>
        <v/>
      </c>
      <c r="B1802" s="26" t="str">
        <f>IF('Paste SD Data'!A1799="","",'Paste SD Data'!A1799)</f>
        <v/>
      </c>
      <c r="C1802" s="26" t="str">
        <f>IF('Paste SD Data'!B1799="","",'Paste SD Data'!B1799)</f>
        <v/>
      </c>
      <c r="D1802" s="26" t="str">
        <f>IF('Paste SD Data'!C1799="","",'Paste SD Data'!C1799)</f>
        <v/>
      </c>
      <c r="E1802" s="27" t="str">
        <f>IF('Paste SD Data'!E1799="","",UPPER('Paste SD Data'!E1799))</f>
        <v/>
      </c>
      <c r="F1802" s="27" t="str">
        <f>IF('Paste SD Data'!G1799="","",UPPER('Paste SD Data'!G1799))</f>
        <v/>
      </c>
      <c r="G1802" s="27" t="str">
        <f>IF('Paste SD Data'!H1799="","",UPPER('Paste SD Data'!H1799))</f>
        <v/>
      </c>
      <c r="H1802" s="26" t="str">
        <f>IF('Paste SD Data'!I1799="","",IF('Paste SD Data'!I1799="M","BOY","GIRL"))</f>
        <v/>
      </c>
      <c r="I1802" s="28" t="str">
        <f>IF('Paste SD Data'!J1799="","",'Paste SD Data'!J1799)</f>
        <v/>
      </c>
      <c r="J1802" s="34">
        <f t="shared" si="28"/>
        <v>2228</v>
      </c>
      <c r="K1802" s="29" t="str">
        <f>IF('Paste SD Data'!O1799="","",'Paste SD Data'!O1799)</f>
        <v/>
      </c>
    </row>
    <row r="1803" spans="1:11" ht="30" customHeight="1" x14ac:dyDescent="0.25">
      <c r="A1803" s="25" t="str">
        <f>IF(Table1[[#This Row],[Name of Student]]="","",ROWS($A$1:A1799))</f>
        <v/>
      </c>
      <c r="B1803" s="26" t="str">
        <f>IF('Paste SD Data'!A1800="","",'Paste SD Data'!A1800)</f>
        <v/>
      </c>
      <c r="C1803" s="26" t="str">
        <f>IF('Paste SD Data'!B1800="","",'Paste SD Data'!B1800)</f>
        <v/>
      </c>
      <c r="D1803" s="26" t="str">
        <f>IF('Paste SD Data'!C1800="","",'Paste SD Data'!C1800)</f>
        <v/>
      </c>
      <c r="E1803" s="27" t="str">
        <f>IF('Paste SD Data'!E1800="","",UPPER('Paste SD Data'!E1800))</f>
        <v/>
      </c>
      <c r="F1803" s="27" t="str">
        <f>IF('Paste SD Data'!G1800="","",UPPER('Paste SD Data'!G1800))</f>
        <v/>
      </c>
      <c r="G1803" s="27" t="str">
        <f>IF('Paste SD Data'!H1800="","",UPPER('Paste SD Data'!H1800))</f>
        <v/>
      </c>
      <c r="H1803" s="26" t="str">
        <f>IF('Paste SD Data'!I1800="","",IF('Paste SD Data'!I1800="M","BOY","GIRL"))</f>
        <v/>
      </c>
      <c r="I1803" s="28" t="str">
        <f>IF('Paste SD Data'!J1800="","",'Paste SD Data'!J1800)</f>
        <v/>
      </c>
      <c r="J1803" s="34">
        <f t="shared" si="28"/>
        <v>2229</v>
      </c>
      <c r="K1803" s="29" t="str">
        <f>IF('Paste SD Data'!O1800="","",'Paste SD Data'!O1800)</f>
        <v/>
      </c>
    </row>
    <row r="1804" spans="1:11" ht="30" customHeight="1" x14ac:dyDescent="0.25">
      <c r="A1804" s="25" t="str">
        <f>IF(Table1[[#This Row],[Name of Student]]="","",ROWS($A$1:A1800))</f>
        <v/>
      </c>
      <c r="B1804" s="26" t="str">
        <f>IF('Paste SD Data'!A1801="","",'Paste SD Data'!A1801)</f>
        <v/>
      </c>
      <c r="C1804" s="26" t="str">
        <f>IF('Paste SD Data'!B1801="","",'Paste SD Data'!B1801)</f>
        <v/>
      </c>
      <c r="D1804" s="26" t="str">
        <f>IF('Paste SD Data'!C1801="","",'Paste SD Data'!C1801)</f>
        <v/>
      </c>
      <c r="E1804" s="27" t="str">
        <f>IF('Paste SD Data'!E1801="","",UPPER('Paste SD Data'!E1801))</f>
        <v/>
      </c>
      <c r="F1804" s="27" t="str">
        <f>IF('Paste SD Data'!G1801="","",UPPER('Paste SD Data'!G1801))</f>
        <v/>
      </c>
      <c r="G1804" s="27" t="str">
        <f>IF('Paste SD Data'!H1801="","",UPPER('Paste SD Data'!H1801))</f>
        <v/>
      </c>
      <c r="H1804" s="26" t="str">
        <f>IF('Paste SD Data'!I1801="","",IF('Paste SD Data'!I1801="M","BOY","GIRL"))</f>
        <v/>
      </c>
      <c r="I1804" s="28" t="str">
        <f>IF('Paste SD Data'!J1801="","",'Paste SD Data'!J1801)</f>
        <v/>
      </c>
      <c r="J1804" s="34">
        <f t="shared" si="28"/>
        <v>2230</v>
      </c>
      <c r="K1804" s="29" t="str">
        <f>IF('Paste SD Data'!O1801="","",'Paste SD Data'!O1801)</f>
        <v/>
      </c>
    </row>
    <row r="1805" spans="1:11" ht="30" customHeight="1" x14ac:dyDescent="0.25">
      <c r="A1805" s="25" t="str">
        <f>IF(Table1[[#This Row],[Name of Student]]="","",ROWS($A$1:A1801))</f>
        <v/>
      </c>
      <c r="B1805" s="26" t="str">
        <f>IF('Paste SD Data'!A1802="","",'Paste SD Data'!A1802)</f>
        <v/>
      </c>
      <c r="C1805" s="26" t="str">
        <f>IF('Paste SD Data'!B1802="","",'Paste SD Data'!B1802)</f>
        <v/>
      </c>
      <c r="D1805" s="26" t="str">
        <f>IF('Paste SD Data'!C1802="","",'Paste SD Data'!C1802)</f>
        <v/>
      </c>
      <c r="E1805" s="27" t="str">
        <f>IF('Paste SD Data'!E1802="","",UPPER('Paste SD Data'!E1802))</f>
        <v/>
      </c>
      <c r="F1805" s="27" t="str">
        <f>IF('Paste SD Data'!G1802="","",UPPER('Paste SD Data'!G1802))</f>
        <v/>
      </c>
      <c r="G1805" s="27" t="str">
        <f>IF('Paste SD Data'!H1802="","",UPPER('Paste SD Data'!H1802))</f>
        <v/>
      </c>
      <c r="H1805" s="26" t="str">
        <f>IF('Paste SD Data'!I1802="","",IF('Paste SD Data'!I1802="M","BOY","GIRL"))</f>
        <v/>
      </c>
      <c r="I1805" s="28" t="str">
        <f>IF('Paste SD Data'!J1802="","",'Paste SD Data'!J1802)</f>
        <v/>
      </c>
      <c r="J1805" s="34">
        <f t="shared" si="28"/>
        <v>2231</v>
      </c>
      <c r="K1805" s="29" t="str">
        <f>IF('Paste SD Data'!O1802="","",'Paste SD Data'!O1802)</f>
        <v/>
      </c>
    </row>
    <row r="1806" spans="1:11" ht="30" customHeight="1" x14ac:dyDescent="0.25">
      <c r="A1806" s="25" t="str">
        <f>IF(Table1[[#This Row],[Name of Student]]="","",ROWS($A$1:A1802))</f>
        <v/>
      </c>
      <c r="B1806" s="26" t="str">
        <f>IF('Paste SD Data'!A1803="","",'Paste SD Data'!A1803)</f>
        <v/>
      </c>
      <c r="C1806" s="26" t="str">
        <f>IF('Paste SD Data'!B1803="","",'Paste SD Data'!B1803)</f>
        <v/>
      </c>
      <c r="D1806" s="26" t="str">
        <f>IF('Paste SD Data'!C1803="","",'Paste SD Data'!C1803)</f>
        <v/>
      </c>
      <c r="E1806" s="27" t="str">
        <f>IF('Paste SD Data'!E1803="","",UPPER('Paste SD Data'!E1803))</f>
        <v/>
      </c>
      <c r="F1806" s="27" t="str">
        <f>IF('Paste SD Data'!G1803="","",UPPER('Paste SD Data'!G1803))</f>
        <v/>
      </c>
      <c r="G1806" s="27" t="str">
        <f>IF('Paste SD Data'!H1803="","",UPPER('Paste SD Data'!H1803))</f>
        <v/>
      </c>
      <c r="H1806" s="26" t="str">
        <f>IF('Paste SD Data'!I1803="","",IF('Paste SD Data'!I1803="M","BOY","GIRL"))</f>
        <v/>
      </c>
      <c r="I1806" s="28" t="str">
        <f>IF('Paste SD Data'!J1803="","",'Paste SD Data'!J1803)</f>
        <v/>
      </c>
      <c r="J1806" s="34">
        <f t="shared" si="28"/>
        <v>2232</v>
      </c>
      <c r="K1806" s="29" t="str">
        <f>IF('Paste SD Data'!O1803="","",'Paste SD Data'!O1803)</f>
        <v/>
      </c>
    </row>
    <row r="1807" spans="1:11" ht="30" customHeight="1" x14ac:dyDescent="0.25">
      <c r="A1807" s="25" t="str">
        <f>IF(Table1[[#This Row],[Name of Student]]="","",ROWS($A$1:A1803))</f>
        <v/>
      </c>
      <c r="B1807" s="26" t="str">
        <f>IF('Paste SD Data'!A1804="","",'Paste SD Data'!A1804)</f>
        <v/>
      </c>
      <c r="C1807" s="26" t="str">
        <f>IF('Paste SD Data'!B1804="","",'Paste SD Data'!B1804)</f>
        <v/>
      </c>
      <c r="D1807" s="26" t="str">
        <f>IF('Paste SD Data'!C1804="","",'Paste SD Data'!C1804)</f>
        <v/>
      </c>
      <c r="E1807" s="27" t="str">
        <f>IF('Paste SD Data'!E1804="","",UPPER('Paste SD Data'!E1804))</f>
        <v/>
      </c>
      <c r="F1807" s="27" t="str">
        <f>IF('Paste SD Data'!G1804="","",UPPER('Paste SD Data'!G1804))</f>
        <v/>
      </c>
      <c r="G1807" s="27" t="str">
        <f>IF('Paste SD Data'!H1804="","",UPPER('Paste SD Data'!H1804))</f>
        <v/>
      </c>
      <c r="H1807" s="26" t="str">
        <f>IF('Paste SD Data'!I1804="","",IF('Paste SD Data'!I1804="M","BOY","GIRL"))</f>
        <v/>
      </c>
      <c r="I1807" s="28" t="str">
        <f>IF('Paste SD Data'!J1804="","",'Paste SD Data'!J1804)</f>
        <v/>
      </c>
      <c r="J1807" s="34">
        <f t="shared" si="28"/>
        <v>2233</v>
      </c>
      <c r="K1807" s="29" t="str">
        <f>IF('Paste SD Data'!O1804="","",'Paste SD Data'!O1804)</f>
        <v/>
      </c>
    </row>
    <row r="1808" spans="1:11" ht="30" customHeight="1" x14ac:dyDescent="0.25">
      <c r="A1808" s="25" t="str">
        <f>IF(Table1[[#This Row],[Name of Student]]="","",ROWS($A$1:A1804))</f>
        <v/>
      </c>
      <c r="B1808" s="26" t="str">
        <f>IF('Paste SD Data'!A1805="","",'Paste SD Data'!A1805)</f>
        <v/>
      </c>
      <c r="C1808" s="26" t="str">
        <f>IF('Paste SD Data'!B1805="","",'Paste SD Data'!B1805)</f>
        <v/>
      </c>
      <c r="D1808" s="26" t="str">
        <f>IF('Paste SD Data'!C1805="","",'Paste SD Data'!C1805)</f>
        <v/>
      </c>
      <c r="E1808" s="27" t="str">
        <f>IF('Paste SD Data'!E1805="","",UPPER('Paste SD Data'!E1805))</f>
        <v/>
      </c>
      <c r="F1808" s="27" t="str">
        <f>IF('Paste SD Data'!G1805="","",UPPER('Paste SD Data'!G1805))</f>
        <v/>
      </c>
      <c r="G1808" s="27" t="str">
        <f>IF('Paste SD Data'!H1805="","",UPPER('Paste SD Data'!H1805))</f>
        <v/>
      </c>
      <c r="H1808" s="26" t="str">
        <f>IF('Paste SD Data'!I1805="","",IF('Paste SD Data'!I1805="M","BOY","GIRL"))</f>
        <v/>
      </c>
      <c r="I1808" s="28" t="str">
        <f>IF('Paste SD Data'!J1805="","",'Paste SD Data'!J1805)</f>
        <v/>
      </c>
      <c r="J1808" s="34">
        <f t="shared" si="28"/>
        <v>2234</v>
      </c>
      <c r="K1808" s="29" t="str">
        <f>IF('Paste SD Data'!O1805="","",'Paste SD Data'!O1805)</f>
        <v/>
      </c>
    </row>
    <row r="1809" spans="1:11" ht="30" customHeight="1" x14ac:dyDescent="0.25">
      <c r="A1809" s="25" t="str">
        <f>IF(Table1[[#This Row],[Name of Student]]="","",ROWS($A$1:A1805))</f>
        <v/>
      </c>
      <c r="B1809" s="26" t="str">
        <f>IF('Paste SD Data'!A1806="","",'Paste SD Data'!A1806)</f>
        <v/>
      </c>
      <c r="C1809" s="26" t="str">
        <f>IF('Paste SD Data'!B1806="","",'Paste SD Data'!B1806)</f>
        <v/>
      </c>
      <c r="D1809" s="26" t="str">
        <f>IF('Paste SD Data'!C1806="","",'Paste SD Data'!C1806)</f>
        <v/>
      </c>
      <c r="E1809" s="27" t="str">
        <f>IF('Paste SD Data'!E1806="","",UPPER('Paste SD Data'!E1806))</f>
        <v/>
      </c>
      <c r="F1809" s="27" t="str">
        <f>IF('Paste SD Data'!G1806="","",UPPER('Paste SD Data'!G1806))</f>
        <v/>
      </c>
      <c r="G1809" s="27" t="str">
        <f>IF('Paste SD Data'!H1806="","",UPPER('Paste SD Data'!H1806))</f>
        <v/>
      </c>
      <c r="H1809" s="26" t="str">
        <f>IF('Paste SD Data'!I1806="","",IF('Paste SD Data'!I1806="M","BOY","GIRL"))</f>
        <v/>
      </c>
      <c r="I1809" s="28" t="str">
        <f>IF('Paste SD Data'!J1806="","",'Paste SD Data'!J1806)</f>
        <v/>
      </c>
      <c r="J1809" s="34">
        <f t="shared" si="28"/>
        <v>2235</v>
      </c>
      <c r="K1809" s="29" t="str">
        <f>IF('Paste SD Data'!O1806="","",'Paste SD Data'!O1806)</f>
        <v/>
      </c>
    </row>
    <row r="1810" spans="1:11" ht="30" customHeight="1" x14ac:dyDescent="0.25">
      <c r="A1810" s="25" t="str">
        <f>IF(Table1[[#This Row],[Name of Student]]="","",ROWS($A$1:A1806))</f>
        <v/>
      </c>
      <c r="B1810" s="26" t="str">
        <f>IF('Paste SD Data'!A1807="","",'Paste SD Data'!A1807)</f>
        <v/>
      </c>
      <c r="C1810" s="26" t="str">
        <f>IF('Paste SD Data'!B1807="","",'Paste SD Data'!B1807)</f>
        <v/>
      </c>
      <c r="D1810" s="26" t="str">
        <f>IF('Paste SD Data'!C1807="","",'Paste SD Data'!C1807)</f>
        <v/>
      </c>
      <c r="E1810" s="27" t="str">
        <f>IF('Paste SD Data'!E1807="","",UPPER('Paste SD Data'!E1807))</f>
        <v/>
      </c>
      <c r="F1810" s="27" t="str">
        <f>IF('Paste SD Data'!G1807="","",UPPER('Paste SD Data'!G1807))</f>
        <v/>
      </c>
      <c r="G1810" s="27" t="str">
        <f>IF('Paste SD Data'!H1807="","",UPPER('Paste SD Data'!H1807))</f>
        <v/>
      </c>
      <c r="H1810" s="26" t="str">
        <f>IF('Paste SD Data'!I1807="","",IF('Paste SD Data'!I1807="M","BOY","GIRL"))</f>
        <v/>
      </c>
      <c r="I1810" s="28" t="str">
        <f>IF('Paste SD Data'!J1807="","",'Paste SD Data'!J1807)</f>
        <v/>
      </c>
      <c r="J1810" s="34">
        <f t="shared" si="28"/>
        <v>2236</v>
      </c>
      <c r="K1810" s="29" t="str">
        <f>IF('Paste SD Data'!O1807="","",'Paste SD Data'!O1807)</f>
        <v/>
      </c>
    </row>
    <row r="1811" spans="1:11" ht="30" customHeight="1" x14ac:dyDescent="0.25">
      <c r="A1811" s="25" t="str">
        <f>IF(Table1[[#This Row],[Name of Student]]="","",ROWS($A$1:A1807))</f>
        <v/>
      </c>
      <c r="B1811" s="26" t="str">
        <f>IF('Paste SD Data'!A1808="","",'Paste SD Data'!A1808)</f>
        <v/>
      </c>
      <c r="C1811" s="26" t="str">
        <f>IF('Paste SD Data'!B1808="","",'Paste SD Data'!B1808)</f>
        <v/>
      </c>
      <c r="D1811" s="26" t="str">
        <f>IF('Paste SD Data'!C1808="","",'Paste SD Data'!C1808)</f>
        <v/>
      </c>
      <c r="E1811" s="27" t="str">
        <f>IF('Paste SD Data'!E1808="","",UPPER('Paste SD Data'!E1808))</f>
        <v/>
      </c>
      <c r="F1811" s="27" t="str">
        <f>IF('Paste SD Data'!G1808="","",UPPER('Paste SD Data'!G1808))</f>
        <v/>
      </c>
      <c r="G1811" s="27" t="str">
        <f>IF('Paste SD Data'!H1808="","",UPPER('Paste SD Data'!H1808))</f>
        <v/>
      </c>
      <c r="H1811" s="26" t="str">
        <f>IF('Paste SD Data'!I1808="","",IF('Paste SD Data'!I1808="M","BOY","GIRL"))</f>
        <v/>
      </c>
      <c r="I1811" s="28" t="str">
        <f>IF('Paste SD Data'!J1808="","",'Paste SD Data'!J1808)</f>
        <v/>
      </c>
      <c r="J1811" s="34">
        <f t="shared" si="28"/>
        <v>2237</v>
      </c>
      <c r="K1811" s="29" t="str">
        <f>IF('Paste SD Data'!O1808="","",'Paste SD Data'!O1808)</f>
        <v/>
      </c>
    </row>
    <row r="1812" spans="1:11" ht="30" customHeight="1" x14ac:dyDescent="0.25">
      <c r="A1812" s="25" t="str">
        <f>IF(Table1[[#This Row],[Name of Student]]="","",ROWS($A$1:A1808))</f>
        <v/>
      </c>
      <c r="B1812" s="26" t="str">
        <f>IF('Paste SD Data'!A1809="","",'Paste SD Data'!A1809)</f>
        <v/>
      </c>
      <c r="C1812" s="26" t="str">
        <f>IF('Paste SD Data'!B1809="","",'Paste SD Data'!B1809)</f>
        <v/>
      </c>
      <c r="D1812" s="26" t="str">
        <f>IF('Paste SD Data'!C1809="","",'Paste SD Data'!C1809)</f>
        <v/>
      </c>
      <c r="E1812" s="27" t="str">
        <f>IF('Paste SD Data'!E1809="","",UPPER('Paste SD Data'!E1809))</f>
        <v/>
      </c>
      <c r="F1812" s="27" t="str">
        <f>IF('Paste SD Data'!G1809="","",UPPER('Paste SD Data'!G1809))</f>
        <v/>
      </c>
      <c r="G1812" s="27" t="str">
        <f>IF('Paste SD Data'!H1809="","",UPPER('Paste SD Data'!H1809))</f>
        <v/>
      </c>
      <c r="H1812" s="26" t="str">
        <f>IF('Paste SD Data'!I1809="","",IF('Paste SD Data'!I1809="M","BOY","GIRL"))</f>
        <v/>
      </c>
      <c r="I1812" s="28" t="str">
        <f>IF('Paste SD Data'!J1809="","",'Paste SD Data'!J1809)</f>
        <v/>
      </c>
      <c r="J1812" s="34">
        <f t="shared" si="28"/>
        <v>2238</v>
      </c>
      <c r="K1812" s="29" t="str">
        <f>IF('Paste SD Data'!O1809="","",'Paste SD Data'!O1809)</f>
        <v/>
      </c>
    </row>
    <row r="1813" spans="1:11" ht="30" customHeight="1" x14ac:dyDescent="0.25">
      <c r="A1813" s="25" t="str">
        <f>IF(Table1[[#This Row],[Name of Student]]="","",ROWS($A$1:A1809))</f>
        <v/>
      </c>
      <c r="B1813" s="26" t="str">
        <f>IF('Paste SD Data'!A1810="","",'Paste SD Data'!A1810)</f>
        <v/>
      </c>
      <c r="C1813" s="26" t="str">
        <f>IF('Paste SD Data'!B1810="","",'Paste SD Data'!B1810)</f>
        <v/>
      </c>
      <c r="D1813" s="26" t="str">
        <f>IF('Paste SD Data'!C1810="","",'Paste SD Data'!C1810)</f>
        <v/>
      </c>
      <c r="E1813" s="27" t="str">
        <f>IF('Paste SD Data'!E1810="","",UPPER('Paste SD Data'!E1810))</f>
        <v/>
      </c>
      <c r="F1813" s="27" t="str">
        <f>IF('Paste SD Data'!G1810="","",UPPER('Paste SD Data'!G1810))</f>
        <v/>
      </c>
      <c r="G1813" s="27" t="str">
        <f>IF('Paste SD Data'!H1810="","",UPPER('Paste SD Data'!H1810))</f>
        <v/>
      </c>
      <c r="H1813" s="26" t="str">
        <f>IF('Paste SD Data'!I1810="","",IF('Paste SD Data'!I1810="M","BOY","GIRL"))</f>
        <v/>
      </c>
      <c r="I1813" s="28" t="str">
        <f>IF('Paste SD Data'!J1810="","",'Paste SD Data'!J1810)</f>
        <v/>
      </c>
      <c r="J1813" s="34">
        <f t="shared" si="28"/>
        <v>2239</v>
      </c>
      <c r="K1813" s="29" t="str">
        <f>IF('Paste SD Data'!O1810="","",'Paste SD Data'!O1810)</f>
        <v/>
      </c>
    </row>
    <row r="1814" spans="1:11" ht="30" customHeight="1" x14ac:dyDescent="0.25">
      <c r="A1814" s="25" t="str">
        <f>IF(Table1[[#This Row],[Name of Student]]="","",ROWS($A$1:A1810))</f>
        <v/>
      </c>
      <c r="B1814" s="26" t="str">
        <f>IF('Paste SD Data'!A1811="","",'Paste SD Data'!A1811)</f>
        <v/>
      </c>
      <c r="C1814" s="26" t="str">
        <f>IF('Paste SD Data'!B1811="","",'Paste SD Data'!B1811)</f>
        <v/>
      </c>
      <c r="D1814" s="26" t="str">
        <f>IF('Paste SD Data'!C1811="","",'Paste SD Data'!C1811)</f>
        <v/>
      </c>
      <c r="E1814" s="27" t="str">
        <f>IF('Paste SD Data'!E1811="","",UPPER('Paste SD Data'!E1811))</f>
        <v/>
      </c>
      <c r="F1814" s="27" t="str">
        <f>IF('Paste SD Data'!G1811="","",UPPER('Paste SD Data'!G1811))</f>
        <v/>
      </c>
      <c r="G1814" s="27" t="str">
        <f>IF('Paste SD Data'!H1811="","",UPPER('Paste SD Data'!H1811))</f>
        <v/>
      </c>
      <c r="H1814" s="26" t="str">
        <f>IF('Paste SD Data'!I1811="","",IF('Paste SD Data'!I1811="M","BOY","GIRL"))</f>
        <v/>
      </c>
      <c r="I1814" s="28" t="str">
        <f>IF('Paste SD Data'!J1811="","",'Paste SD Data'!J1811)</f>
        <v/>
      </c>
      <c r="J1814" s="34">
        <f t="shared" si="28"/>
        <v>2240</v>
      </c>
      <c r="K1814" s="29" t="str">
        <f>IF('Paste SD Data'!O1811="","",'Paste SD Data'!O1811)</f>
        <v/>
      </c>
    </row>
    <row r="1815" spans="1:11" ht="30" customHeight="1" x14ac:dyDescent="0.25">
      <c r="A1815" s="25" t="str">
        <f>IF(Table1[[#This Row],[Name of Student]]="","",ROWS($A$1:A1811))</f>
        <v/>
      </c>
      <c r="B1815" s="26" t="str">
        <f>IF('Paste SD Data'!A1812="","",'Paste SD Data'!A1812)</f>
        <v/>
      </c>
      <c r="C1815" s="26" t="str">
        <f>IF('Paste SD Data'!B1812="","",'Paste SD Data'!B1812)</f>
        <v/>
      </c>
      <c r="D1815" s="26" t="str">
        <f>IF('Paste SD Data'!C1812="","",'Paste SD Data'!C1812)</f>
        <v/>
      </c>
      <c r="E1815" s="27" t="str">
        <f>IF('Paste SD Data'!E1812="","",UPPER('Paste SD Data'!E1812))</f>
        <v/>
      </c>
      <c r="F1815" s="27" t="str">
        <f>IF('Paste SD Data'!G1812="","",UPPER('Paste SD Data'!G1812))</f>
        <v/>
      </c>
      <c r="G1815" s="27" t="str">
        <f>IF('Paste SD Data'!H1812="","",UPPER('Paste SD Data'!H1812))</f>
        <v/>
      </c>
      <c r="H1815" s="26" t="str">
        <f>IF('Paste SD Data'!I1812="","",IF('Paste SD Data'!I1812="M","BOY","GIRL"))</f>
        <v/>
      </c>
      <c r="I1815" s="28" t="str">
        <f>IF('Paste SD Data'!J1812="","",'Paste SD Data'!J1812)</f>
        <v/>
      </c>
      <c r="J1815" s="34">
        <f t="shared" si="28"/>
        <v>2241</v>
      </c>
      <c r="K1815" s="29" t="str">
        <f>IF('Paste SD Data'!O1812="","",'Paste SD Data'!O1812)</f>
        <v/>
      </c>
    </row>
    <row r="1816" spans="1:11" ht="30" customHeight="1" x14ac:dyDescent="0.25">
      <c r="A1816" s="25" t="str">
        <f>IF(Table1[[#This Row],[Name of Student]]="","",ROWS($A$1:A1812))</f>
        <v/>
      </c>
      <c r="B1816" s="26" t="str">
        <f>IF('Paste SD Data'!A1813="","",'Paste SD Data'!A1813)</f>
        <v/>
      </c>
      <c r="C1816" s="26" t="str">
        <f>IF('Paste SD Data'!B1813="","",'Paste SD Data'!B1813)</f>
        <v/>
      </c>
      <c r="D1816" s="26" t="str">
        <f>IF('Paste SD Data'!C1813="","",'Paste SD Data'!C1813)</f>
        <v/>
      </c>
      <c r="E1816" s="27" t="str">
        <f>IF('Paste SD Data'!E1813="","",UPPER('Paste SD Data'!E1813))</f>
        <v/>
      </c>
      <c r="F1816" s="27" t="str">
        <f>IF('Paste SD Data'!G1813="","",UPPER('Paste SD Data'!G1813))</f>
        <v/>
      </c>
      <c r="G1816" s="27" t="str">
        <f>IF('Paste SD Data'!H1813="","",UPPER('Paste SD Data'!H1813))</f>
        <v/>
      </c>
      <c r="H1816" s="26" t="str">
        <f>IF('Paste SD Data'!I1813="","",IF('Paste SD Data'!I1813="M","BOY","GIRL"))</f>
        <v/>
      </c>
      <c r="I1816" s="28" t="str">
        <f>IF('Paste SD Data'!J1813="","",'Paste SD Data'!J1813)</f>
        <v/>
      </c>
      <c r="J1816" s="34">
        <f t="shared" si="28"/>
        <v>2242</v>
      </c>
      <c r="K1816" s="29" t="str">
        <f>IF('Paste SD Data'!O1813="","",'Paste SD Data'!O1813)</f>
        <v/>
      </c>
    </row>
    <row r="1817" spans="1:11" ht="30" customHeight="1" x14ac:dyDescent="0.25">
      <c r="A1817" s="25" t="str">
        <f>IF(Table1[[#This Row],[Name of Student]]="","",ROWS($A$1:A1813))</f>
        <v/>
      </c>
      <c r="B1817" s="26" t="str">
        <f>IF('Paste SD Data'!A1814="","",'Paste SD Data'!A1814)</f>
        <v/>
      </c>
      <c r="C1817" s="26" t="str">
        <f>IF('Paste SD Data'!B1814="","",'Paste SD Data'!B1814)</f>
        <v/>
      </c>
      <c r="D1817" s="26" t="str">
        <f>IF('Paste SD Data'!C1814="","",'Paste SD Data'!C1814)</f>
        <v/>
      </c>
      <c r="E1817" s="27" t="str">
        <f>IF('Paste SD Data'!E1814="","",UPPER('Paste SD Data'!E1814))</f>
        <v/>
      </c>
      <c r="F1817" s="27" t="str">
        <f>IF('Paste SD Data'!G1814="","",UPPER('Paste SD Data'!G1814))</f>
        <v/>
      </c>
      <c r="G1817" s="27" t="str">
        <f>IF('Paste SD Data'!H1814="","",UPPER('Paste SD Data'!H1814))</f>
        <v/>
      </c>
      <c r="H1817" s="26" t="str">
        <f>IF('Paste SD Data'!I1814="","",IF('Paste SD Data'!I1814="M","BOY","GIRL"))</f>
        <v/>
      </c>
      <c r="I1817" s="28" t="str">
        <f>IF('Paste SD Data'!J1814="","",'Paste SD Data'!J1814)</f>
        <v/>
      </c>
      <c r="J1817" s="34">
        <f t="shared" si="28"/>
        <v>2243</v>
      </c>
      <c r="K1817" s="29" t="str">
        <f>IF('Paste SD Data'!O1814="","",'Paste SD Data'!O1814)</f>
        <v/>
      </c>
    </row>
    <row r="1818" spans="1:11" ht="30" customHeight="1" x14ac:dyDescent="0.25">
      <c r="A1818" s="25" t="str">
        <f>IF(Table1[[#This Row],[Name of Student]]="","",ROWS($A$1:A1814))</f>
        <v/>
      </c>
      <c r="B1818" s="26" t="str">
        <f>IF('Paste SD Data'!A1815="","",'Paste SD Data'!A1815)</f>
        <v/>
      </c>
      <c r="C1818" s="26" t="str">
        <f>IF('Paste SD Data'!B1815="","",'Paste SD Data'!B1815)</f>
        <v/>
      </c>
      <c r="D1818" s="26" t="str">
        <f>IF('Paste SD Data'!C1815="","",'Paste SD Data'!C1815)</f>
        <v/>
      </c>
      <c r="E1818" s="27" t="str">
        <f>IF('Paste SD Data'!E1815="","",UPPER('Paste SD Data'!E1815))</f>
        <v/>
      </c>
      <c r="F1818" s="27" t="str">
        <f>IF('Paste SD Data'!G1815="","",UPPER('Paste SD Data'!G1815))</f>
        <v/>
      </c>
      <c r="G1818" s="27" t="str">
        <f>IF('Paste SD Data'!H1815="","",UPPER('Paste SD Data'!H1815))</f>
        <v/>
      </c>
      <c r="H1818" s="26" t="str">
        <f>IF('Paste SD Data'!I1815="","",IF('Paste SD Data'!I1815="M","BOY","GIRL"))</f>
        <v/>
      </c>
      <c r="I1818" s="28" t="str">
        <f>IF('Paste SD Data'!J1815="","",'Paste SD Data'!J1815)</f>
        <v/>
      </c>
      <c r="J1818" s="34">
        <f t="shared" si="28"/>
        <v>2244</v>
      </c>
      <c r="K1818" s="29" t="str">
        <f>IF('Paste SD Data'!O1815="","",'Paste SD Data'!O1815)</f>
        <v/>
      </c>
    </row>
    <row r="1819" spans="1:11" ht="30" customHeight="1" x14ac:dyDescent="0.25">
      <c r="A1819" s="25" t="str">
        <f>IF(Table1[[#This Row],[Name of Student]]="","",ROWS($A$1:A1815))</f>
        <v/>
      </c>
      <c r="B1819" s="26" t="str">
        <f>IF('Paste SD Data'!A1816="","",'Paste SD Data'!A1816)</f>
        <v/>
      </c>
      <c r="C1819" s="26" t="str">
        <f>IF('Paste SD Data'!B1816="","",'Paste SD Data'!B1816)</f>
        <v/>
      </c>
      <c r="D1819" s="26" t="str">
        <f>IF('Paste SD Data'!C1816="","",'Paste SD Data'!C1816)</f>
        <v/>
      </c>
      <c r="E1819" s="27" t="str">
        <f>IF('Paste SD Data'!E1816="","",UPPER('Paste SD Data'!E1816))</f>
        <v/>
      </c>
      <c r="F1819" s="27" t="str">
        <f>IF('Paste SD Data'!G1816="","",UPPER('Paste SD Data'!G1816))</f>
        <v/>
      </c>
      <c r="G1819" s="27" t="str">
        <f>IF('Paste SD Data'!H1816="","",UPPER('Paste SD Data'!H1816))</f>
        <v/>
      </c>
      <c r="H1819" s="26" t="str">
        <f>IF('Paste SD Data'!I1816="","",IF('Paste SD Data'!I1816="M","BOY","GIRL"))</f>
        <v/>
      </c>
      <c r="I1819" s="28" t="str">
        <f>IF('Paste SD Data'!J1816="","",'Paste SD Data'!J1816)</f>
        <v/>
      </c>
      <c r="J1819" s="34">
        <f t="shared" si="28"/>
        <v>2245</v>
      </c>
      <c r="K1819" s="29" t="str">
        <f>IF('Paste SD Data'!O1816="","",'Paste SD Data'!O1816)</f>
        <v/>
      </c>
    </row>
    <row r="1820" spans="1:11" ht="30" customHeight="1" x14ac:dyDescent="0.25">
      <c r="A1820" s="25" t="str">
        <f>IF(Table1[[#This Row],[Name of Student]]="","",ROWS($A$1:A1816))</f>
        <v/>
      </c>
      <c r="B1820" s="26" t="str">
        <f>IF('Paste SD Data'!A1817="","",'Paste SD Data'!A1817)</f>
        <v/>
      </c>
      <c r="C1820" s="26" t="str">
        <f>IF('Paste SD Data'!B1817="","",'Paste SD Data'!B1817)</f>
        <v/>
      </c>
      <c r="D1820" s="26" t="str">
        <f>IF('Paste SD Data'!C1817="","",'Paste SD Data'!C1817)</f>
        <v/>
      </c>
      <c r="E1820" s="27" t="str">
        <f>IF('Paste SD Data'!E1817="","",UPPER('Paste SD Data'!E1817))</f>
        <v/>
      </c>
      <c r="F1820" s="27" t="str">
        <f>IF('Paste SD Data'!G1817="","",UPPER('Paste SD Data'!G1817))</f>
        <v/>
      </c>
      <c r="G1820" s="27" t="str">
        <f>IF('Paste SD Data'!H1817="","",UPPER('Paste SD Data'!H1817))</f>
        <v/>
      </c>
      <c r="H1820" s="26" t="str">
        <f>IF('Paste SD Data'!I1817="","",IF('Paste SD Data'!I1817="M","BOY","GIRL"))</f>
        <v/>
      </c>
      <c r="I1820" s="28" t="str">
        <f>IF('Paste SD Data'!J1817="","",'Paste SD Data'!J1817)</f>
        <v/>
      </c>
      <c r="J1820" s="34">
        <f t="shared" si="28"/>
        <v>2246</v>
      </c>
      <c r="K1820" s="29" t="str">
        <f>IF('Paste SD Data'!O1817="","",'Paste SD Data'!O1817)</f>
        <v/>
      </c>
    </row>
    <row r="1821" spans="1:11" ht="30" customHeight="1" x14ac:dyDescent="0.25">
      <c r="A1821" s="25" t="str">
        <f>IF(Table1[[#This Row],[Name of Student]]="","",ROWS($A$1:A1817))</f>
        <v/>
      </c>
      <c r="B1821" s="26" t="str">
        <f>IF('Paste SD Data'!A1818="","",'Paste SD Data'!A1818)</f>
        <v/>
      </c>
      <c r="C1821" s="26" t="str">
        <f>IF('Paste SD Data'!B1818="","",'Paste SD Data'!B1818)</f>
        <v/>
      </c>
      <c r="D1821" s="26" t="str">
        <f>IF('Paste SD Data'!C1818="","",'Paste SD Data'!C1818)</f>
        <v/>
      </c>
      <c r="E1821" s="27" t="str">
        <f>IF('Paste SD Data'!E1818="","",UPPER('Paste SD Data'!E1818))</f>
        <v/>
      </c>
      <c r="F1821" s="27" t="str">
        <f>IF('Paste SD Data'!G1818="","",UPPER('Paste SD Data'!G1818))</f>
        <v/>
      </c>
      <c r="G1821" s="27" t="str">
        <f>IF('Paste SD Data'!H1818="","",UPPER('Paste SD Data'!H1818))</f>
        <v/>
      </c>
      <c r="H1821" s="26" t="str">
        <f>IF('Paste SD Data'!I1818="","",IF('Paste SD Data'!I1818="M","BOY","GIRL"))</f>
        <v/>
      </c>
      <c r="I1821" s="28" t="str">
        <f>IF('Paste SD Data'!J1818="","",'Paste SD Data'!J1818)</f>
        <v/>
      </c>
      <c r="J1821" s="34">
        <f t="shared" si="28"/>
        <v>2247</v>
      </c>
      <c r="K1821" s="29" t="str">
        <f>IF('Paste SD Data'!O1818="","",'Paste SD Data'!O1818)</f>
        <v/>
      </c>
    </row>
    <row r="1822" spans="1:11" ht="30" customHeight="1" x14ac:dyDescent="0.25">
      <c r="A1822" s="25" t="str">
        <f>IF(Table1[[#This Row],[Name of Student]]="","",ROWS($A$1:A1818))</f>
        <v/>
      </c>
      <c r="B1822" s="26" t="str">
        <f>IF('Paste SD Data'!A1819="","",'Paste SD Data'!A1819)</f>
        <v/>
      </c>
      <c r="C1822" s="26" t="str">
        <f>IF('Paste SD Data'!B1819="","",'Paste SD Data'!B1819)</f>
        <v/>
      </c>
      <c r="D1822" s="26" t="str">
        <f>IF('Paste SD Data'!C1819="","",'Paste SD Data'!C1819)</f>
        <v/>
      </c>
      <c r="E1822" s="27" t="str">
        <f>IF('Paste SD Data'!E1819="","",UPPER('Paste SD Data'!E1819))</f>
        <v/>
      </c>
      <c r="F1822" s="27" t="str">
        <f>IF('Paste SD Data'!G1819="","",UPPER('Paste SD Data'!G1819))</f>
        <v/>
      </c>
      <c r="G1822" s="27" t="str">
        <f>IF('Paste SD Data'!H1819="","",UPPER('Paste SD Data'!H1819))</f>
        <v/>
      </c>
      <c r="H1822" s="26" t="str">
        <f>IF('Paste SD Data'!I1819="","",IF('Paste SD Data'!I1819="M","BOY","GIRL"))</f>
        <v/>
      </c>
      <c r="I1822" s="28" t="str">
        <f>IF('Paste SD Data'!J1819="","",'Paste SD Data'!J1819)</f>
        <v/>
      </c>
      <c r="J1822" s="34">
        <f t="shared" si="28"/>
        <v>2248</v>
      </c>
      <c r="K1822" s="29" t="str">
        <f>IF('Paste SD Data'!O1819="","",'Paste SD Data'!O1819)</f>
        <v/>
      </c>
    </row>
    <row r="1823" spans="1:11" ht="30" customHeight="1" x14ac:dyDescent="0.25">
      <c r="A1823" s="25" t="str">
        <f>IF(Table1[[#This Row],[Name of Student]]="","",ROWS($A$1:A1819))</f>
        <v/>
      </c>
      <c r="B1823" s="26" t="str">
        <f>IF('Paste SD Data'!A1820="","",'Paste SD Data'!A1820)</f>
        <v/>
      </c>
      <c r="C1823" s="26" t="str">
        <f>IF('Paste SD Data'!B1820="","",'Paste SD Data'!B1820)</f>
        <v/>
      </c>
      <c r="D1823" s="26" t="str">
        <f>IF('Paste SD Data'!C1820="","",'Paste SD Data'!C1820)</f>
        <v/>
      </c>
      <c r="E1823" s="27" t="str">
        <f>IF('Paste SD Data'!E1820="","",UPPER('Paste SD Data'!E1820))</f>
        <v/>
      </c>
      <c r="F1823" s="27" t="str">
        <f>IF('Paste SD Data'!G1820="","",UPPER('Paste SD Data'!G1820))</f>
        <v/>
      </c>
      <c r="G1823" s="27" t="str">
        <f>IF('Paste SD Data'!H1820="","",UPPER('Paste SD Data'!H1820))</f>
        <v/>
      </c>
      <c r="H1823" s="26" t="str">
        <f>IF('Paste SD Data'!I1820="","",IF('Paste SD Data'!I1820="M","BOY","GIRL"))</f>
        <v/>
      </c>
      <c r="I1823" s="28" t="str">
        <f>IF('Paste SD Data'!J1820="","",'Paste SD Data'!J1820)</f>
        <v/>
      </c>
      <c r="J1823" s="34">
        <f t="shared" si="28"/>
        <v>2249</v>
      </c>
      <c r="K1823" s="29" t="str">
        <f>IF('Paste SD Data'!O1820="","",'Paste SD Data'!O1820)</f>
        <v/>
      </c>
    </row>
    <row r="1824" spans="1:11" ht="30" customHeight="1" x14ac:dyDescent="0.25">
      <c r="A1824" s="25" t="str">
        <f>IF(Table1[[#This Row],[Name of Student]]="","",ROWS($A$1:A1820))</f>
        <v/>
      </c>
      <c r="B1824" s="26" t="str">
        <f>IF('Paste SD Data'!A1821="","",'Paste SD Data'!A1821)</f>
        <v/>
      </c>
      <c r="C1824" s="26" t="str">
        <f>IF('Paste SD Data'!B1821="","",'Paste SD Data'!B1821)</f>
        <v/>
      </c>
      <c r="D1824" s="26" t="str">
        <f>IF('Paste SD Data'!C1821="","",'Paste SD Data'!C1821)</f>
        <v/>
      </c>
      <c r="E1824" s="27" t="str">
        <f>IF('Paste SD Data'!E1821="","",UPPER('Paste SD Data'!E1821))</f>
        <v/>
      </c>
      <c r="F1824" s="27" t="str">
        <f>IF('Paste SD Data'!G1821="","",UPPER('Paste SD Data'!G1821))</f>
        <v/>
      </c>
      <c r="G1824" s="27" t="str">
        <f>IF('Paste SD Data'!H1821="","",UPPER('Paste SD Data'!H1821))</f>
        <v/>
      </c>
      <c r="H1824" s="26" t="str">
        <f>IF('Paste SD Data'!I1821="","",IF('Paste SD Data'!I1821="M","BOY","GIRL"))</f>
        <v/>
      </c>
      <c r="I1824" s="28" t="str">
        <f>IF('Paste SD Data'!J1821="","",'Paste SD Data'!J1821)</f>
        <v/>
      </c>
      <c r="J1824" s="34">
        <f t="shared" si="28"/>
        <v>2250</v>
      </c>
      <c r="K1824" s="29" t="str">
        <f>IF('Paste SD Data'!O1821="","",'Paste SD Data'!O1821)</f>
        <v/>
      </c>
    </row>
    <row r="1825" spans="1:11" ht="30" customHeight="1" x14ac:dyDescent="0.25">
      <c r="A1825" s="25" t="str">
        <f>IF(Table1[[#This Row],[Name of Student]]="","",ROWS($A$1:A1821))</f>
        <v/>
      </c>
      <c r="B1825" s="26" t="str">
        <f>IF('Paste SD Data'!A1822="","",'Paste SD Data'!A1822)</f>
        <v/>
      </c>
      <c r="C1825" s="26" t="str">
        <f>IF('Paste SD Data'!B1822="","",'Paste SD Data'!B1822)</f>
        <v/>
      </c>
      <c r="D1825" s="26" t="str">
        <f>IF('Paste SD Data'!C1822="","",'Paste SD Data'!C1822)</f>
        <v/>
      </c>
      <c r="E1825" s="27" t="str">
        <f>IF('Paste SD Data'!E1822="","",UPPER('Paste SD Data'!E1822))</f>
        <v/>
      </c>
      <c r="F1825" s="27" t="str">
        <f>IF('Paste SD Data'!G1822="","",UPPER('Paste SD Data'!G1822))</f>
        <v/>
      </c>
      <c r="G1825" s="27" t="str">
        <f>IF('Paste SD Data'!H1822="","",UPPER('Paste SD Data'!H1822))</f>
        <v/>
      </c>
      <c r="H1825" s="26" t="str">
        <f>IF('Paste SD Data'!I1822="","",IF('Paste SD Data'!I1822="M","BOY","GIRL"))</f>
        <v/>
      </c>
      <c r="I1825" s="28" t="str">
        <f>IF('Paste SD Data'!J1822="","",'Paste SD Data'!J1822)</f>
        <v/>
      </c>
      <c r="J1825" s="34">
        <f t="shared" si="28"/>
        <v>2251</v>
      </c>
      <c r="K1825" s="29" t="str">
        <f>IF('Paste SD Data'!O1822="","",'Paste SD Data'!O1822)</f>
        <v/>
      </c>
    </row>
    <row r="1826" spans="1:11" ht="30" customHeight="1" x14ac:dyDescent="0.25">
      <c r="A1826" s="25" t="str">
        <f>IF(Table1[[#This Row],[Name of Student]]="","",ROWS($A$1:A1822))</f>
        <v/>
      </c>
      <c r="B1826" s="26" t="str">
        <f>IF('Paste SD Data'!A1823="","",'Paste SD Data'!A1823)</f>
        <v/>
      </c>
      <c r="C1826" s="26" t="str">
        <f>IF('Paste SD Data'!B1823="","",'Paste SD Data'!B1823)</f>
        <v/>
      </c>
      <c r="D1826" s="26" t="str">
        <f>IF('Paste SD Data'!C1823="","",'Paste SD Data'!C1823)</f>
        <v/>
      </c>
      <c r="E1826" s="27" t="str">
        <f>IF('Paste SD Data'!E1823="","",UPPER('Paste SD Data'!E1823))</f>
        <v/>
      </c>
      <c r="F1826" s="27" t="str">
        <f>IF('Paste SD Data'!G1823="","",UPPER('Paste SD Data'!G1823))</f>
        <v/>
      </c>
      <c r="G1826" s="27" t="str">
        <f>IF('Paste SD Data'!H1823="","",UPPER('Paste SD Data'!H1823))</f>
        <v/>
      </c>
      <c r="H1826" s="26" t="str">
        <f>IF('Paste SD Data'!I1823="","",IF('Paste SD Data'!I1823="M","BOY","GIRL"))</f>
        <v/>
      </c>
      <c r="I1826" s="28" t="str">
        <f>IF('Paste SD Data'!J1823="","",'Paste SD Data'!J1823)</f>
        <v/>
      </c>
      <c r="J1826" s="34">
        <f t="shared" si="28"/>
        <v>2252</v>
      </c>
      <c r="K1826" s="29" t="str">
        <f>IF('Paste SD Data'!O1823="","",'Paste SD Data'!O1823)</f>
        <v/>
      </c>
    </row>
    <row r="1827" spans="1:11" ht="30" customHeight="1" x14ac:dyDescent="0.25">
      <c r="A1827" s="25" t="str">
        <f>IF(Table1[[#This Row],[Name of Student]]="","",ROWS($A$1:A1823))</f>
        <v/>
      </c>
      <c r="B1827" s="26" t="str">
        <f>IF('Paste SD Data'!A1824="","",'Paste SD Data'!A1824)</f>
        <v/>
      </c>
      <c r="C1827" s="26" t="str">
        <f>IF('Paste SD Data'!B1824="","",'Paste SD Data'!B1824)</f>
        <v/>
      </c>
      <c r="D1827" s="26" t="str">
        <f>IF('Paste SD Data'!C1824="","",'Paste SD Data'!C1824)</f>
        <v/>
      </c>
      <c r="E1827" s="27" t="str">
        <f>IF('Paste SD Data'!E1824="","",UPPER('Paste SD Data'!E1824))</f>
        <v/>
      </c>
      <c r="F1827" s="27" t="str">
        <f>IF('Paste SD Data'!G1824="","",UPPER('Paste SD Data'!G1824))</f>
        <v/>
      </c>
      <c r="G1827" s="27" t="str">
        <f>IF('Paste SD Data'!H1824="","",UPPER('Paste SD Data'!H1824))</f>
        <v/>
      </c>
      <c r="H1827" s="26" t="str">
        <f>IF('Paste SD Data'!I1824="","",IF('Paste SD Data'!I1824="M","BOY","GIRL"))</f>
        <v/>
      </c>
      <c r="I1827" s="28" t="str">
        <f>IF('Paste SD Data'!J1824="","",'Paste SD Data'!J1824)</f>
        <v/>
      </c>
      <c r="J1827" s="34">
        <f t="shared" si="28"/>
        <v>2253</v>
      </c>
      <c r="K1827" s="29" t="str">
        <f>IF('Paste SD Data'!O1824="","",'Paste SD Data'!O1824)</f>
        <v/>
      </c>
    </row>
    <row r="1828" spans="1:11" ht="30" customHeight="1" x14ac:dyDescent="0.25">
      <c r="A1828" s="25" t="str">
        <f>IF(Table1[[#This Row],[Name of Student]]="","",ROWS($A$1:A1824))</f>
        <v/>
      </c>
      <c r="B1828" s="26" t="str">
        <f>IF('Paste SD Data'!A1825="","",'Paste SD Data'!A1825)</f>
        <v/>
      </c>
      <c r="C1828" s="26" t="str">
        <f>IF('Paste SD Data'!B1825="","",'Paste SD Data'!B1825)</f>
        <v/>
      </c>
      <c r="D1828" s="26" t="str">
        <f>IF('Paste SD Data'!C1825="","",'Paste SD Data'!C1825)</f>
        <v/>
      </c>
      <c r="E1828" s="27" t="str">
        <f>IF('Paste SD Data'!E1825="","",UPPER('Paste SD Data'!E1825))</f>
        <v/>
      </c>
      <c r="F1828" s="27" t="str">
        <f>IF('Paste SD Data'!G1825="","",UPPER('Paste SD Data'!G1825))</f>
        <v/>
      </c>
      <c r="G1828" s="27" t="str">
        <f>IF('Paste SD Data'!H1825="","",UPPER('Paste SD Data'!H1825))</f>
        <v/>
      </c>
      <c r="H1828" s="26" t="str">
        <f>IF('Paste SD Data'!I1825="","",IF('Paste SD Data'!I1825="M","BOY","GIRL"))</f>
        <v/>
      </c>
      <c r="I1828" s="28" t="str">
        <f>IF('Paste SD Data'!J1825="","",'Paste SD Data'!J1825)</f>
        <v/>
      </c>
      <c r="J1828" s="34">
        <f t="shared" si="28"/>
        <v>2254</v>
      </c>
      <c r="K1828" s="29" t="str">
        <f>IF('Paste SD Data'!O1825="","",'Paste SD Data'!O1825)</f>
        <v/>
      </c>
    </row>
    <row r="1829" spans="1:11" ht="30" customHeight="1" x14ac:dyDescent="0.25">
      <c r="A1829" s="25" t="str">
        <f>IF(Table1[[#This Row],[Name of Student]]="","",ROWS($A$1:A1825))</f>
        <v/>
      </c>
      <c r="B1829" s="26" t="str">
        <f>IF('Paste SD Data'!A1826="","",'Paste SD Data'!A1826)</f>
        <v/>
      </c>
      <c r="C1829" s="26" t="str">
        <f>IF('Paste SD Data'!B1826="","",'Paste SD Data'!B1826)</f>
        <v/>
      </c>
      <c r="D1829" s="26" t="str">
        <f>IF('Paste SD Data'!C1826="","",'Paste SD Data'!C1826)</f>
        <v/>
      </c>
      <c r="E1829" s="27" t="str">
        <f>IF('Paste SD Data'!E1826="","",UPPER('Paste SD Data'!E1826))</f>
        <v/>
      </c>
      <c r="F1829" s="27" t="str">
        <f>IF('Paste SD Data'!G1826="","",UPPER('Paste SD Data'!G1826))</f>
        <v/>
      </c>
      <c r="G1829" s="27" t="str">
        <f>IF('Paste SD Data'!H1826="","",UPPER('Paste SD Data'!H1826))</f>
        <v/>
      </c>
      <c r="H1829" s="26" t="str">
        <f>IF('Paste SD Data'!I1826="","",IF('Paste SD Data'!I1826="M","BOY","GIRL"))</f>
        <v/>
      </c>
      <c r="I1829" s="28" t="str">
        <f>IF('Paste SD Data'!J1826="","",'Paste SD Data'!J1826)</f>
        <v/>
      </c>
      <c r="J1829" s="34">
        <f t="shared" si="28"/>
        <v>2255</v>
      </c>
      <c r="K1829" s="29" t="str">
        <f>IF('Paste SD Data'!O1826="","",'Paste SD Data'!O1826)</f>
        <v/>
      </c>
    </row>
    <row r="1830" spans="1:11" ht="30" customHeight="1" x14ac:dyDescent="0.25">
      <c r="A1830" s="25" t="str">
        <f>IF(Table1[[#This Row],[Name of Student]]="","",ROWS($A$1:A1826))</f>
        <v/>
      </c>
      <c r="B1830" s="26" t="str">
        <f>IF('Paste SD Data'!A1827="","",'Paste SD Data'!A1827)</f>
        <v/>
      </c>
      <c r="C1830" s="26" t="str">
        <f>IF('Paste SD Data'!B1827="","",'Paste SD Data'!B1827)</f>
        <v/>
      </c>
      <c r="D1830" s="26" t="str">
        <f>IF('Paste SD Data'!C1827="","",'Paste SD Data'!C1827)</f>
        <v/>
      </c>
      <c r="E1830" s="27" t="str">
        <f>IF('Paste SD Data'!E1827="","",UPPER('Paste SD Data'!E1827))</f>
        <v/>
      </c>
      <c r="F1830" s="27" t="str">
        <f>IF('Paste SD Data'!G1827="","",UPPER('Paste SD Data'!G1827))</f>
        <v/>
      </c>
      <c r="G1830" s="27" t="str">
        <f>IF('Paste SD Data'!H1827="","",UPPER('Paste SD Data'!H1827))</f>
        <v/>
      </c>
      <c r="H1830" s="26" t="str">
        <f>IF('Paste SD Data'!I1827="","",IF('Paste SD Data'!I1827="M","BOY","GIRL"))</f>
        <v/>
      </c>
      <c r="I1830" s="28" t="str">
        <f>IF('Paste SD Data'!J1827="","",'Paste SD Data'!J1827)</f>
        <v/>
      </c>
      <c r="J1830" s="34">
        <f t="shared" si="28"/>
        <v>2256</v>
      </c>
      <c r="K1830" s="29" t="str">
        <f>IF('Paste SD Data'!O1827="","",'Paste SD Data'!O1827)</f>
        <v/>
      </c>
    </row>
    <row r="1831" spans="1:11" ht="30" customHeight="1" x14ac:dyDescent="0.25">
      <c r="A1831" s="25" t="str">
        <f>IF(Table1[[#This Row],[Name of Student]]="","",ROWS($A$1:A1827))</f>
        <v/>
      </c>
      <c r="B1831" s="26" t="str">
        <f>IF('Paste SD Data'!A1828="","",'Paste SD Data'!A1828)</f>
        <v/>
      </c>
      <c r="C1831" s="26" t="str">
        <f>IF('Paste SD Data'!B1828="","",'Paste SD Data'!B1828)</f>
        <v/>
      </c>
      <c r="D1831" s="26" t="str">
        <f>IF('Paste SD Data'!C1828="","",'Paste SD Data'!C1828)</f>
        <v/>
      </c>
      <c r="E1831" s="27" t="str">
        <f>IF('Paste SD Data'!E1828="","",UPPER('Paste SD Data'!E1828))</f>
        <v/>
      </c>
      <c r="F1831" s="27" t="str">
        <f>IF('Paste SD Data'!G1828="","",UPPER('Paste SD Data'!G1828))</f>
        <v/>
      </c>
      <c r="G1831" s="27" t="str">
        <f>IF('Paste SD Data'!H1828="","",UPPER('Paste SD Data'!H1828))</f>
        <v/>
      </c>
      <c r="H1831" s="26" t="str">
        <f>IF('Paste SD Data'!I1828="","",IF('Paste SD Data'!I1828="M","BOY","GIRL"))</f>
        <v/>
      </c>
      <c r="I1831" s="28" t="str">
        <f>IF('Paste SD Data'!J1828="","",'Paste SD Data'!J1828)</f>
        <v/>
      </c>
      <c r="J1831" s="34">
        <f t="shared" si="28"/>
        <v>2257</v>
      </c>
      <c r="K1831" s="29" t="str">
        <f>IF('Paste SD Data'!O1828="","",'Paste SD Data'!O1828)</f>
        <v/>
      </c>
    </row>
    <row r="1832" spans="1:11" ht="30" customHeight="1" x14ac:dyDescent="0.25">
      <c r="A1832" s="25" t="str">
        <f>IF(Table1[[#This Row],[Name of Student]]="","",ROWS($A$1:A1828))</f>
        <v/>
      </c>
      <c r="B1832" s="26" t="str">
        <f>IF('Paste SD Data'!A1829="","",'Paste SD Data'!A1829)</f>
        <v/>
      </c>
      <c r="C1832" s="26" t="str">
        <f>IF('Paste SD Data'!B1829="","",'Paste SD Data'!B1829)</f>
        <v/>
      </c>
      <c r="D1832" s="26" t="str">
        <f>IF('Paste SD Data'!C1829="","",'Paste SD Data'!C1829)</f>
        <v/>
      </c>
      <c r="E1832" s="27" t="str">
        <f>IF('Paste SD Data'!E1829="","",UPPER('Paste SD Data'!E1829))</f>
        <v/>
      </c>
      <c r="F1832" s="27" t="str">
        <f>IF('Paste SD Data'!G1829="","",UPPER('Paste SD Data'!G1829))</f>
        <v/>
      </c>
      <c r="G1832" s="27" t="str">
        <f>IF('Paste SD Data'!H1829="","",UPPER('Paste SD Data'!H1829))</f>
        <v/>
      </c>
      <c r="H1832" s="26" t="str">
        <f>IF('Paste SD Data'!I1829="","",IF('Paste SD Data'!I1829="M","BOY","GIRL"))</f>
        <v/>
      </c>
      <c r="I1832" s="28" t="str">
        <f>IF('Paste SD Data'!J1829="","",'Paste SD Data'!J1829)</f>
        <v/>
      </c>
      <c r="J1832" s="34">
        <f t="shared" si="28"/>
        <v>2258</v>
      </c>
      <c r="K1832" s="29" t="str">
        <f>IF('Paste SD Data'!O1829="","",'Paste SD Data'!O1829)</f>
        <v/>
      </c>
    </row>
    <row r="1833" spans="1:11" ht="30" customHeight="1" x14ac:dyDescent="0.25">
      <c r="A1833" s="25" t="str">
        <f>IF(Table1[[#This Row],[Name of Student]]="","",ROWS($A$1:A1829))</f>
        <v/>
      </c>
      <c r="B1833" s="26" t="str">
        <f>IF('Paste SD Data'!A1830="","",'Paste SD Data'!A1830)</f>
        <v/>
      </c>
      <c r="C1833" s="26" t="str">
        <f>IF('Paste SD Data'!B1830="","",'Paste SD Data'!B1830)</f>
        <v/>
      </c>
      <c r="D1833" s="26" t="str">
        <f>IF('Paste SD Data'!C1830="","",'Paste SD Data'!C1830)</f>
        <v/>
      </c>
      <c r="E1833" s="27" t="str">
        <f>IF('Paste SD Data'!E1830="","",UPPER('Paste SD Data'!E1830))</f>
        <v/>
      </c>
      <c r="F1833" s="27" t="str">
        <f>IF('Paste SD Data'!G1830="","",UPPER('Paste SD Data'!G1830))</f>
        <v/>
      </c>
      <c r="G1833" s="27" t="str">
        <f>IF('Paste SD Data'!H1830="","",UPPER('Paste SD Data'!H1830))</f>
        <v/>
      </c>
      <c r="H1833" s="26" t="str">
        <f>IF('Paste SD Data'!I1830="","",IF('Paste SD Data'!I1830="M","BOY","GIRL"))</f>
        <v/>
      </c>
      <c r="I1833" s="28" t="str">
        <f>IF('Paste SD Data'!J1830="","",'Paste SD Data'!J1830)</f>
        <v/>
      </c>
      <c r="J1833" s="34">
        <f t="shared" si="28"/>
        <v>2259</v>
      </c>
      <c r="K1833" s="29" t="str">
        <f>IF('Paste SD Data'!O1830="","",'Paste SD Data'!O1830)</f>
        <v/>
      </c>
    </row>
    <row r="1834" spans="1:11" ht="30" customHeight="1" x14ac:dyDescent="0.25">
      <c r="A1834" s="25" t="str">
        <f>IF(Table1[[#This Row],[Name of Student]]="","",ROWS($A$1:A1830))</f>
        <v/>
      </c>
      <c r="B1834" s="26" t="str">
        <f>IF('Paste SD Data'!A1831="","",'Paste SD Data'!A1831)</f>
        <v/>
      </c>
      <c r="C1834" s="26" t="str">
        <f>IF('Paste SD Data'!B1831="","",'Paste SD Data'!B1831)</f>
        <v/>
      </c>
      <c r="D1834" s="26" t="str">
        <f>IF('Paste SD Data'!C1831="","",'Paste SD Data'!C1831)</f>
        <v/>
      </c>
      <c r="E1834" s="27" t="str">
        <f>IF('Paste SD Data'!E1831="","",UPPER('Paste SD Data'!E1831))</f>
        <v/>
      </c>
      <c r="F1834" s="27" t="str">
        <f>IF('Paste SD Data'!G1831="","",UPPER('Paste SD Data'!G1831))</f>
        <v/>
      </c>
      <c r="G1834" s="27" t="str">
        <f>IF('Paste SD Data'!H1831="","",UPPER('Paste SD Data'!H1831))</f>
        <v/>
      </c>
      <c r="H1834" s="26" t="str">
        <f>IF('Paste SD Data'!I1831="","",IF('Paste SD Data'!I1831="M","BOY","GIRL"))</f>
        <v/>
      </c>
      <c r="I1834" s="28" t="str">
        <f>IF('Paste SD Data'!J1831="","",'Paste SD Data'!J1831)</f>
        <v/>
      </c>
      <c r="J1834" s="34">
        <f t="shared" si="28"/>
        <v>2260</v>
      </c>
      <c r="K1834" s="29" t="str">
        <f>IF('Paste SD Data'!O1831="","",'Paste SD Data'!O1831)</f>
        <v/>
      </c>
    </row>
    <row r="1835" spans="1:11" ht="30" customHeight="1" x14ac:dyDescent="0.25">
      <c r="A1835" s="25" t="str">
        <f>IF(Table1[[#This Row],[Name of Student]]="","",ROWS($A$1:A1831))</f>
        <v/>
      </c>
      <c r="B1835" s="26" t="str">
        <f>IF('Paste SD Data'!A1832="","",'Paste SD Data'!A1832)</f>
        <v/>
      </c>
      <c r="C1835" s="26" t="str">
        <f>IF('Paste SD Data'!B1832="","",'Paste SD Data'!B1832)</f>
        <v/>
      </c>
      <c r="D1835" s="26" t="str">
        <f>IF('Paste SD Data'!C1832="","",'Paste SD Data'!C1832)</f>
        <v/>
      </c>
      <c r="E1835" s="27" t="str">
        <f>IF('Paste SD Data'!E1832="","",UPPER('Paste SD Data'!E1832))</f>
        <v/>
      </c>
      <c r="F1835" s="27" t="str">
        <f>IF('Paste SD Data'!G1832="","",UPPER('Paste SD Data'!G1832))</f>
        <v/>
      </c>
      <c r="G1835" s="27" t="str">
        <f>IF('Paste SD Data'!H1832="","",UPPER('Paste SD Data'!H1832))</f>
        <v/>
      </c>
      <c r="H1835" s="26" t="str">
        <f>IF('Paste SD Data'!I1832="","",IF('Paste SD Data'!I1832="M","BOY","GIRL"))</f>
        <v/>
      </c>
      <c r="I1835" s="28" t="str">
        <f>IF('Paste SD Data'!J1832="","",'Paste SD Data'!J1832)</f>
        <v/>
      </c>
      <c r="J1835" s="34">
        <f t="shared" si="28"/>
        <v>2261</v>
      </c>
      <c r="K1835" s="29" t="str">
        <f>IF('Paste SD Data'!O1832="","",'Paste SD Data'!O1832)</f>
        <v/>
      </c>
    </row>
    <row r="1836" spans="1:11" ht="30" customHeight="1" x14ac:dyDescent="0.25">
      <c r="A1836" s="25" t="str">
        <f>IF(Table1[[#This Row],[Name of Student]]="","",ROWS($A$1:A1832))</f>
        <v/>
      </c>
      <c r="B1836" s="26" t="str">
        <f>IF('Paste SD Data'!A1833="","",'Paste SD Data'!A1833)</f>
        <v/>
      </c>
      <c r="C1836" s="26" t="str">
        <f>IF('Paste SD Data'!B1833="","",'Paste SD Data'!B1833)</f>
        <v/>
      </c>
      <c r="D1836" s="26" t="str">
        <f>IF('Paste SD Data'!C1833="","",'Paste SD Data'!C1833)</f>
        <v/>
      </c>
      <c r="E1836" s="27" t="str">
        <f>IF('Paste SD Data'!E1833="","",UPPER('Paste SD Data'!E1833))</f>
        <v/>
      </c>
      <c r="F1836" s="27" t="str">
        <f>IF('Paste SD Data'!G1833="","",UPPER('Paste SD Data'!G1833))</f>
        <v/>
      </c>
      <c r="G1836" s="27" t="str">
        <f>IF('Paste SD Data'!H1833="","",UPPER('Paste SD Data'!H1833))</f>
        <v/>
      </c>
      <c r="H1836" s="26" t="str">
        <f>IF('Paste SD Data'!I1833="","",IF('Paste SD Data'!I1833="M","BOY","GIRL"))</f>
        <v/>
      </c>
      <c r="I1836" s="28" t="str">
        <f>IF('Paste SD Data'!J1833="","",'Paste SD Data'!J1833)</f>
        <v/>
      </c>
      <c r="J1836" s="34">
        <f t="shared" si="28"/>
        <v>2262</v>
      </c>
      <c r="K1836" s="29" t="str">
        <f>IF('Paste SD Data'!O1833="","",'Paste SD Data'!O1833)</f>
        <v/>
      </c>
    </row>
    <row r="1837" spans="1:11" ht="30" customHeight="1" x14ac:dyDescent="0.25">
      <c r="A1837" s="25" t="str">
        <f>IF(Table1[[#This Row],[Name of Student]]="","",ROWS($A$1:A1833))</f>
        <v/>
      </c>
      <c r="B1837" s="26" t="str">
        <f>IF('Paste SD Data'!A1834="","",'Paste SD Data'!A1834)</f>
        <v/>
      </c>
      <c r="C1837" s="26" t="str">
        <f>IF('Paste SD Data'!B1834="","",'Paste SD Data'!B1834)</f>
        <v/>
      </c>
      <c r="D1837" s="26" t="str">
        <f>IF('Paste SD Data'!C1834="","",'Paste SD Data'!C1834)</f>
        <v/>
      </c>
      <c r="E1837" s="27" t="str">
        <f>IF('Paste SD Data'!E1834="","",UPPER('Paste SD Data'!E1834))</f>
        <v/>
      </c>
      <c r="F1837" s="27" t="str">
        <f>IF('Paste SD Data'!G1834="","",UPPER('Paste SD Data'!G1834))</f>
        <v/>
      </c>
      <c r="G1837" s="27" t="str">
        <f>IF('Paste SD Data'!H1834="","",UPPER('Paste SD Data'!H1834))</f>
        <v/>
      </c>
      <c r="H1837" s="26" t="str">
        <f>IF('Paste SD Data'!I1834="","",IF('Paste SD Data'!I1834="M","BOY","GIRL"))</f>
        <v/>
      </c>
      <c r="I1837" s="28" t="str">
        <f>IF('Paste SD Data'!J1834="","",'Paste SD Data'!J1834)</f>
        <v/>
      </c>
      <c r="J1837" s="34">
        <f t="shared" si="28"/>
        <v>2263</v>
      </c>
      <c r="K1837" s="29" t="str">
        <f>IF('Paste SD Data'!O1834="","",'Paste SD Data'!O1834)</f>
        <v/>
      </c>
    </row>
    <row r="1838" spans="1:11" ht="30" customHeight="1" x14ac:dyDescent="0.25">
      <c r="A1838" s="25" t="str">
        <f>IF(Table1[[#This Row],[Name of Student]]="","",ROWS($A$1:A1834))</f>
        <v/>
      </c>
      <c r="B1838" s="26" t="str">
        <f>IF('Paste SD Data'!A1835="","",'Paste SD Data'!A1835)</f>
        <v/>
      </c>
      <c r="C1838" s="26" t="str">
        <f>IF('Paste SD Data'!B1835="","",'Paste SD Data'!B1835)</f>
        <v/>
      </c>
      <c r="D1838" s="26" t="str">
        <f>IF('Paste SD Data'!C1835="","",'Paste SD Data'!C1835)</f>
        <v/>
      </c>
      <c r="E1838" s="27" t="str">
        <f>IF('Paste SD Data'!E1835="","",UPPER('Paste SD Data'!E1835))</f>
        <v/>
      </c>
      <c r="F1838" s="27" t="str">
        <f>IF('Paste SD Data'!G1835="","",UPPER('Paste SD Data'!G1835))</f>
        <v/>
      </c>
      <c r="G1838" s="27" t="str">
        <f>IF('Paste SD Data'!H1835="","",UPPER('Paste SD Data'!H1835))</f>
        <v/>
      </c>
      <c r="H1838" s="26" t="str">
        <f>IF('Paste SD Data'!I1835="","",IF('Paste SD Data'!I1835="M","BOY","GIRL"))</f>
        <v/>
      </c>
      <c r="I1838" s="28" t="str">
        <f>IF('Paste SD Data'!J1835="","",'Paste SD Data'!J1835)</f>
        <v/>
      </c>
      <c r="J1838" s="34">
        <f t="shared" si="28"/>
        <v>2264</v>
      </c>
      <c r="K1838" s="29" t="str">
        <f>IF('Paste SD Data'!O1835="","",'Paste SD Data'!O1835)</f>
        <v/>
      </c>
    </row>
    <row r="1839" spans="1:11" ht="30" customHeight="1" x14ac:dyDescent="0.25">
      <c r="A1839" s="25" t="str">
        <f>IF(Table1[[#This Row],[Name of Student]]="","",ROWS($A$1:A1835))</f>
        <v/>
      </c>
      <c r="B1839" s="26" t="str">
        <f>IF('Paste SD Data'!A1836="","",'Paste SD Data'!A1836)</f>
        <v/>
      </c>
      <c r="C1839" s="26" t="str">
        <f>IF('Paste SD Data'!B1836="","",'Paste SD Data'!B1836)</f>
        <v/>
      </c>
      <c r="D1839" s="26" t="str">
        <f>IF('Paste SD Data'!C1836="","",'Paste SD Data'!C1836)</f>
        <v/>
      </c>
      <c r="E1839" s="27" t="str">
        <f>IF('Paste SD Data'!E1836="","",UPPER('Paste SD Data'!E1836))</f>
        <v/>
      </c>
      <c r="F1839" s="27" t="str">
        <f>IF('Paste SD Data'!G1836="","",UPPER('Paste SD Data'!G1836))</f>
        <v/>
      </c>
      <c r="G1839" s="27" t="str">
        <f>IF('Paste SD Data'!H1836="","",UPPER('Paste SD Data'!H1836))</f>
        <v/>
      </c>
      <c r="H1839" s="26" t="str">
        <f>IF('Paste SD Data'!I1836="","",IF('Paste SD Data'!I1836="M","BOY","GIRL"))</f>
        <v/>
      </c>
      <c r="I1839" s="28" t="str">
        <f>IF('Paste SD Data'!J1836="","",'Paste SD Data'!J1836)</f>
        <v/>
      </c>
      <c r="J1839" s="34">
        <f t="shared" si="28"/>
        <v>2265</v>
      </c>
      <c r="K1839" s="29" t="str">
        <f>IF('Paste SD Data'!O1836="","",'Paste SD Data'!O1836)</f>
        <v/>
      </c>
    </row>
    <row r="1840" spans="1:11" ht="30" customHeight="1" x14ac:dyDescent="0.25">
      <c r="A1840" s="25" t="str">
        <f>IF(Table1[[#This Row],[Name of Student]]="","",ROWS($A$1:A1836))</f>
        <v/>
      </c>
      <c r="B1840" s="26" t="str">
        <f>IF('Paste SD Data'!A1837="","",'Paste SD Data'!A1837)</f>
        <v/>
      </c>
      <c r="C1840" s="26" t="str">
        <f>IF('Paste SD Data'!B1837="","",'Paste SD Data'!B1837)</f>
        <v/>
      </c>
      <c r="D1840" s="26" t="str">
        <f>IF('Paste SD Data'!C1837="","",'Paste SD Data'!C1837)</f>
        <v/>
      </c>
      <c r="E1840" s="27" t="str">
        <f>IF('Paste SD Data'!E1837="","",UPPER('Paste SD Data'!E1837))</f>
        <v/>
      </c>
      <c r="F1840" s="27" t="str">
        <f>IF('Paste SD Data'!G1837="","",UPPER('Paste SD Data'!G1837))</f>
        <v/>
      </c>
      <c r="G1840" s="27" t="str">
        <f>IF('Paste SD Data'!H1837="","",UPPER('Paste SD Data'!H1837))</f>
        <v/>
      </c>
      <c r="H1840" s="26" t="str">
        <f>IF('Paste SD Data'!I1837="","",IF('Paste SD Data'!I1837="M","BOY","GIRL"))</f>
        <v/>
      </c>
      <c r="I1840" s="28" t="str">
        <f>IF('Paste SD Data'!J1837="","",'Paste SD Data'!J1837)</f>
        <v/>
      </c>
      <c r="J1840" s="34">
        <f t="shared" si="28"/>
        <v>2266</v>
      </c>
      <c r="K1840" s="29" t="str">
        <f>IF('Paste SD Data'!O1837="","",'Paste SD Data'!O1837)</f>
        <v/>
      </c>
    </row>
    <row r="1841" spans="1:11" ht="30" customHeight="1" x14ac:dyDescent="0.25">
      <c r="A1841" s="25" t="str">
        <f>IF(Table1[[#This Row],[Name of Student]]="","",ROWS($A$1:A1837))</f>
        <v/>
      </c>
      <c r="B1841" s="26" t="str">
        <f>IF('Paste SD Data'!A1838="","",'Paste SD Data'!A1838)</f>
        <v/>
      </c>
      <c r="C1841" s="26" t="str">
        <f>IF('Paste SD Data'!B1838="","",'Paste SD Data'!B1838)</f>
        <v/>
      </c>
      <c r="D1841" s="26" t="str">
        <f>IF('Paste SD Data'!C1838="","",'Paste SD Data'!C1838)</f>
        <v/>
      </c>
      <c r="E1841" s="27" t="str">
        <f>IF('Paste SD Data'!E1838="","",UPPER('Paste SD Data'!E1838))</f>
        <v/>
      </c>
      <c r="F1841" s="27" t="str">
        <f>IF('Paste SD Data'!G1838="","",UPPER('Paste SD Data'!G1838))</f>
        <v/>
      </c>
      <c r="G1841" s="27" t="str">
        <f>IF('Paste SD Data'!H1838="","",UPPER('Paste SD Data'!H1838))</f>
        <v/>
      </c>
      <c r="H1841" s="26" t="str">
        <f>IF('Paste SD Data'!I1838="","",IF('Paste SD Data'!I1838="M","BOY","GIRL"))</f>
        <v/>
      </c>
      <c r="I1841" s="28" t="str">
        <f>IF('Paste SD Data'!J1838="","",'Paste SD Data'!J1838)</f>
        <v/>
      </c>
      <c r="J1841" s="34">
        <f t="shared" si="28"/>
        <v>2267</v>
      </c>
      <c r="K1841" s="29" t="str">
        <f>IF('Paste SD Data'!O1838="","",'Paste SD Data'!O1838)</f>
        <v/>
      </c>
    </row>
    <row r="1842" spans="1:11" ht="30" customHeight="1" x14ac:dyDescent="0.25">
      <c r="A1842" s="25" t="str">
        <f>IF(Table1[[#This Row],[Name of Student]]="","",ROWS($A$1:A1838))</f>
        <v/>
      </c>
      <c r="B1842" s="26" t="str">
        <f>IF('Paste SD Data'!A1839="","",'Paste SD Data'!A1839)</f>
        <v/>
      </c>
      <c r="C1842" s="26" t="str">
        <f>IF('Paste SD Data'!B1839="","",'Paste SD Data'!B1839)</f>
        <v/>
      </c>
      <c r="D1842" s="26" t="str">
        <f>IF('Paste SD Data'!C1839="","",'Paste SD Data'!C1839)</f>
        <v/>
      </c>
      <c r="E1842" s="27" t="str">
        <f>IF('Paste SD Data'!E1839="","",UPPER('Paste SD Data'!E1839))</f>
        <v/>
      </c>
      <c r="F1842" s="27" t="str">
        <f>IF('Paste SD Data'!G1839="","",UPPER('Paste SD Data'!G1839))</f>
        <v/>
      </c>
      <c r="G1842" s="27" t="str">
        <f>IF('Paste SD Data'!H1839="","",UPPER('Paste SD Data'!H1839))</f>
        <v/>
      </c>
      <c r="H1842" s="26" t="str">
        <f>IF('Paste SD Data'!I1839="","",IF('Paste SD Data'!I1839="M","BOY","GIRL"))</f>
        <v/>
      </c>
      <c r="I1842" s="28" t="str">
        <f>IF('Paste SD Data'!J1839="","",'Paste SD Data'!J1839)</f>
        <v/>
      </c>
      <c r="J1842" s="34">
        <f t="shared" si="28"/>
        <v>2268</v>
      </c>
      <c r="K1842" s="29" t="str">
        <f>IF('Paste SD Data'!O1839="","",'Paste SD Data'!O1839)</f>
        <v/>
      </c>
    </row>
    <row r="1843" spans="1:11" ht="30" customHeight="1" x14ac:dyDescent="0.25">
      <c r="A1843" s="25" t="str">
        <f>IF(Table1[[#This Row],[Name of Student]]="","",ROWS($A$1:A1839))</f>
        <v/>
      </c>
      <c r="B1843" s="26" t="str">
        <f>IF('Paste SD Data'!A1840="","",'Paste SD Data'!A1840)</f>
        <v/>
      </c>
      <c r="C1843" s="26" t="str">
        <f>IF('Paste SD Data'!B1840="","",'Paste SD Data'!B1840)</f>
        <v/>
      </c>
      <c r="D1843" s="26" t="str">
        <f>IF('Paste SD Data'!C1840="","",'Paste SD Data'!C1840)</f>
        <v/>
      </c>
      <c r="E1843" s="27" t="str">
        <f>IF('Paste SD Data'!E1840="","",UPPER('Paste SD Data'!E1840))</f>
        <v/>
      </c>
      <c r="F1843" s="27" t="str">
        <f>IF('Paste SD Data'!G1840="","",UPPER('Paste SD Data'!G1840))</f>
        <v/>
      </c>
      <c r="G1843" s="27" t="str">
        <f>IF('Paste SD Data'!H1840="","",UPPER('Paste SD Data'!H1840))</f>
        <v/>
      </c>
      <c r="H1843" s="26" t="str">
        <f>IF('Paste SD Data'!I1840="","",IF('Paste SD Data'!I1840="M","BOY","GIRL"))</f>
        <v/>
      </c>
      <c r="I1843" s="28" t="str">
        <f>IF('Paste SD Data'!J1840="","",'Paste SD Data'!J1840)</f>
        <v/>
      </c>
      <c r="J1843" s="34">
        <f t="shared" si="28"/>
        <v>2269</v>
      </c>
      <c r="K1843" s="29" t="str">
        <f>IF('Paste SD Data'!O1840="","",'Paste SD Data'!O1840)</f>
        <v/>
      </c>
    </row>
    <row r="1844" spans="1:11" ht="30" customHeight="1" x14ac:dyDescent="0.25">
      <c r="A1844" s="25" t="str">
        <f>IF(Table1[[#This Row],[Name of Student]]="","",ROWS($A$1:A1840))</f>
        <v/>
      </c>
      <c r="B1844" s="26" t="str">
        <f>IF('Paste SD Data'!A1841="","",'Paste SD Data'!A1841)</f>
        <v/>
      </c>
      <c r="C1844" s="26" t="str">
        <f>IF('Paste SD Data'!B1841="","",'Paste SD Data'!B1841)</f>
        <v/>
      </c>
      <c r="D1844" s="26" t="str">
        <f>IF('Paste SD Data'!C1841="","",'Paste SD Data'!C1841)</f>
        <v/>
      </c>
      <c r="E1844" s="27" t="str">
        <f>IF('Paste SD Data'!E1841="","",UPPER('Paste SD Data'!E1841))</f>
        <v/>
      </c>
      <c r="F1844" s="27" t="str">
        <f>IF('Paste SD Data'!G1841="","",UPPER('Paste SD Data'!G1841))</f>
        <v/>
      </c>
      <c r="G1844" s="27" t="str">
        <f>IF('Paste SD Data'!H1841="","",UPPER('Paste SD Data'!H1841))</f>
        <v/>
      </c>
      <c r="H1844" s="26" t="str">
        <f>IF('Paste SD Data'!I1841="","",IF('Paste SD Data'!I1841="M","BOY","GIRL"))</f>
        <v/>
      </c>
      <c r="I1844" s="28" t="str">
        <f>IF('Paste SD Data'!J1841="","",'Paste SD Data'!J1841)</f>
        <v/>
      </c>
      <c r="J1844" s="34">
        <f t="shared" si="28"/>
        <v>2270</v>
      </c>
      <c r="K1844" s="29" t="str">
        <f>IF('Paste SD Data'!O1841="","",'Paste SD Data'!O1841)</f>
        <v/>
      </c>
    </row>
    <row r="1845" spans="1:11" ht="30" customHeight="1" x14ac:dyDescent="0.25">
      <c r="A1845" s="25" t="str">
        <f>IF(Table1[[#This Row],[Name of Student]]="","",ROWS($A$1:A1841))</f>
        <v/>
      </c>
      <c r="B1845" s="26" t="str">
        <f>IF('Paste SD Data'!A1842="","",'Paste SD Data'!A1842)</f>
        <v/>
      </c>
      <c r="C1845" s="26" t="str">
        <f>IF('Paste SD Data'!B1842="","",'Paste SD Data'!B1842)</f>
        <v/>
      </c>
      <c r="D1845" s="26" t="str">
        <f>IF('Paste SD Data'!C1842="","",'Paste SD Data'!C1842)</f>
        <v/>
      </c>
      <c r="E1845" s="27" t="str">
        <f>IF('Paste SD Data'!E1842="","",UPPER('Paste SD Data'!E1842))</f>
        <v/>
      </c>
      <c r="F1845" s="27" t="str">
        <f>IF('Paste SD Data'!G1842="","",UPPER('Paste SD Data'!G1842))</f>
        <v/>
      </c>
      <c r="G1845" s="27" t="str">
        <f>IF('Paste SD Data'!H1842="","",UPPER('Paste SD Data'!H1842))</f>
        <v/>
      </c>
      <c r="H1845" s="26" t="str">
        <f>IF('Paste SD Data'!I1842="","",IF('Paste SD Data'!I1842="M","BOY","GIRL"))</f>
        <v/>
      </c>
      <c r="I1845" s="28" t="str">
        <f>IF('Paste SD Data'!J1842="","",'Paste SD Data'!J1842)</f>
        <v/>
      </c>
      <c r="J1845" s="34">
        <f t="shared" si="28"/>
        <v>2271</v>
      </c>
      <c r="K1845" s="29" t="str">
        <f>IF('Paste SD Data'!O1842="","",'Paste SD Data'!O1842)</f>
        <v/>
      </c>
    </row>
    <row r="1846" spans="1:11" ht="30" customHeight="1" x14ac:dyDescent="0.25">
      <c r="A1846" s="25" t="str">
        <f>IF(Table1[[#This Row],[Name of Student]]="","",ROWS($A$1:A1842))</f>
        <v/>
      </c>
      <c r="B1846" s="26" t="str">
        <f>IF('Paste SD Data'!A1843="","",'Paste SD Data'!A1843)</f>
        <v/>
      </c>
      <c r="C1846" s="26" t="str">
        <f>IF('Paste SD Data'!B1843="","",'Paste SD Data'!B1843)</f>
        <v/>
      </c>
      <c r="D1846" s="26" t="str">
        <f>IF('Paste SD Data'!C1843="","",'Paste SD Data'!C1843)</f>
        <v/>
      </c>
      <c r="E1846" s="27" t="str">
        <f>IF('Paste SD Data'!E1843="","",UPPER('Paste SD Data'!E1843))</f>
        <v/>
      </c>
      <c r="F1846" s="27" t="str">
        <f>IF('Paste SD Data'!G1843="","",UPPER('Paste SD Data'!G1843))</f>
        <v/>
      </c>
      <c r="G1846" s="27" t="str">
        <f>IF('Paste SD Data'!H1843="","",UPPER('Paste SD Data'!H1843))</f>
        <v/>
      </c>
      <c r="H1846" s="26" t="str">
        <f>IF('Paste SD Data'!I1843="","",IF('Paste SD Data'!I1843="M","BOY","GIRL"))</f>
        <v/>
      </c>
      <c r="I1846" s="28" t="str">
        <f>IF('Paste SD Data'!J1843="","",'Paste SD Data'!J1843)</f>
        <v/>
      </c>
      <c r="J1846" s="34">
        <f t="shared" si="28"/>
        <v>2272</v>
      </c>
      <c r="K1846" s="29" t="str">
        <f>IF('Paste SD Data'!O1843="","",'Paste SD Data'!O1843)</f>
        <v/>
      </c>
    </row>
    <row r="1847" spans="1:11" ht="30" customHeight="1" x14ac:dyDescent="0.25">
      <c r="A1847" s="25" t="str">
        <f>IF(Table1[[#This Row],[Name of Student]]="","",ROWS($A$1:A1843))</f>
        <v/>
      </c>
      <c r="B1847" s="26" t="str">
        <f>IF('Paste SD Data'!A1844="","",'Paste SD Data'!A1844)</f>
        <v/>
      </c>
      <c r="C1847" s="26" t="str">
        <f>IF('Paste SD Data'!B1844="","",'Paste SD Data'!B1844)</f>
        <v/>
      </c>
      <c r="D1847" s="26" t="str">
        <f>IF('Paste SD Data'!C1844="","",'Paste SD Data'!C1844)</f>
        <v/>
      </c>
      <c r="E1847" s="27" t="str">
        <f>IF('Paste SD Data'!E1844="","",UPPER('Paste SD Data'!E1844))</f>
        <v/>
      </c>
      <c r="F1847" s="27" t="str">
        <f>IF('Paste SD Data'!G1844="","",UPPER('Paste SD Data'!G1844))</f>
        <v/>
      </c>
      <c r="G1847" s="27" t="str">
        <f>IF('Paste SD Data'!H1844="","",UPPER('Paste SD Data'!H1844))</f>
        <v/>
      </c>
      <c r="H1847" s="26" t="str">
        <f>IF('Paste SD Data'!I1844="","",IF('Paste SD Data'!I1844="M","BOY","GIRL"))</f>
        <v/>
      </c>
      <c r="I1847" s="28" t="str">
        <f>IF('Paste SD Data'!J1844="","",'Paste SD Data'!J1844)</f>
        <v/>
      </c>
      <c r="J1847" s="34">
        <f t="shared" si="28"/>
        <v>2273</v>
      </c>
      <c r="K1847" s="29" t="str">
        <f>IF('Paste SD Data'!O1844="","",'Paste SD Data'!O1844)</f>
        <v/>
      </c>
    </row>
    <row r="1848" spans="1:11" ht="30" customHeight="1" x14ac:dyDescent="0.25">
      <c r="A1848" s="25" t="str">
        <f>IF(Table1[[#This Row],[Name of Student]]="","",ROWS($A$1:A1844))</f>
        <v/>
      </c>
      <c r="B1848" s="26" t="str">
        <f>IF('Paste SD Data'!A1845="","",'Paste SD Data'!A1845)</f>
        <v/>
      </c>
      <c r="C1848" s="26" t="str">
        <f>IF('Paste SD Data'!B1845="","",'Paste SD Data'!B1845)</f>
        <v/>
      </c>
      <c r="D1848" s="26" t="str">
        <f>IF('Paste SD Data'!C1845="","",'Paste SD Data'!C1845)</f>
        <v/>
      </c>
      <c r="E1848" s="27" t="str">
        <f>IF('Paste SD Data'!E1845="","",UPPER('Paste SD Data'!E1845))</f>
        <v/>
      </c>
      <c r="F1848" s="27" t="str">
        <f>IF('Paste SD Data'!G1845="","",UPPER('Paste SD Data'!G1845))</f>
        <v/>
      </c>
      <c r="G1848" s="27" t="str">
        <f>IF('Paste SD Data'!H1845="","",UPPER('Paste SD Data'!H1845))</f>
        <v/>
      </c>
      <c r="H1848" s="26" t="str">
        <f>IF('Paste SD Data'!I1845="","",IF('Paste SD Data'!I1845="M","BOY","GIRL"))</f>
        <v/>
      </c>
      <c r="I1848" s="28" t="str">
        <f>IF('Paste SD Data'!J1845="","",'Paste SD Data'!J1845)</f>
        <v/>
      </c>
      <c r="J1848" s="34">
        <f t="shared" si="28"/>
        <v>2274</v>
      </c>
      <c r="K1848" s="29" t="str">
        <f>IF('Paste SD Data'!O1845="","",'Paste SD Data'!O1845)</f>
        <v/>
      </c>
    </row>
    <row r="1849" spans="1:11" ht="30" customHeight="1" x14ac:dyDescent="0.25">
      <c r="A1849" s="25" t="str">
        <f>IF(Table1[[#This Row],[Name of Student]]="","",ROWS($A$1:A1845))</f>
        <v/>
      </c>
      <c r="B1849" s="26" t="str">
        <f>IF('Paste SD Data'!A1846="","",'Paste SD Data'!A1846)</f>
        <v/>
      </c>
      <c r="C1849" s="26" t="str">
        <f>IF('Paste SD Data'!B1846="","",'Paste SD Data'!B1846)</f>
        <v/>
      </c>
      <c r="D1849" s="26" t="str">
        <f>IF('Paste SD Data'!C1846="","",'Paste SD Data'!C1846)</f>
        <v/>
      </c>
      <c r="E1849" s="27" t="str">
        <f>IF('Paste SD Data'!E1846="","",UPPER('Paste SD Data'!E1846))</f>
        <v/>
      </c>
      <c r="F1849" s="27" t="str">
        <f>IF('Paste SD Data'!G1846="","",UPPER('Paste SD Data'!G1846))</f>
        <v/>
      </c>
      <c r="G1849" s="27" t="str">
        <f>IF('Paste SD Data'!H1846="","",UPPER('Paste SD Data'!H1846))</f>
        <v/>
      </c>
      <c r="H1849" s="26" t="str">
        <f>IF('Paste SD Data'!I1846="","",IF('Paste SD Data'!I1846="M","BOY","GIRL"))</f>
        <v/>
      </c>
      <c r="I1849" s="28" t="str">
        <f>IF('Paste SD Data'!J1846="","",'Paste SD Data'!J1846)</f>
        <v/>
      </c>
      <c r="J1849" s="34">
        <f t="shared" si="28"/>
        <v>2275</v>
      </c>
      <c r="K1849" s="29" t="str">
        <f>IF('Paste SD Data'!O1846="","",'Paste SD Data'!O1846)</f>
        <v/>
      </c>
    </row>
    <row r="1850" spans="1:11" ht="30" customHeight="1" x14ac:dyDescent="0.25">
      <c r="A1850" s="25" t="str">
        <f>IF(Table1[[#This Row],[Name of Student]]="","",ROWS($A$1:A1846))</f>
        <v/>
      </c>
      <c r="B1850" s="26" t="str">
        <f>IF('Paste SD Data'!A1847="","",'Paste SD Data'!A1847)</f>
        <v/>
      </c>
      <c r="C1850" s="26" t="str">
        <f>IF('Paste SD Data'!B1847="","",'Paste SD Data'!B1847)</f>
        <v/>
      </c>
      <c r="D1850" s="26" t="str">
        <f>IF('Paste SD Data'!C1847="","",'Paste SD Data'!C1847)</f>
        <v/>
      </c>
      <c r="E1850" s="27" t="str">
        <f>IF('Paste SD Data'!E1847="","",UPPER('Paste SD Data'!E1847))</f>
        <v/>
      </c>
      <c r="F1850" s="27" t="str">
        <f>IF('Paste SD Data'!G1847="","",UPPER('Paste SD Data'!G1847))</f>
        <v/>
      </c>
      <c r="G1850" s="27" t="str">
        <f>IF('Paste SD Data'!H1847="","",UPPER('Paste SD Data'!H1847))</f>
        <v/>
      </c>
      <c r="H1850" s="26" t="str">
        <f>IF('Paste SD Data'!I1847="","",IF('Paste SD Data'!I1847="M","BOY","GIRL"))</f>
        <v/>
      </c>
      <c r="I1850" s="28" t="str">
        <f>IF('Paste SD Data'!J1847="","",'Paste SD Data'!J1847)</f>
        <v/>
      </c>
      <c r="J1850" s="34">
        <f t="shared" si="28"/>
        <v>2276</v>
      </c>
      <c r="K1850" s="29" t="str">
        <f>IF('Paste SD Data'!O1847="","",'Paste SD Data'!O1847)</f>
        <v/>
      </c>
    </row>
    <row r="1851" spans="1:11" ht="30" customHeight="1" x14ac:dyDescent="0.25">
      <c r="A1851" s="25" t="str">
        <f>IF(Table1[[#This Row],[Name of Student]]="","",ROWS($A$1:A1847))</f>
        <v/>
      </c>
      <c r="B1851" s="26" t="str">
        <f>IF('Paste SD Data'!A1848="","",'Paste SD Data'!A1848)</f>
        <v/>
      </c>
      <c r="C1851" s="26" t="str">
        <f>IF('Paste SD Data'!B1848="","",'Paste SD Data'!B1848)</f>
        <v/>
      </c>
      <c r="D1851" s="26" t="str">
        <f>IF('Paste SD Data'!C1848="","",'Paste SD Data'!C1848)</f>
        <v/>
      </c>
      <c r="E1851" s="27" t="str">
        <f>IF('Paste SD Data'!E1848="","",UPPER('Paste SD Data'!E1848))</f>
        <v/>
      </c>
      <c r="F1851" s="27" t="str">
        <f>IF('Paste SD Data'!G1848="","",UPPER('Paste SD Data'!G1848))</f>
        <v/>
      </c>
      <c r="G1851" s="27" t="str">
        <f>IF('Paste SD Data'!H1848="","",UPPER('Paste SD Data'!H1848))</f>
        <v/>
      </c>
      <c r="H1851" s="26" t="str">
        <f>IF('Paste SD Data'!I1848="","",IF('Paste SD Data'!I1848="M","BOY","GIRL"))</f>
        <v/>
      </c>
      <c r="I1851" s="28" t="str">
        <f>IF('Paste SD Data'!J1848="","",'Paste SD Data'!J1848)</f>
        <v/>
      </c>
      <c r="J1851" s="34">
        <f t="shared" si="28"/>
        <v>2277</v>
      </c>
      <c r="K1851" s="29" t="str">
        <f>IF('Paste SD Data'!O1848="","",'Paste SD Data'!O1848)</f>
        <v/>
      </c>
    </row>
    <row r="1852" spans="1:11" ht="30" customHeight="1" x14ac:dyDescent="0.25">
      <c r="A1852" s="25" t="str">
        <f>IF(Table1[[#This Row],[Name of Student]]="","",ROWS($A$1:A1848))</f>
        <v/>
      </c>
      <c r="B1852" s="26" t="str">
        <f>IF('Paste SD Data'!A1849="","",'Paste SD Data'!A1849)</f>
        <v/>
      </c>
      <c r="C1852" s="26" t="str">
        <f>IF('Paste SD Data'!B1849="","",'Paste SD Data'!B1849)</f>
        <v/>
      </c>
      <c r="D1852" s="26" t="str">
        <f>IF('Paste SD Data'!C1849="","",'Paste SD Data'!C1849)</f>
        <v/>
      </c>
      <c r="E1852" s="27" t="str">
        <f>IF('Paste SD Data'!E1849="","",UPPER('Paste SD Data'!E1849))</f>
        <v/>
      </c>
      <c r="F1852" s="27" t="str">
        <f>IF('Paste SD Data'!G1849="","",UPPER('Paste SD Data'!G1849))</f>
        <v/>
      </c>
      <c r="G1852" s="27" t="str">
        <f>IF('Paste SD Data'!H1849="","",UPPER('Paste SD Data'!H1849))</f>
        <v/>
      </c>
      <c r="H1852" s="26" t="str">
        <f>IF('Paste SD Data'!I1849="","",IF('Paste SD Data'!I1849="M","BOY","GIRL"))</f>
        <v/>
      </c>
      <c r="I1852" s="28" t="str">
        <f>IF('Paste SD Data'!J1849="","",'Paste SD Data'!J1849)</f>
        <v/>
      </c>
      <c r="J1852" s="34">
        <f t="shared" si="28"/>
        <v>2278</v>
      </c>
      <c r="K1852" s="29" t="str">
        <f>IF('Paste SD Data'!O1849="","",'Paste SD Data'!O1849)</f>
        <v/>
      </c>
    </row>
    <row r="1853" spans="1:11" ht="30" customHeight="1" x14ac:dyDescent="0.25">
      <c r="A1853" s="25" t="str">
        <f>IF(Table1[[#This Row],[Name of Student]]="","",ROWS($A$1:A1849))</f>
        <v/>
      </c>
      <c r="B1853" s="26" t="str">
        <f>IF('Paste SD Data'!A1850="","",'Paste SD Data'!A1850)</f>
        <v/>
      </c>
      <c r="C1853" s="26" t="str">
        <f>IF('Paste SD Data'!B1850="","",'Paste SD Data'!B1850)</f>
        <v/>
      </c>
      <c r="D1853" s="26" t="str">
        <f>IF('Paste SD Data'!C1850="","",'Paste SD Data'!C1850)</f>
        <v/>
      </c>
      <c r="E1853" s="27" t="str">
        <f>IF('Paste SD Data'!E1850="","",UPPER('Paste SD Data'!E1850))</f>
        <v/>
      </c>
      <c r="F1853" s="27" t="str">
        <f>IF('Paste SD Data'!G1850="","",UPPER('Paste SD Data'!G1850))</f>
        <v/>
      </c>
      <c r="G1853" s="27" t="str">
        <f>IF('Paste SD Data'!H1850="","",UPPER('Paste SD Data'!H1850))</f>
        <v/>
      </c>
      <c r="H1853" s="26" t="str">
        <f>IF('Paste SD Data'!I1850="","",IF('Paste SD Data'!I1850="M","BOY","GIRL"))</f>
        <v/>
      </c>
      <c r="I1853" s="28" t="str">
        <f>IF('Paste SD Data'!J1850="","",'Paste SD Data'!J1850)</f>
        <v/>
      </c>
      <c r="J1853" s="34">
        <f t="shared" si="28"/>
        <v>2279</v>
      </c>
      <c r="K1853" s="29" t="str">
        <f>IF('Paste SD Data'!O1850="","",'Paste SD Data'!O1850)</f>
        <v/>
      </c>
    </row>
    <row r="1854" spans="1:11" ht="30" customHeight="1" x14ac:dyDescent="0.25">
      <c r="A1854" s="25" t="str">
        <f>IF(Table1[[#This Row],[Name of Student]]="","",ROWS($A$1:A1850))</f>
        <v/>
      </c>
      <c r="B1854" s="26" t="str">
        <f>IF('Paste SD Data'!A1851="","",'Paste SD Data'!A1851)</f>
        <v/>
      </c>
      <c r="C1854" s="26" t="str">
        <f>IF('Paste SD Data'!B1851="","",'Paste SD Data'!B1851)</f>
        <v/>
      </c>
      <c r="D1854" s="26" t="str">
        <f>IF('Paste SD Data'!C1851="","",'Paste SD Data'!C1851)</f>
        <v/>
      </c>
      <c r="E1854" s="27" t="str">
        <f>IF('Paste SD Data'!E1851="","",UPPER('Paste SD Data'!E1851))</f>
        <v/>
      </c>
      <c r="F1854" s="27" t="str">
        <f>IF('Paste SD Data'!G1851="","",UPPER('Paste SD Data'!G1851))</f>
        <v/>
      </c>
      <c r="G1854" s="27" t="str">
        <f>IF('Paste SD Data'!H1851="","",UPPER('Paste SD Data'!H1851))</f>
        <v/>
      </c>
      <c r="H1854" s="26" t="str">
        <f>IF('Paste SD Data'!I1851="","",IF('Paste SD Data'!I1851="M","BOY","GIRL"))</f>
        <v/>
      </c>
      <c r="I1854" s="28" t="str">
        <f>IF('Paste SD Data'!J1851="","",'Paste SD Data'!J1851)</f>
        <v/>
      </c>
      <c r="J1854" s="34">
        <f t="shared" si="28"/>
        <v>2280</v>
      </c>
      <c r="K1854" s="29" t="str">
        <f>IF('Paste SD Data'!O1851="","",'Paste SD Data'!O1851)</f>
        <v/>
      </c>
    </row>
    <row r="1855" spans="1:11" ht="30" customHeight="1" x14ac:dyDescent="0.25">
      <c r="A1855" s="25" t="str">
        <f>IF(Table1[[#This Row],[Name of Student]]="","",ROWS($A$1:A1851))</f>
        <v/>
      </c>
      <c r="B1855" s="26" t="str">
        <f>IF('Paste SD Data'!A1852="","",'Paste SD Data'!A1852)</f>
        <v/>
      </c>
      <c r="C1855" s="26" t="str">
        <f>IF('Paste SD Data'!B1852="","",'Paste SD Data'!B1852)</f>
        <v/>
      </c>
      <c r="D1855" s="26" t="str">
        <f>IF('Paste SD Data'!C1852="","",'Paste SD Data'!C1852)</f>
        <v/>
      </c>
      <c r="E1855" s="27" t="str">
        <f>IF('Paste SD Data'!E1852="","",UPPER('Paste SD Data'!E1852))</f>
        <v/>
      </c>
      <c r="F1855" s="27" t="str">
        <f>IF('Paste SD Data'!G1852="","",UPPER('Paste SD Data'!G1852))</f>
        <v/>
      </c>
      <c r="G1855" s="27" t="str">
        <f>IF('Paste SD Data'!H1852="","",UPPER('Paste SD Data'!H1852))</f>
        <v/>
      </c>
      <c r="H1855" s="26" t="str">
        <f>IF('Paste SD Data'!I1852="","",IF('Paste SD Data'!I1852="M","BOY","GIRL"))</f>
        <v/>
      </c>
      <c r="I1855" s="28" t="str">
        <f>IF('Paste SD Data'!J1852="","",'Paste SD Data'!J1852)</f>
        <v/>
      </c>
      <c r="J1855" s="34">
        <f t="shared" si="28"/>
        <v>2281</v>
      </c>
      <c r="K1855" s="29" t="str">
        <f>IF('Paste SD Data'!O1852="","",'Paste SD Data'!O1852)</f>
        <v/>
      </c>
    </row>
    <row r="1856" spans="1:11" ht="30" customHeight="1" x14ac:dyDescent="0.25">
      <c r="A1856" s="25" t="str">
        <f>IF(Table1[[#This Row],[Name of Student]]="","",ROWS($A$1:A1852))</f>
        <v/>
      </c>
      <c r="B1856" s="26" t="str">
        <f>IF('Paste SD Data'!A1853="","",'Paste SD Data'!A1853)</f>
        <v/>
      </c>
      <c r="C1856" s="26" t="str">
        <f>IF('Paste SD Data'!B1853="","",'Paste SD Data'!B1853)</f>
        <v/>
      </c>
      <c r="D1856" s="26" t="str">
        <f>IF('Paste SD Data'!C1853="","",'Paste SD Data'!C1853)</f>
        <v/>
      </c>
      <c r="E1856" s="27" t="str">
        <f>IF('Paste SD Data'!E1853="","",UPPER('Paste SD Data'!E1853))</f>
        <v/>
      </c>
      <c r="F1856" s="27" t="str">
        <f>IF('Paste SD Data'!G1853="","",UPPER('Paste SD Data'!G1853))</f>
        <v/>
      </c>
      <c r="G1856" s="27" t="str">
        <f>IF('Paste SD Data'!H1853="","",UPPER('Paste SD Data'!H1853))</f>
        <v/>
      </c>
      <c r="H1856" s="26" t="str">
        <f>IF('Paste SD Data'!I1853="","",IF('Paste SD Data'!I1853="M","BOY","GIRL"))</f>
        <v/>
      </c>
      <c r="I1856" s="28" t="str">
        <f>IF('Paste SD Data'!J1853="","",'Paste SD Data'!J1853)</f>
        <v/>
      </c>
      <c r="J1856" s="34">
        <f t="shared" si="28"/>
        <v>2282</v>
      </c>
      <c r="K1856" s="29" t="str">
        <f>IF('Paste SD Data'!O1853="","",'Paste SD Data'!O1853)</f>
        <v/>
      </c>
    </row>
    <row r="1857" spans="1:11" ht="30" customHeight="1" x14ac:dyDescent="0.25">
      <c r="A1857" s="25" t="str">
        <f>IF(Table1[[#This Row],[Name of Student]]="","",ROWS($A$1:A1853))</f>
        <v/>
      </c>
      <c r="B1857" s="26" t="str">
        <f>IF('Paste SD Data'!A1854="","",'Paste SD Data'!A1854)</f>
        <v/>
      </c>
      <c r="C1857" s="26" t="str">
        <f>IF('Paste SD Data'!B1854="","",'Paste SD Data'!B1854)</f>
        <v/>
      </c>
      <c r="D1857" s="26" t="str">
        <f>IF('Paste SD Data'!C1854="","",'Paste SD Data'!C1854)</f>
        <v/>
      </c>
      <c r="E1857" s="27" t="str">
        <f>IF('Paste SD Data'!E1854="","",UPPER('Paste SD Data'!E1854))</f>
        <v/>
      </c>
      <c r="F1857" s="27" t="str">
        <f>IF('Paste SD Data'!G1854="","",UPPER('Paste SD Data'!G1854))</f>
        <v/>
      </c>
      <c r="G1857" s="27" t="str">
        <f>IF('Paste SD Data'!H1854="","",UPPER('Paste SD Data'!H1854))</f>
        <v/>
      </c>
      <c r="H1857" s="26" t="str">
        <f>IF('Paste SD Data'!I1854="","",IF('Paste SD Data'!I1854="M","BOY","GIRL"))</f>
        <v/>
      </c>
      <c r="I1857" s="28" t="str">
        <f>IF('Paste SD Data'!J1854="","",'Paste SD Data'!J1854)</f>
        <v/>
      </c>
      <c r="J1857" s="34">
        <f t="shared" si="28"/>
        <v>2283</v>
      </c>
      <c r="K1857" s="29" t="str">
        <f>IF('Paste SD Data'!O1854="","",'Paste SD Data'!O1854)</f>
        <v/>
      </c>
    </row>
    <row r="1858" spans="1:11" ht="30" customHeight="1" x14ac:dyDescent="0.25">
      <c r="A1858" s="25" t="str">
        <f>IF(Table1[[#This Row],[Name of Student]]="","",ROWS($A$1:A1854))</f>
        <v/>
      </c>
      <c r="B1858" s="26" t="str">
        <f>IF('Paste SD Data'!A1855="","",'Paste SD Data'!A1855)</f>
        <v/>
      </c>
      <c r="C1858" s="26" t="str">
        <f>IF('Paste SD Data'!B1855="","",'Paste SD Data'!B1855)</f>
        <v/>
      </c>
      <c r="D1858" s="26" t="str">
        <f>IF('Paste SD Data'!C1855="","",'Paste SD Data'!C1855)</f>
        <v/>
      </c>
      <c r="E1858" s="27" t="str">
        <f>IF('Paste SD Data'!E1855="","",UPPER('Paste SD Data'!E1855))</f>
        <v/>
      </c>
      <c r="F1858" s="27" t="str">
        <f>IF('Paste SD Data'!G1855="","",UPPER('Paste SD Data'!G1855))</f>
        <v/>
      </c>
      <c r="G1858" s="27" t="str">
        <f>IF('Paste SD Data'!H1855="","",UPPER('Paste SD Data'!H1855))</f>
        <v/>
      </c>
      <c r="H1858" s="26" t="str">
        <f>IF('Paste SD Data'!I1855="","",IF('Paste SD Data'!I1855="M","BOY","GIRL"))</f>
        <v/>
      </c>
      <c r="I1858" s="28" t="str">
        <f>IF('Paste SD Data'!J1855="","",'Paste SD Data'!J1855)</f>
        <v/>
      </c>
      <c r="J1858" s="34">
        <f t="shared" si="28"/>
        <v>2284</v>
      </c>
      <c r="K1858" s="29" t="str">
        <f>IF('Paste SD Data'!O1855="","",'Paste SD Data'!O1855)</f>
        <v/>
      </c>
    </row>
    <row r="1859" spans="1:11" ht="30" customHeight="1" x14ac:dyDescent="0.25">
      <c r="A1859" s="25" t="str">
        <f>IF(Table1[[#This Row],[Name of Student]]="","",ROWS($A$1:A1855))</f>
        <v/>
      </c>
      <c r="B1859" s="26" t="str">
        <f>IF('Paste SD Data'!A1856="","",'Paste SD Data'!A1856)</f>
        <v/>
      </c>
      <c r="C1859" s="26" t="str">
        <f>IF('Paste SD Data'!B1856="","",'Paste SD Data'!B1856)</f>
        <v/>
      </c>
      <c r="D1859" s="26" t="str">
        <f>IF('Paste SD Data'!C1856="","",'Paste SD Data'!C1856)</f>
        <v/>
      </c>
      <c r="E1859" s="27" t="str">
        <f>IF('Paste SD Data'!E1856="","",UPPER('Paste SD Data'!E1856))</f>
        <v/>
      </c>
      <c r="F1859" s="27" t="str">
        <f>IF('Paste SD Data'!G1856="","",UPPER('Paste SD Data'!G1856))</f>
        <v/>
      </c>
      <c r="G1859" s="27" t="str">
        <f>IF('Paste SD Data'!H1856="","",UPPER('Paste SD Data'!H1856))</f>
        <v/>
      </c>
      <c r="H1859" s="26" t="str">
        <f>IF('Paste SD Data'!I1856="","",IF('Paste SD Data'!I1856="M","BOY","GIRL"))</f>
        <v/>
      </c>
      <c r="I1859" s="28" t="str">
        <f>IF('Paste SD Data'!J1856="","",'Paste SD Data'!J1856)</f>
        <v/>
      </c>
      <c r="J1859" s="34">
        <f t="shared" si="28"/>
        <v>2285</v>
      </c>
      <c r="K1859" s="29" t="str">
        <f>IF('Paste SD Data'!O1856="","",'Paste SD Data'!O1856)</f>
        <v/>
      </c>
    </row>
    <row r="1860" spans="1:11" ht="30" customHeight="1" x14ac:dyDescent="0.25">
      <c r="A1860" s="25" t="str">
        <f>IF(Table1[[#This Row],[Name of Student]]="","",ROWS($A$1:A1856))</f>
        <v/>
      </c>
      <c r="B1860" s="26" t="str">
        <f>IF('Paste SD Data'!A1857="","",'Paste SD Data'!A1857)</f>
        <v/>
      </c>
      <c r="C1860" s="26" t="str">
        <f>IF('Paste SD Data'!B1857="","",'Paste SD Data'!B1857)</f>
        <v/>
      </c>
      <c r="D1860" s="26" t="str">
        <f>IF('Paste SD Data'!C1857="","",'Paste SD Data'!C1857)</f>
        <v/>
      </c>
      <c r="E1860" s="27" t="str">
        <f>IF('Paste SD Data'!E1857="","",UPPER('Paste SD Data'!E1857))</f>
        <v/>
      </c>
      <c r="F1860" s="27" t="str">
        <f>IF('Paste SD Data'!G1857="","",UPPER('Paste SD Data'!G1857))</f>
        <v/>
      </c>
      <c r="G1860" s="27" t="str">
        <f>IF('Paste SD Data'!H1857="","",UPPER('Paste SD Data'!H1857))</f>
        <v/>
      </c>
      <c r="H1860" s="26" t="str">
        <f>IF('Paste SD Data'!I1857="","",IF('Paste SD Data'!I1857="M","BOY","GIRL"))</f>
        <v/>
      </c>
      <c r="I1860" s="28" t="str">
        <f>IF('Paste SD Data'!J1857="","",'Paste SD Data'!J1857)</f>
        <v/>
      </c>
      <c r="J1860" s="34">
        <f t="shared" si="28"/>
        <v>2286</v>
      </c>
      <c r="K1860" s="29" t="str">
        <f>IF('Paste SD Data'!O1857="","",'Paste SD Data'!O1857)</f>
        <v/>
      </c>
    </row>
    <row r="1861" spans="1:11" ht="30" customHeight="1" x14ac:dyDescent="0.25">
      <c r="A1861" s="25" t="str">
        <f>IF(Table1[[#This Row],[Name of Student]]="","",ROWS($A$1:A1857))</f>
        <v/>
      </c>
      <c r="B1861" s="26" t="str">
        <f>IF('Paste SD Data'!A1858="","",'Paste SD Data'!A1858)</f>
        <v/>
      </c>
      <c r="C1861" s="26" t="str">
        <f>IF('Paste SD Data'!B1858="","",'Paste SD Data'!B1858)</f>
        <v/>
      </c>
      <c r="D1861" s="26" t="str">
        <f>IF('Paste SD Data'!C1858="","",'Paste SD Data'!C1858)</f>
        <v/>
      </c>
      <c r="E1861" s="27" t="str">
        <f>IF('Paste SD Data'!E1858="","",UPPER('Paste SD Data'!E1858))</f>
        <v/>
      </c>
      <c r="F1861" s="27" t="str">
        <f>IF('Paste SD Data'!G1858="","",UPPER('Paste SD Data'!G1858))</f>
        <v/>
      </c>
      <c r="G1861" s="27" t="str">
        <f>IF('Paste SD Data'!H1858="","",UPPER('Paste SD Data'!H1858))</f>
        <v/>
      </c>
      <c r="H1861" s="26" t="str">
        <f>IF('Paste SD Data'!I1858="","",IF('Paste SD Data'!I1858="M","BOY","GIRL"))</f>
        <v/>
      </c>
      <c r="I1861" s="28" t="str">
        <f>IF('Paste SD Data'!J1858="","",'Paste SD Data'!J1858)</f>
        <v/>
      </c>
      <c r="J1861" s="34">
        <f t="shared" si="28"/>
        <v>2287</v>
      </c>
      <c r="K1861" s="29" t="str">
        <f>IF('Paste SD Data'!O1858="","",'Paste SD Data'!O1858)</f>
        <v/>
      </c>
    </row>
    <row r="1862" spans="1:11" ht="30" customHeight="1" x14ac:dyDescent="0.25">
      <c r="A1862" s="25" t="str">
        <f>IF(Table1[[#This Row],[Name of Student]]="","",ROWS($A$1:A1858))</f>
        <v/>
      </c>
      <c r="B1862" s="26" t="str">
        <f>IF('Paste SD Data'!A1859="","",'Paste SD Data'!A1859)</f>
        <v/>
      </c>
      <c r="C1862" s="26" t="str">
        <f>IF('Paste SD Data'!B1859="","",'Paste SD Data'!B1859)</f>
        <v/>
      </c>
      <c r="D1862" s="26" t="str">
        <f>IF('Paste SD Data'!C1859="","",'Paste SD Data'!C1859)</f>
        <v/>
      </c>
      <c r="E1862" s="27" t="str">
        <f>IF('Paste SD Data'!E1859="","",UPPER('Paste SD Data'!E1859))</f>
        <v/>
      </c>
      <c r="F1862" s="27" t="str">
        <f>IF('Paste SD Data'!G1859="","",UPPER('Paste SD Data'!G1859))</f>
        <v/>
      </c>
      <c r="G1862" s="27" t="str">
        <f>IF('Paste SD Data'!H1859="","",UPPER('Paste SD Data'!H1859))</f>
        <v/>
      </c>
      <c r="H1862" s="26" t="str">
        <f>IF('Paste SD Data'!I1859="","",IF('Paste SD Data'!I1859="M","BOY","GIRL"))</f>
        <v/>
      </c>
      <c r="I1862" s="28" t="str">
        <f>IF('Paste SD Data'!J1859="","",'Paste SD Data'!J1859)</f>
        <v/>
      </c>
      <c r="J1862" s="34">
        <f t="shared" si="28"/>
        <v>2288</v>
      </c>
      <c r="K1862" s="29" t="str">
        <f>IF('Paste SD Data'!O1859="","",'Paste SD Data'!O1859)</f>
        <v/>
      </c>
    </row>
    <row r="1863" spans="1:11" ht="30" customHeight="1" x14ac:dyDescent="0.25">
      <c r="A1863" s="25" t="str">
        <f>IF(Table1[[#This Row],[Name of Student]]="","",ROWS($A$1:A1859))</f>
        <v/>
      </c>
      <c r="B1863" s="26" t="str">
        <f>IF('Paste SD Data'!A1860="","",'Paste SD Data'!A1860)</f>
        <v/>
      </c>
      <c r="C1863" s="26" t="str">
        <f>IF('Paste SD Data'!B1860="","",'Paste SD Data'!B1860)</f>
        <v/>
      </c>
      <c r="D1863" s="26" t="str">
        <f>IF('Paste SD Data'!C1860="","",'Paste SD Data'!C1860)</f>
        <v/>
      </c>
      <c r="E1863" s="27" t="str">
        <f>IF('Paste SD Data'!E1860="","",UPPER('Paste SD Data'!E1860))</f>
        <v/>
      </c>
      <c r="F1863" s="27" t="str">
        <f>IF('Paste SD Data'!G1860="","",UPPER('Paste SD Data'!G1860))</f>
        <v/>
      </c>
      <c r="G1863" s="27" t="str">
        <f>IF('Paste SD Data'!H1860="","",UPPER('Paste SD Data'!H1860))</f>
        <v/>
      </c>
      <c r="H1863" s="26" t="str">
        <f>IF('Paste SD Data'!I1860="","",IF('Paste SD Data'!I1860="M","BOY","GIRL"))</f>
        <v/>
      </c>
      <c r="I1863" s="28" t="str">
        <f>IF('Paste SD Data'!J1860="","",'Paste SD Data'!J1860)</f>
        <v/>
      </c>
      <c r="J1863" s="34">
        <f t="shared" ref="J1863:J1926" si="29">J1862+1</f>
        <v>2289</v>
      </c>
      <c r="K1863" s="29" t="str">
        <f>IF('Paste SD Data'!O1860="","",'Paste SD Data'!O1860)</f>
        <v/>
      </c>
    </row>
    <row r="1864" spans="1:11" ht="30" customHeight="1" x14ac:dyDescent="0.25">
      <c r="A1864" s="25" t="str">
        <f>IF(Table1[[#This Row],[Name of Student]]="","",ROWS($A$1:A1860))</f>
        <v/>
      </c>
      <c r="B1864" s="26" t="str">
        <f>IF('Paste SD Data'!A1861="","",'Paste SD Data'!A1861)</f>
        <v/>
      </c>
      <c r="C1864" s="26" t="str">
        <f>IF('Paste SD Data'!B1861="","",'Paste SD Data'!B1861)</f>
        <v/>
      </c>
      <c r="D1864" s="26" t="str">
        <f>IF('Paste SD Data'!C1861="","",'Paste SD Data'!C1861)</f>
        <v/>
      </c>
      <c r="E1864" s="27" t="str">
        <f>IF('Paste SD Data'!E1861="","",UPPER('Paste SD Data'!E1861))</f>
        <v/>
      </c>
      <c r="F1864" s="27" t="str">
        <f>IF('Paste SD Data'!G1861="","",UPPER('Paste SD Data'!G1861))</f>
        <v/>
      </c>
      <c r="G1864" s="27" t="str">
        <f>IF('Paste SD Data'!H1861="","",UPPER('Paste SD Data'!H1861))</f>
        <v/>
      </c>
      <c r="H1864" s="26" t="str">
        <f>IF('Paste SD Data'!I1861="","",IF('Paste SD Data'!I1861="M","BOY","GIRL"))</f>
        <v/>
      </c>
      <c r="I1864" s="28" t="str">
        <f>IF('Paste SD Data'!J1861="","",'Paste SD Data'!J1861)</f>
        <v/>
      </c>
      <c r="J1864" s="34">
        <f t="shared" si="29"/>
        <v>2290</v>
      </c>
      <c r="K1864" s="29" t="str">
        <f>IF('Paste SD Data'!O1861="","",'Paste SD Data'!O1861)</f>
        <v/>
      </c>
    </row>
    <row r="1865" spans="1:11" ht="30" customHeight="1" x14ac:dyDescent="0.25">
      <c r="A1865" s="25" t="str">
        <f>IF(Table1[[#This Row],[Name of Student]]="","",ROWS($A$1:A1861))</f>
        <v/>
      </c>
      <c r="B1865" s="26" t="str">
        <f>IF('Paste SD Data'!A1862="","",'Paste SD Data'!A1862)</f>
        <v/>
      </c>
      <c r="C1865" s="26" t="str">
        <f>IF('Paste SD Data'!B1862="","",'Paste SD Data'!B1862)</f>
        <v/>
      </c>
      <c r="D1865" s="26" t="str">
        <f>IF('Paste SD Data'!C1862="","",'Paste SD Data'!C1862)</f>
        <v/>
      </c>
      <c r="E1865" s="27" t="str">
        <f>IF('Paste SD Data'!E1862="","",UPPER('Paste SD Data'!E1862))</f>
        <v/>
      </c>
      <c r="F1865" s="27" t="str">
        <f>IF('Paste SD Data'!G1862="","",UPPER('Paste SD Data'!G1862))</f>
        <v/>
      </c>
      <c r="G1865" s="27" t="str">
        <f>IF('Paste SD Data'!H1862="","",UPPER('Paste SD Data'!H1862))</f>
        <v/>
      </c>
      <c r="H1865" s="26" t="str">
        <f>IF('Paste SD Data'!I1862="","",IF('Paste SD Data'!I1862="M","BOY","GIRL"))</f>
        <v/>
      </c>
      <c r="I1865" s="28" t="str">
        <f>IF('Paste SD Data'!J1862="","",'Paste SD Data'!J1862)</f>
        <v/>
      </c>
      <c r="J1865" s="34">
        <f t="shared" si="29"/>
        <v>2291</v>
      </c>
      <c r="K1865" s="29" t="str">
        <f>IF('Paste SD Data'!O1862="","",'Paste SD Data'!O1862)</f>
        <v/>
      </c>
    </row>
    <row r="1866" spans="1:11" ht="30" customHeight="1" x14ac:dyDescent="0.25">
      <c r="A1866" s="25" t="str">
        <f>IF(Table1[[#This Row],[Name of Student]]="","",ROWS($A$1:A1862))</f>
        <v/>
      </c>
      <c r="B1866" s="26" t="str">
        <f>IF('Paste SD Data'!A1863="","",'Paste SD Data'!A1863)</f>
        <v/>
      </c>
      <c r="C1866" s="26" t="str">
        <f>IF('Paste SD Data'!B1863="","",'Paste SD Data'!B1863)</f>
        <v/>
      </c>
      <c r="D1866" s="26" t="str">
        <f>IF('Paste SD Data'!C1863="","",'Paste SD Data'!C1863)</f>
        <v/>
      </c>
      <c r="E1866" s="27" t="str">
        <f>IF('Paste SD Data'!E1863="","",UPPER('Paste SD Data'!E1863))</f>
        <v/>
      </c>
      <c r="F1866" s="27" t="str">
        <f>IF('Paste SD Data'!G1863="","",UPPER('Paste SD Data'!G1863))</f>
        <v/>
      </c>
      <c r="G1866" s="27" t="str">
        <f>IF('Paste SD Data'!H1863="","",UPPER('Paste SD Data'!H1863))</f>
        <v/>
      </c>
      <c r="H1866" s="26" t="str">
        <f>IF('Paste SD Data'!I1863="","",IF('Paste SD Data'!I1863="M","BOY","GIRL"))</f>
        <v/>
      </c>
      <c r="I1866" s="28" t="str">
        <f>IF('Paste SD Data'!J1863="","",'Paste SD Data'!J1863)</f>
        <v/>
      </c>
      <c r="J1866" s="34">
        <f t="shared" si="29"/>
        <v>2292</v>
      </c>
      <c r="K1866" s="29" t="str">
        <f>IF('Paste SD Data'!O1863="","",'Paste SD Data'!O1863)</f>
        <v/>
      </c>
    </row>
    <row r="1867" spans="1:11" ht="30" customHeight="1" x14ac:dyDescent="0.25">
      <c r="A1867" s="25" t="str">
        <f>IF(Table1[[#This Row],[Name of Student]]="","",ROWS($A$1:A1863))</f>
        <v/>
      </c>
      <c r="B1867" s="26" t="str">
        <f>IF('Paste SD Data'!A1864="","",'Paste SD Data'!A1864)</f>
        <v/>
      </c>
      <c r="C1867" s="26" t="str">
        <f>IF('Paste SD Data'!B1864="","",'Paste SD Data'!B1864)</f>
        <v/>
      </c>
      <c r="D1867" s="26" t="str">
        <f>IF('Paste SD Data'!C1864="","",'Paste SD Data'!C1864)</f>
        <v/>
      </c>
      <c r="E1867" s="27" t="str">
        <f>IF('Paste SD Data'!E1864="","",UPPER('Paste SD Data'!E1864))</f>
        <v/>
      </c>
      <c r="F1867" s="27" t="str">
        <f>IF('Paste SD Data'!G1864="","",UPPER('Paste SD Data'!G1864))</f>
        <v/>
      </c>
      <c r="G1867" s="27" t="str">
        <f>IF('Paste SD Data'!H1864="","",UPPER('Paste SD Data'!H1864))</f>
        <v/>
      </c>
      <c r="H1867" s="26" t="str">
        <f>IF('Paste SD Data'!I1864="","",IF('Paste SD Data'!I1864="M","BOY","GIRL"))</f>
        <v/>
      </c>
      <c r="I1867" s="28" t="str">
        <f>IF('Paste SD Data'!J1864="","",'Paste SD Data'!J1864)</f>
        <v/>
      </c>
      <c r="J1867" s="34">
        <f t="shared" si="29"/>
        <v>2293</v>
      </c>
      <c r="K1867" s="29" t="str">
        <f>IF('Paste SD Data'!O1864="","",'Paste SD Data'!O1864)</f>
        <v/>
      </c>
    </row>
    <row r="1868" spans="1:11" ht="30" customHeight="1" x14ac:dyDescent="0.25">
      <c r="A1868" s="25" t="str">
        <f>IF(Table1[[#This Row],[Name of Student]]="","",ROWS($A$1:A1864))</f>
        <v/>
      </c>
      <c r="B1868" s="26" t="str">
        <f>IF('Paste SD Data'!A1865="","",'Paste SD Data'!A1865)</f>
        <v/>
      </c>
      <c r="C1868" s="26" t="str">
        <f>IF('Paste SD Data'!B1865="","",'Paste SD Data'!B1865)</f>
        <v/>
      </c>
      <c r="D1868" s="26" t="str">
        <f>IF('Paste SD Data'!C1865="","",'Paste SD Data'!C1865)</f>
        <v/>
      </c>
      <c r="E1868" s="27" t="str">
        <f>IF('Paste SD Data'!E1865="","",UPPER('Paste SD Data'!E1865))</f>
        <v/>
      </c>
      <c r="F1868" s="27" t="str">
        <f>IF('Paste SD Data'!G1865="","",UPPER('Paste SD Data'!G1865))</f>
        <v/>
      </c>
      <c r="G1868" s="27" t="str">
        <f>IF('Paste SD Data'!H1865="","",UPPER('Paste SD Data'!H1865))</f>
        <v/>
      </c>
      <c r="H1868" s="26" t="str">
        <f>IF('Paste SD Data'!I1865="","",IF('Paste SD Data'!I1865="M","BOY","GIRL"))</f>
        <v/>
      </c>
      <c r="I1868" s="28" t="str">
        <f>IF('Paste SD Data'!J1865="","",'Paste SD Data'!J1865)</f>
        <v/>
      </c>
      <c r="J1868" s="34">
        <f t="shared" si="29"/>
        <v>2294</v>
      </c>
      <c r="K1868" s="29" t="str">
        <f>IF('Paste SD Data'!O1865="","",'Paste SD Data'!O1865)</f>
        <v/>
      </c>
    </row>
    <row r="1869" spans="1:11" ht="30" customHeight="1" x14ac:dyDescent="0.25">
      <c r="A1869" s="25" t="str">
        <f>IF(Table1[[#This Row],[Name of Student]]="","",ROWS($A$1:A1865))</f>
        <v/>
      </c>
      <c r="B1869" s="26" t="str">
        <f>IF('Paste SD Data'!A1866="","",'Paste SD Data'!A1866)</f>
        <v/>
      </c>
      <c r="C1869" s="26" t="str">
        <f>IF('Paste SD Data'!B1866="","",'Paste SD Data'!B1866)</f>
        <v/>
      </c>
      <c r="D1869" s="26" t="str">
        <f>IF('Paste SD Data'!C1866="","",'Paste SD Data'!C1866)</f>
        <v/>
      </c>
      <c r="E1869" s="27" t="str">
        <f>IF('Paste SD Data'!E1866="","",UPPER('Paste SD Data'!E1866))</f>
        <v/>
      </c>
      <c r="F1869" s="27" t="str">
        <f>IF('Paste SD Data'!G1866="","",UPPER('Paste SD Data'!G1866))</f>
        <v/>
      </c>
      <c r="G1869" s="27" t="str">
        <f>IF('Paste SD Data'!H1866="","",UPPER('Paste SD Data'!H1866))</f>
        <v/>
      </c>
      <c r="H1869" s="26" t="str">
        <f>IF('Paste SD Data'!I1866="","",IF('Paste SD Data'!I1866="M","BOY","GIRL"))</f>
        <v/>
      </c>
      <c r="I1869" s="28" t="str">
        <f>IF('Paste SD Data'!J1866="","",'Paste SD Data'!J1866)</f>
        <v/>
      </c>
      <c r="J1869" s="34">
        <f t="shared" si="29"/>
        <v>2295</v>
      </c>
      <c r="K1869" s="29" t="str">
        <f>IF('Paste SD Data'!O1866="","",'Paste SD Data'!O1866)</f>
        <v/>
      </c>
    </row>
    <row r="1870" spans="1:11" ht="30" customHeight="1" x14ac:dyDescent="0.25">
      <c r="A1870" s="25" t="str">
        <f>IF(Table1[[#This Row],[Name of Student]]="","",ROWS($A$1:A1866))</f>
        <v/>
      </c>
      <c r="B1870" s="26" t="str">
        <f>IF('Paste SD Data'!A1867="","",'Paste SD Data'!A1867)</f>
        <v/>
      </c>
      <c r="C1870" s="26" t="str">
        <f>IF('Paste SD Data'!B1867="","",'Paste SD Data'!B1867)</f>
        <v/>
      </c>
      <c r="D1870" s="26" t="str">
        <f>IF('Paste SD Data'!C1867="","",'Paste SD Data'!C1867)</f>
        <v/>
      </c>
      <c r="E1870" s="27" t="str">
        <f>IF('Paste SD Data'!E1867="","",UPPER('Paste SD Data'!E1867))</f>
        <v/>
      </c>
      <c r="F1870" s="27" t="str">
        <f>IF('Paste SD Data'!G1867="","",UPPER('Paste SD Data'!G1867))</f>
        <v/>
      </c>
      <c r="G1870" s="27" t="str">
        <f>IF('Paste SD Data'!H1867="","",UPPER('Paste SD Data'!H1867))</f>
        <v/>
      </c>
      <c r="H1870" s="26" t="str">
        <f>IF('Paste SD Data'!I1867="","",IF('Paste SD Data'!I1867="M","BOY","GIRL"))</f>
        <v/>
      </c>
      <c r="I1870" s="28" t="str">
        <f>IF('Paste SD Data'!J1867="","",'Paste SD Data'!J1867)</f>
        <v/>
      </c>
      <c r="J1870" s="34">
        <f t="shared" si="29"/>
        <v>2296</v>
      </c>
      <c r="K1870" s="29" t="str">
        <f>IF('Paste SD Data'!O1867="","",'Paste SD Data'!O1867)</f>
        <v/>
      </c>
    </row>
    <row r="1871" spans="1:11" ht="30" customHeight="1" x14ac:dyDescent="0.25">
      <c r="A1871" s="25" t="str">
        <f>IF(Table1[[#This Row],[Name of Student]]="","",ROWS($A$1:A1867))</f>
        <v/>
      </c>
      <c r="B1871" s="26" t="str">
        <f>IF('Paste SD Data'!A1868="","",'Paste SD Data'!A1868)</f>
        <v/>
      </c>
      <c r="C1871" s="26" t="str">
        <f>IF('Paste SD Data'!B1868="","",'Paste SD Data'!B1868)</f>
        <v/>
      </c>
      <c r="D1871" s="26" t="str">
        <f>IF('Paste SD Data'!C1868="","",'Paste SD Data'!C1868)</f>
        <v/>
      </c>
      <c r="E1871" s="27" t="str">
        <f>IF('Paste SD Data'!E1868="","",UPPER('Paste SD Data'!E1868))</f>
        <v/>
      </c>
      <c r="F1871" s="27" t="str">
        <f>IF('Paste SD Data'!G1868="","",UPPER('Paste SD Data'!G1868))</f>
        <v/>
      </c>
      <c r="G1871" s="27" t="str">
        <f>IF('Paste SD Data'!H1868="","",UPPER('Paste SD Data'!H1868))</f>
        <v/>
      </c>
      <c r="H1871" s="26" t="str">
        <f>IF('Paste SD Data'!I1868="","",IF('Paste SD Data'!I1868="M","BOY","GIRL"))</f>
        <v/>
      </c>
      <c r="I1871" s="28" t="str">
        <f>IF('Paste SD Data'!J1868="","",'Paste SD Data'!J1868)</f>
        <v/>
      </c>
      <c r="J1871" s="34">
        <f t="shared" si="29"/>
        <v>2297</v>
      </c>
      <c r="K1871" s="29" t="str">
        <f>IF('Paste SD Data'!O1868="","",'Paste SD Data'!O1868)</f>
        <v/>
      </c>
    </row>
    <row r="1872" spans="1:11" ht="30" customHeight="1" x14ac:dyDescent="0.25">
      <c r="A1872" s="25" t="str">
        <f>IF(Table1[[#This Row],[Name of Student]]="","",ROWS($A$1:A1868))</f>
        <v/>
      </c>
      <c r="B1872" s="26" t="str">
        <f>IF('Paste SD Data'!A1869="","",'Paste SD Data'!A1869)</f>
        <v/>
      </c>
      <c r="C1872" s="26" t="str">
        <f>IF('Paste SD Data'!B1869="","",'Paste SD Data'!B1869)</f>
        <v/>
      </c>
      <c r="D1872" s="26" t="str">
        <f>IF('Paste SD Data'!C1869="","",'Paste SD Data'!C1869)</f>
        <v/>
      </c>
      <c r="E1872" s="27" t="str">
        <f>IF('Paste SD Data'!E1869="","",UPPER('Paste SD Data'!E1869))</f>
        <v/>
      </c>
      <c r="F1872" s="27" t="str">
        <f>IF('Paste SD Data'!G1869="","",UPPER('Paste SD Data'!G1869))</f>
        <v/>
      </c>
      <c r="G1872" s="27" t="str">
        <f>IF('Paste SD Data'!H1869="","",UPPER('Paste SD Data'!H1869))</f>
        <v/>
      </c>
      <c r="H1872" s="26" t="str">
        <f>IF('Paste SD Data'!I1869="","",IF('Paste SD Data'!I1869="M","BOY","GIRL"))</f>
        <v/>
      </c>
      <c r="I1872" s="28" t="str">
        <f>IF('Paste SD Data'!J1869="","",'Paste SD Data'!J1869)</f>
        <v/>
      </c>
      <c r="J1872" s="34">
        <f t="shared" si="29"/>
        <v>2298</v>
      </c>
      <c r="K1872" s="29" t="str">
        <f>IF('Paste SD Data'!O1869="","",'Paste SD Data'!O1869)</f>
        <v/>
      </c>
    </row>
    <row r="1873" spans="1:11" ht="30" customHeight="1" x14ac:dyDescent="0.25">
      <c r="A1873" s="25" t="str">
        <f>IF(Table1[[#This Row],[Name of Student]]="","",ROWS($A$1:A1869))</f>
        <v/>
      </c>
      <c r="B1873" s="26" t="str">
        <f>IF('Paste SD Data'!A1870="","",'Paste SD Data'!A1870)</f>
        <v/>
      </c>
      <c r="C1873" s="26" t="str">
        <f>IF('Paste SD Data'!B1870="","",'Paste SD Data'!B1870)</f>
        <v/>
      </c>
      <c r="D1873" s="26" t="str">
        <f>IF('Paste SD Data'!C1870="","",'Paste SD Data'!C1870)</f>
        <v/>
      </c>
      <c r="E1873" s="27" t="str">
        <f>IF('Paste SD Data'!E1870="","",UPPER('Paste SD Data'!E1870))</f>
        <v/>
      </c>
      <c r="F1873" s="27" t="str">
        <f>IF('Paste SD Data'!G1870="","",UPPER('Paste SD Data'!G1870))</f>
        <v/>
      </c>
      <c r="G1873" s="27" t="str">
        <f>IF('Paste SD Data'!H1870="","",UPPER('Paste SD Data'!H1870))</f>
        <v/>
      </c>
      <c r="H1873" s="26" t="str">
        <f>IF('Paste SD Data'!I1870="","",IF('Paste SD Data'!I1870="M","BOY","GIRL"))</f>
        <v/>
      </c>
      <c r="I1873" s="28" t="str">
        <f>IF('Paste SD Data'!J1870="","",'Paste SD Data'!J1870)</f>
        <v/>
      </c>
      <c r="J1873" s="34">
        <f t="shared" si="29"/>
        <v>2299</v>
      </c>
      <c r="K1873" s="29" t="str">
        <f>IF('Paste SD Data'!O1870="","",'Paste SD Data'!O1870)</f>
        <v/>
      </c>
    </row>
    <row r="1874" spans="1:11" ht="30" customHeight="1" x14ac:dyDescent="0.25">
      <c r="A1874" s="25" t="str">
        <f>IF(Table1[[#This Row],[Name of Student]]="","",ROWS($A$1:A1870))</f>
        <v/>
      </c>
      <c r="B1874" s="26" t="str">
        <f>IF('Paste SD Data'!A1871="","",'Paste SD Data'!A1871)</f>
        <v/>
      </c>
      <c r="C1874" s="26" t="str">
        <f>IF('Paste SD Data'!B1871="","",'Paste SD Data'!B1871)</f>
        <v/>
      </c>
      <c r="D1874" s="26" t="str">
        <f>IF('Paste SD Data'!C1871="","",'Paste SD Data'!C1871)</f>
        <v/>
      </c>
      <c r="E1874" s="27" t="str">
        <f>IF('Paste SD Data'!E1871="","",UPPER('Paste SD Data'!E1871))</f>
        <v/>
      </c>
      <c r="F1874" s="27" t="str">
        <f>IF('Paste SD Data'!G1871="","",UPPER('Paste SD Data'!G1871))</f>
        <v/>
      </c>
      <c r="G1874" s="27" t="str">
        <f>IF('Paste SD Data'!H1871="","",UPPER('Paste SD Data'!H1871))</f>
        <v/>
      </c>
      <c r="H1874" s="26" t="str">
        <f>IF('Paste SD Data'!I1871="","",IF('Paste SD Data'!I1871="M","BOY","GIRL"))</f>
        <v/>
      </c>
      <c r="I1874" s="28" t="str">
        <f>IF('Paste SD Data'!J1871="","",'Paste SD Data'!J1871)</f>
        <v/>
      </c>
      <c r="J1874" s="34">
        <f t="shared" si="29"/>
        <v>2300</v>
      </c>
      <c r="K1874" s="29" t="str">
        <f>IF('Paste SD Data'!O1871="","",'Paste SD Data'!O1871)</f>
        <v/>
      </c>
    </row>
    <row r="1875" spans="1:11" ht="30" customHeight="1" x14ac:dyDescent="0.25">
      <c r="A1875" s="25" t="str">
        <f>IF(Table1[[#This Row],[Name of Student]]="","",ROWS($A$1:A1871))</f>
        <v/>
      </c>
      <c r="B1875" s="26" t="str">
        <f>IF('Paste SD Data'!A1872="","",'Paste SD Data'!A1872)</f>
        <v/>
      </c>
      <c r="C1875" s="26" t="str">
        <f>IF('Paste SD Data'!B1872="","",'Paste SD Data'!B1872)</f>
        <v/>
      </c>
      <c r="D1875" s="26" t="str">
        <f>IF('Paste SD Data'!C1872="","",'Paste SD Data'!C1872)</f>
        <v/>
      </c>
      <c r="E1875" s="27" t="str">
        <f>IF('Paste SD Data'!E1872="","",UPPER('Paste SD Data'!E1872))</f>
        <v/>
      </c>
      <c r="F1875" s="27" t="str">
        <f>IF('Paste SD Data'!G1872="","",UPPER('Paste SD Data'!G1872))</f>
        <v/>
      </c>
      <c r="G1875" s="27" t="str">
        <f>IF('Paste SD Data'!H1872="","",UPPER('Paste SD Data'!H1872))</f>
        <v/>
      </c>
      <c r="H1875" s="26" t="str">
        <f>IF('Paste SD Data'!I1872="","",IF('Paste SD Data'!I1872="M","BOY","GIRL"))</f>
        <v/>
      </c>
      <c r="I1875" s="28" t="str">
        <f>IF('Paste SD Data'!J1872="","",'Paste SD Data'!J1872)</f>
        <v/>
      </c>
      <c r="J1875" s="34">
        <f t="shared" si="29"/>
        <v>2301</v>
      </c>
      <c r="K1875" s="29" t="str">
        <f>IF('Paste SD Data'!O1872="","",'Paste SD Data'!O1872)</f>
        <v/>
      </c>
    </row>
    <row r="1876" spans="1:11" ht="30" customHeight="1" x14ac:dyDescent="0.25">
      <c r="A1876" s="25" t="str">
        <f>IF(Table1[[#This Row],[Name of Student]]="","",ROWS($A$1:A1872))</f>
        <v/>
      </c>
      <c r="B1876" s="26" t="str">
        <f>IF('Paste SD Data'!A1873="","",'Paste SD Data'!A1873)</f>
        <v/>
      </c>
      <c r="C1876" s="26" t="str">
        <f>IF('Paste SD Data'!B1873="","",'Paste SD Data'!B1873)</f>
        <v/>
      </c>
      <c r="D1876" s="26" t="str">
        <f>IF('Paste SD Data'!C1873="","",'Paste SD Data'!C1873)</f>
        <v/>
      </c>
      <c r="E1876" s="27" t="str">
        <f>IF('Paste SD Data'!E1873="","",UPPER('Paste SD Data'!E1873))</f>
        <v/>
      </c>
      <c r="F1876" s="27" t="str">
        <f>IF('Paste SD Data'!G1873="","",UPPER('Paste SD Data'!G1873))</f>
        <v/>
      </c>
      <c r="G1876" s="27" t="str">
        <f>IF('Paste SD Data'!H1873="","",UPPER('Paste SD Data'!H1873))</f>
        <v/>
      </c>
      <c r="H1876" s="26" t="str">
        <f>IF('Paste SD Data'!I1873="","",IF('Paste SD Data'!I1873="M","BOY","GIRL"))</f>
        <v/>
      </c>
      <c r="I1876" s="28" t="str">
        <f>IF('Paste SD Data'!J1873="","",'Paste SD Data'!J1873)</f>
        <v/>
      </c>
      <c r="J1876" s="34">
        <f t="shared" si="29"/>
        <v>2302</v>
      </c>
      <c r="K1876" s="29" t="str">
        <f>IF('Paste SD Data'!O1873="","",'Paste SD Data'!O1873)</f>
        <v/>
      </c>
    </row>
    <row r="1877" spans="1:11" ht="30" customHeight="1" x14ac:dyDescent="0.25">
      <c r="A1877" s="25" t="str">
        <f>IF(Table1[[#This Row],[Name of Student]]="","",ROWS($A$1:A1873))</f>
        <v/>
      </c>
      <c r="B1877" s="26" t="str">
        <f>IF('Paste SD Data'!A1874="","",'Paste SD Data'!A1874)</f>
        <v/>
      </c>
      <c r="C1877" s="26" t="str">
        <f>IF('Paste SD Data'!B1874="","",'Paste SD Data'!B1874)</f>
        <v/>
      </c>
      <c r="D1877" s="26" t="str">
        <f>IF('Paste SD Data'!C1874="","",'Paste SD Data'!C1874)</f>
        <v/>
      </c>
      <c r="E1877" s="27" t="str">
        <f>IF('Paste SD Data'!E1874="","",UPPER('Paste SD Data'!E1874))</f>
        <v/>
      </c>
      <c r="F1877" s="27" t="str">
        <f>IF('Paste SD Data'!G1874="","",UPPER('Paste SD Data'!G1874))</f>
        <v/>
      </c>
      <c r="G1877" s="27" t="str">
        <f>IF('Paste SD Data'!H1874="","",UPPER('Paste SD Data'!H1874))</f>
        <v/>
      </c>
      <c r="H1877" s="26" t="str">
        <f>IF('Paste SD Data'!I1874="","",IF('Paste SD Data'!I1874="M","BOY","GIRL"))</f>
        <v/>
      </c>
      <c r="I1877" s="28" t="str">
        <f>IF('Paste SD Data'!J1874="","",'Paste SD Data'!J1874)</f>
        <v/>
      </c>
      <c r="J1877" s="34">
        <f t="shared" si="29"/>
        <v>2303</v>
      </c>
      <c r="K1877" s="29" t="str">
        <f>IF('Paste SD Data'!O1874="","",'Paste SD Data'!O1874)</f>
        <v/>
      </c>
    </row>
    <row r="1878" spans="1:11" ht="30" customHeight="1" x14ac:dyDescent="0.25">
      <c r="A1878" s="25" t="str">
        <f>IF(Table1[[#This Row],[Name of Student]]="","",ROWS($A$1:A1874))</f>
        <v/>
      </c>
      <c r="B1878" s="26" t="str">
        <f>IF('Paste SD Data'!A1875="","",'Paste SD Data'!A1875)</f>
        <v/>
      </c>
      <c r="C1878" s="26" t="str">
        <f>IF('Paste SD Data'!B1875="","",'Paste SD Data'!B1875)</f>
        <v/>
      </c>
      <c r="D1878" s="26" t="str">
        <f>IF('Paste SD Data'!C1875="","",'Paste SD Data'!C1875)</f>
        <v/>
      </c>
      <c r="E1878" s="27" t="str">
        <f>IF('Paste SD Data'!E1875="","",UPPER('Paste SD Data'!E1875))</f>
        <v/>
      </c>
      <c r="F1878" s="27" t="str">
        <f>IF('Paste SD Data'!G1875="","",UPPER('Paste SD Data'!G1875))</f>
        <v/>
      </c>
      <c r="G1878" s="27" t="str">
        <f>IF('Paste SD Data'!H1875="","",UPPER('Paste SD Data'!H1875))</f>
        <v/>
      </c>
      <c r="H1878" s="26" t="str">
        <f>IF('Paste SD Data'!I1875="","",IF('Paste SD Data'!I1875="M","BOY","GIRL"))</f>
        <v/>
      </c>
      <c r="I1878" s="28" t="str">
        <f>IF('Paste SD Data'!J1875="","",'Paste SD Data'!J1875)</f>
        <v/>
      </c>
      <c r="J1878" s="34">
        <f t="shared" si="29"/>
        <v>2304</v>
      </c>
      <c r="K1878" s="29" t="str">
        <f>IF('Paste SD Data'!O1875="","",'Paste SD Data'!O1875)</f>
        <v/>
      </c>
    </row>
    <row r="1879" spans="1:11" ht="30" customHeight="1" x14ac:dyDescent="0.25">
      <c r="A1879" s="25" t="str">
        <f>IF(Table1[[#This Row],[Name of Student]]="","",ROWS($A$1:A1875))</f>
        <v/>
      </c>
      <c r="B1879" s="26" t="str">
        <f>IF('Paste SD Data'!A1876="","",'Paste SD Data'!A1876)</f>
        <v/>
      </c>
      <c r="C1879" s="26" t="str">
        <f>IF('Paste SD Data'!B1876="","",'Paste SD Data'!B1876)</f>
        <v/>
      </c>
      <c r="D1879" s="26" t="str">
        <f>IF('Paste SD Data'!C1876="","",'Paste SD Data'!C1876)</f>
        <v/>
      </c>
      <c r="E1879" s="27" t="str">
        <f>IF('Paste SD Data'!E1876="","",UPPER('Paste SD Data'!E1876))</f>
        <v/>
      </c>
      <c r="F1879" s="27" t="str">
        <f>IF('Paste SD Data'!G1876="","",UPPER('Paste SD Data'!G1876))</f>
        <v/>
      </c>
      <c r="G1879" s="27" t="str">
        <f>IF('Paste SD Data'!H1876="","",UPPER('Paste SD Data'!H1876))</f>
        <v/>
      </c>
      <c r="H1879" s="26" t="str">
        <f>IF('Paste SD Data'!I1876="","",IF('Paste SD Data'!I1876="M","BOY","GIRL"))</f>
        <v/>
      </c>
      <c r="I1879" s="28" t="str">
        <f>IF('Paste SD Data'!J1876="","",'Paste SD Data'!J1876)</f>
        <v/>
      </c>
      <c r="J1879" s="34">
        <f t="shared" si="29"/>
        <v>2305</v>
      </c>
      <c r="K1879" s="29" t="str">
        <f>IF('Paste SD Data'!O1876="","",'Paste SD Data'!O1876)</f>
        <v/>
      </c>
    </row>
    <row r="1880" spans="1:11" ht="30" customHeight="1" x14ac:dyDescent="0.25">
      <c r="A1880" s="25" t="str">
        <f>IF(Table1[[#This Row],[Name of Student]]="","",ROWS($A$1:A1876))</f>
        <v/>
      </c>
      <c r="B1880" s="26" t="str">
        <f>IF('Paste SD Data'!A1877="","",'Paste SD Data'!A1877)</f>
        <v/>
      </c>
      <c r="C1880" s="26" t="str">
        <f>IF('Paste SD Data'!B1877="","",'Paste SD Data'!B1877)</f>
        <v/>
      </c>
      <c r="D1880" s="26" t="str">
        <f>IF('Paste SD Data'!C1877="","",'Paste SD Data'!C1877)</f>
        <v/>
      </c>
      <c r="E1880" s="27" t="str">
        <f>IF('Paste SD Data'!E1877="","",UPPER('Paste SD Data'!E1877))</f>
        <v/>
      </c>
      <c r="F1880" s="27" t="str">
        <f>IF('Paste SD Data'!G1877="","",UPPER('Paste SD Data'!G1877))</f>
        <v/>
      </c>
      <c r="G1880" s="27" t="str">
        <f>IF('Paste SD Data'!H1877="","",UPPER('Paste SD Data'!H1877))</f>
        <v/>
      </c>
      <c r="H1880" s="26" t="str">
        <f>IF('Paste SD Data'!I1877="","",IF('Paste SD Data'!I1877="M","BOY","GIRL"))</f>
        <v/>
      </c>
      <c r="I1880" s="28" t="str">
        <f>IF('Paste SD Data'!J1877="","",'Paste SD Data'!J1877)</f>
        <v/>
      </c>
      <c r="J1880" s="34">
        <f t="shared" si="29"/>
        <v>2306</v>
      </c>
      <c r="K1880" s="29" t="str">
        <f>IF('Paste SD Data'!O1877="","",'Paste SD Data'!O1877)</f>
        <v/>
      </c>
    </row>
    <row r="1881" spans="1:11" ht="30" customHeight="1" x14ac:dyDescent="0.25">
      <c r="A1881" s="25" t="str">
        <f>IF(Table1[[#This Row],[Name of Student]]="","",ROWS($A$1:A1877))</f>
        <v/>
      </c>
      <c r="B1881" s="26" t="str">
        <f>IF('Paste SD Data'!A1878="","",'Paste SD Data'!A1878)</f>
        <v/>
      </c>
      <c r="C1881" s="26" t="str">
        <f>IF('Paste SD Data'!B1878="","",'Paste SD Data'!B1878)</f>
        <v/>
      </c>
      <c r="D1881" s="26" t="str">
        <f>IF('Paste SD Data'!C1878="","",'Paste SD Data'!C1878)</f>
        <v/>
      </c>
      <c r="E1881" s="27" t="str">
        <f>IF('Paste SD Data'!E1878="","",UPPER('Paste SD Data'!E1878))</f>
        <v/>
      </c>
      <c r="F1881" s="27" t="str">
        <f>IF('Paste SD Data'!G1878="","",UPPER('Paste SD Data'!G1878))</f>
        <v/>
      </c>
      <c r="G1881" s="27" t="str">
        <f>IF('Paste SD Data'!H1878="","",UPPER('Paste SD Data'!H1878))</f>
        <v/>
      </c>
      <c r="H1881" s="26" t="str">
        <f>IF('Paste SD Data'!I1878="","",IF('Paste SD Data'!I1878="M","BOY","GIRL"))</f>
        <v/>
      </c>
      <c r="I1881" s="28" t="str">
        <f>IF('Paste SD Data'!J1878="","",'Paste SD Data'!J1878)</f>
        <v/>
      </c>
      <c r="J1881" s="34">
        <f t="shared" si="29"/>
        <v>2307</v>
      </c>
      <c r="K1881" s="29" t="str">
        <f>IF('Paste SD Data'!O1878="","",'Paste SD Data'!O1878)</f>
        <v/>
      </c>
    </row>
    <row r="1882" spans="1:11" ht="30" customHeight="1" x14ac:dyDescent="0.25">
      <c r="A1882" s="25" t="str">
        <f>IF(Table1[[#This Row],[Name of Student]]="","",ROWS($A$1:A1878))</f>
        <v/>
      </c>
      <c r="B1882" s="26" t="str">
        <f>IF('Paste SD Data'!A1879="","",'Paste SD Data'!A1879)</f>
        <v/>
      </c>
      <c r="C1882" s="26" t="str">
        <f>IF('Paste SD Data'!B1879="","",'Paste SD Data'!B1879)</f>
        <v/>
      </c>
      <c r="D1882" s="26" t="str">
        <f>IF('Paste SD Data'!C1879="","",'Paste SD Data'!C1879)</f>
        <v/>
      </c>
      <c r="E1882" s="27" t="str">
        <f>IF('Paste SD Data'!E1879="","",UPPER('Paste SD Data'!E1879))</f>
        <v/>
      </c>
      <c r="F1882" s="27" t="str">
        <f>IF('Paste SD Data'!G1879="","",UPPER('Paste SD Data'!G1879))</f>
        <v/>
      </c>
      <c r="G1882" s="27" t="str">
        <f>IF('Paste SD Data'!H1879="","",UPPER('Paste SD Data'!H1879))</f>
        <v/>
      </c>
      <c r="H1882" s="26" t="str">
        <f>IF('Paste SD Data'!I1879="","",IF('Paste SD Data'!I1879="M","BOY","GIRL"))</f>
        <v/>
      </c>
      <c r="I1882" s="28" t="str">
        <f>IF('Paste SD Data'!J1879="","",'Paste SD Data'!J1879)</f>
        <v/>
      </c>
      <c r="J1882" s="34">
        <f t="shared" si="29"/>
        <v>2308</v>
      </c>
      <c r="K1882" s="29" t="str">
        <f>IF('Paste SD Data'!O1879="","",'Paste SD Data'!O1879)</f>
        <v/>
      </c>
    </row>
    <row r="1883" spans="1:11" ht="30" customHeight="1" x14ac:dyDescent="0.25">
      <c r="A1883" s="25" t="str">
        <f>IF(Table1[[#This Row],[Name of Student]]="","",ROWS($A$1:A1879))</f>
        <v/>
      </c>
      <c r="B1883" s="26" t="str">
        <f>IF('Paste SD Data'!A1880="","",'Paste SD Data'!A1880)</f>
        <v/>
      </c>
      <c r="C1883" s="26" t="str">
        <f>IF('Paste SD Data'!B1880="","",'Paste SD Data'!B1880)</f>
        <v/>
      </c>
      <c r="D1883" s="26" t="str">
        <f>IF('Paste SD Data'!C1880="","",'Paste SD Data'!C1880)</f>
        <v/>
      </c>
      <c r="E1883" s="27" t="str">
        <f>IF('Paste SD Data'!E1880="","",UPPER('Paste SD Data'!E1880))</f>
        <v/>
      </c>
      <c r="F1883" s="27" t="str">
        <f>IF('Paste SD Data'!G1880="","",UPPER('Paste SD Data'!G1880))</f>
        <v/>
      </c>
      <c r="G1883" s="27" t="str">
        <f>IF('Paste SD Data'!H1880="","",UPPER('Paste SD Data'!H1880))</f>
        <v/>
      </c>
      <c r="H1883" s="26" t="str">
        <f>IF('Paste SD Data'!I1880="","",IF('Paste SD Data'!I1880="M","BOY","GIRL"))</f>
        <v/>
      </c>
      <c r="I1883" s="28" t="str">
        <f>IF('Paste SD Data'!J1880="","",'Paste SD Data'!J1880)</f>
        <v/>
      </c>
      <c r="J1883" s="34">
        <f t="shared" si="29"/>
        <v>2309</v>
      </c>
      <c r="K1883" s="29" t="str">
        <f>IF('Paste SD Data'!O1880="","",'Paste SD Data'!O1880)</f>
        <v/>
      </c>
    </row>
    <row r="1884" spans="1:11" ht="30" customHeight="1" x14ac:dyDescent="0.25">
      <c r="A1884" s="25" t="str">
        <f>IF(Table1[[#This Row],[Name of Student]]="","",ROWS($A$1:A1880))</f>
        <v/>
      </c>
      <c r="B1884" s="26" t="str">
        <f>IF('Paste SD Data'!A1881="","",'Paste SD Data'!A1881)</f>
        <v/>
      </c>
      <c r="C1884" s="26" t="str">
        <f>IF('Paste SD Data'!B1881="","",'Paste SD Data'!B1881)</f>
        <v/>
      </c>
      <c r="D1884" s="26" t="str">
        <f>IF('Paste SD Data'!C1881="","",'Paste SD Data'!C1881)</f>
        <v/>
      </c>
      <c r="E1884" s="27" t="str">
        <f>IF('Paste SD Data'!E1881="","",UPPER('Paste SD Data'!E1881))</f>
        <v/>
      </c>
      <c r="F1884" s="27" t="str">
        <f>IF('Paste SD Data'!G1881="","",UPPER('Paste SD Data'!G1881))</f>
        <v/>
      </c>
      <c r="G1884" s="27" t="str">
        <f>IF('Paste SD Data'!H1881="","",UPPER('Paste SD Data'!H1881))</f>
        <v/>
      </c>
      <c r="H1884" s="26" t="str">
        <f>IF('Paste SD Data'!I1881="","",IF('Paste SD Data'!I1881="M","BOY","GIRL"))</f>
        <v/>
      </c>
      <c r="I1884" s="28" t="str">
        <f>IF('Paste SD Data'!J1881="","",'Paste SD Data'!J1881)</f>
        <v/>
      </c>
      <c r="J1884" s="34">
        <f t="shared" si="29"/>
        <v>2310</v>
      </c>
      <c r="K1884" s="29" t="str">
        <f>IF('Paste SD Data'!O1881="","",'Paste SD Data'!O1881)</f>
        <v/>
      </c>
    </row>
    <row r="1885" spans="1:11" ht="30" customHeight="1" x14ac:dyDescent="0.25">
      <c r="A1885" s="25" t="str">
        <f>IF(Table1[[#This Row],[Name of Student]]="","",ROWS($A$1:A1881))</f>
        <v/>
      </c>
      <c r="B1885" s="26" t="str">
        <f>IF('Paste SD Data'!A1882="","",'Paste SD Data'!A1882)</f>
        <v/>
      </c>
      <c r="C1885" s="26" t="str">
        <f>IF('Paste SD Data'!B1882="","",'Paste SD Data'!B1882)</f>
        <v/>
      </c>
      <c r="D1885" s="26" t="str">
        <f>IF('Paste SD Data'!C1882="","",'Paste SD Data'!C1882)</f>
        <v/>
      </c>
      <c r="E1885" s="27" t="str">
        <f>IF('Paste SD Data'!E1882="","",UPPER('Paste SD Data'!E1882))</f>
        <v/>
      </c>
      <c r="F1885" s="27" t="str">
        <f>IF('Paste SD Data'!G1882="","",UPPER('Paste SD Data'!G1882))</f>
        <v/>
      </c>
      <c r="G1885" s="27" t="str">
        <f>IF('Paste SD Data'!H1882="","",UPPER('Paste SD Data'!H1882))</f>
        <v/>
      </c>
      <c r="H1885" s="26" t="str">
        <f>IF('Paste SD Data'!I1882="","",IF('Paste SD Data'!I1882="M","BOY","GIRL"))</f>
        <v/>
      </c>
      <c r="I1885" s="28" t="str">
        <f>IF('Paste SD Data'!J1882="","",'Paste SD Data'!J1882)</f>
        <v/>
      </c>
      <c r="J1885" s="34">
        <f t="shared" si="29"/>
        <v>2311</v>
      </c>
      <c r="K1885" s="29" t="str">
        <f>IF('Paste SD Data'!O1882="","",'Paste SD Data'!O1882)</f>
        <v/>
      </c>
    </row>
    <row r="1886" spans="1:11" ht="30" customHeight="1" x14ac:dyDescent="0.25">
      <c r="A1886" s="25" t="str">
        <f>IF(Table1[[#This Row],[Name of Student]]="","",ROWS($A$1:A1882))</f>
        <v/>
      </c>
      <c r="B1886" s="26" t="str">
        <f>IF('Paste SD Data'!A1883="","",'Paste SD Data'!A1883)</f>
        <v/>
      </c>
      <c r="C1886" s="26" t="str">
        <f>IF('Paste SD Data'!B1883="","",'Paste SD Data'!B1883)</f>
        <v/>
      </c>
      <c r="D1886" s="26" t="str">
        <f>IF('Paste SD Data'!C1883="","",'Paste SD Data'!C1883)</f>
        <v/>
      </c>
      <c r="E1886" s="27" t="str">
        <f>IF('Paste SD Data'!E1883="","",UPPER('Paste SD Data'!E1883))</f>
        <v/>
      </c>
      <c r="F1886" s="27" t="str">
        <f>IF('Paste SD Data'!G1883="","",UPPER('Paste SD Data'!G1883))</f>
        <v/>
      </c>
      <c r="G1886" s="27" t="str">
        <f>IF('Paste SD Data'!H1883="","",UPPER('Paste SD Data'!H1883))</f>
        <v/>
      </c>
      <c r="H1886" s="26" t="str">
        <f>IF('Paste SD Data'!I1883="","",IF('Paste SD Data'!I1883="M","BOY","GIRL"))</f>
        <v/>
      </c>
      <c r="I1886" s="28" t="str">
        <f>IF('Paste SD Data'!J1883="","",'Paste SD Data'!J1883)</f>
        <v/>
      </c>
      <c r="J1886" s="34">
        <f t="shared" si="29"/>
        <v>2312</v>
      </c>
      <c r="K1886" s="29" t="str">
        <f>IF('Paste SD Data'!O1883="","",'Paste SD Data'!O1883)</f>
        <v/>
      </c>
    </row>
    <row r="1887" spans="1:11" ht="30" customHeight="1" x14ac:dyDescent="0.25">
      <c r="A1887" s="25" t="str">
        <f>IF(Table1[[#This Row],[Name of Student]]="","",ROWS($A$1:A1883))</f>
        <v/>
      </c>
      <c r="B1887" s="26" t="str">
        <f>IF('Paste SD Data'!A1884="","",'Paste SD Data'!A1884)</f>
        <v/>
      </c>
      <c r="C1887" s="26" t="str">
        <f>IF('Paste SD Data'!B1884="","",'Paste SD Data'!B1884)</f>
        <v/>
      </c>
      <c r="D1887" s="26" t="str">
        <f>IF('Paste SD Data'!C1884="","",'Paste SD Data'!C1884)</f>
        <v/>
      </c>
      <c r="E1887" s="27" t="str">
        <f>IF('Paste SD Data'!E1884="","",UPPER('Paste SD Data'!E1884))</f>
        <v/>
      </c>
      <c r="F1887" s="27" t="str">
        <f>IF('Paste SD Data'!G1884="","",UPPER('Paste SD Data'!G1884))</f>
        <v/>
      </c>
      <c r="G1887" s="27" t="str">
        <f>IF('Paste SD Data'!H1884="","",UPPER('Paste SD Data'!H1884))</f>
        <v/>
      </c>
      <c r="H1887" s="26" t="str">
        <f>IF('Paste SD Data'!I1884="","",IF('Paste SD Data'!I1884="M","BOY","GIRL"))</f>
        <v/>
      </c>
      <c r="I1887" s="28" t="str">
        <f>IF('Paste SD Data'!J1884="","",'Paste SD Data'!J1884)</f>
        <v/>
      </c>
      <c r="J1887" s="34">
        <f t="shared" si="29"/>
        <v>2313</v>
      </c>
      <c r="K1887" s="29" t="str">
        <f>IF('Paste SD Data'!O1884="","",'Paste SD Data'!O1884)</f>
        <v/>
      </c>
    </row>
    <row r="1888" spans="1:11" ht="30" customHeight="1" x14ac:dyDescent="0.25">
      <c r="A1888" s="25" t="str">
        <f>IF(Table1[[#This Row],[Name of Student]]="","",ROWS($A$1:A1884))</f>
        <v/>
      </c>
      <c r="B1888" s="26" t="str">
        <f>IF('Paste SD Data'!A1885="","",'Paste SD Data'!A1885)</f>
        <v/>
      </c>
      <c r="C1888" s="26" t="str">
        <f>IF('Paste SD Data'!B1885="","",'Paste SD Data'!B1885)</f>
        <v/>
      </c>
      <c r="D1888" s="26" t="str">
        <f>IF('Paste SD Data'!C1885="","",'Paste SD Data'!C1885)</f>
        <v/>
      </c>
      <c r="E1888" s="27" t="str">
        <f>IF('Paste SD Data'!E1885="","",UPPER('Paste SD Data'!E1885))</f>
        <v/>
      </c>
      <c r="F1888" s="27" t="str">
        <f>IF('Paste SD Data'!G1885="","",UPPER('Paste SD Data'!G1885))</f>
        <v/>
      </c>
      <c r="G1888" s="27" t="str">
        <f>IF('Paste SD Data'!H1885="","",UPPER('Paste SD Data'!H1885))</f>
        <v/>
      </c>
      <c r="H1888" s="26" t="str">
        <f>IF('Paste SD Data'!I1885="","",IF('Paste SD Data'!I1885="M","BOY","GIRL"))</f>
        <v/>
      </c>
      <c r="I1888" s="28" t="str">
        <f>IF('Paste SD Data'!J1885="","",'Paste SD Data'!J1885)</f>
        <v/>
      </c>
      <c r="J1888" s="34">
        <f t="shared" si="29"/>
        <v>2314</v>
      </c>
      <c r="K1888" s="29" t="str">
        <f>IF('Paste SD Data'!O1885="","",'Paste SD Data'!O1885)</f>
        <v/>
      </c>
    </row>
    <row r="1889" spans="1:11" ht="30" customHeight="1" x14ac:dyDescent="0.25">
      <c r="A1889" s="25" t="str">
        <f>IF(Table1[[#This Row],[Name of Student]]="","",ROWS($A$1:A1885))</f>
        <v/>
      </c>
      <c r="B1889" s="26" t="str">
        <f>IF('Paste SD Data'!A1886="","",'Paste SD Data'!A1886)</f>
        <v/>
      </c>
      <c r="C1889" s="26" t="str">
        <f>IF('Paste SD Data'!B1886="","",'Paste SD Data'!B1886)</f>
        <v/>
      </c>
      <c r="D1889" s="26" t="str">
        <f>IF('Paste SD Data'!C1886="","",'Paste SD Data'!C1886)</f>
        <v/>
      </c>
      <c r="E1889" s="27" t="str">
        <f>IF('Paste SD Data'!E1886="","",UPPER('Paste SD Data'!E1886))</f>
        <v/>
      </c>
      <c r="F1889" s="27" t="str">
        <f>IF('Paste SD Data'!G1886="","",UPPER('Paste SD Data'!G1886))</f>
        <v/>
      </c>
      <c r="G1889" s="27" t="str">
        <f>IF('Paste SD Data'!H1886="","",UPPER('Paste SD Data'!H1886))</f>
        <v/>
      </c>
      <c r="H1889" s="26" t="str">
        <f>IF('Paste SD Data'!I1886="","",IF('Paste SD Data'!I1886="M","BOY","GIRL"))</f>
        <v/>
      </c>
      <c r="I1889" s="28" t="str">
        <f>IF('Paste SD Data'!J1886="","",'Paste SD Data'!J1886)</f>
        <v/>
      </c>
      <c r="J1889" s="34">
        <f t="shared" si="29"/>
        <v>2315</v>
      </c>
      <c r="K1889" s="29" t="str">
        <f>IF('Paste SD Data'!O1886="","",'Paste SD Data'!O1886)</f>
        <v/>
      </c>
    </row>
    <row r="1890" spans="1:11" ht="30" customHeight="1" x14ac:dyDescent="0.25">
      <c r="A1890" s="25" t="str">
        <f>IF(Table1[[#This Row],[Name of Student]]="","",ROWS($A$1:A1886))</f>
        <v/>
      </c>
      <c r="B1890" s="26" t="str">
        <f>IF('Paste SD Data'!A1887="","",'Paste SD Data'!A1887)</f>
        <v/>
      </c>
      <c r="C1890" s="26" t="str">
        <f>IF('Paste SD Data'!B1887="","",'Paste SD Data'!B1887)</f>
        <v/>
      </c>
      <c r="D1890" s="26" t="str">
        <f>IF('Paste SD Data'!C1887="","",'Paste SD Data'!C1887)</f>
        <v/>
      </c>
      <c r="E1890" s="27" t="str">
        <f>IF('Paste SD Data'!E1887="","",UPPER('Paste SD Data'!E1887))</f>
        <v/>
      </c>
      <c r="F1890" s="27" t="str">
        <f>IF('Paste SD Data'!G1887="","",UPPER('Paste SD Data'!G1887))</f>
        <v/>
      </c>
      <c r="G1890" s="27" t="str">
        <f>IF('Paste SD Data'!H1887="","",UPPER('Paste SD Data'!H1887))</f>
        <v/>
      </c>
      <c r="H1890" s="26" t="str">
        <f>IF('Paste SD Data'!I1887="","",IF('Paste SD Data'!I1887="M","BOY","GIRL"))</f>
        <v/>
      </c>
      <c r="I1890" s="28" t="str">
        <f>IF('Paste SD Data'!J1887="","",'Paste SD Data'!J1887)</f>
        <v/>
      </c>
      <c r="J1890" s="34">
        <f t="shared" si="29"/>
        <v>2316</v>
      </c>
      <c r="K1890" s="29" t="str">
        <f>IF('Paste SD Data'!O1887="","",'Paste SD Data'!O1887)</f>
        <v/>
      </c>
    </row>
    <row r="1891" spans="1:11" ht="30" customHeight="1" x14ac:dyDescent="0.25">
      <c r="A1891" s="25" t="str">
        <f>IF(Table1[[#This Row],[Name of Student]]="","",ROWS($A$1:A1887))</f>
        <v/>
      </c>
      <c r="B1891" s="26" t="str">
        <f>IF('Paste SD Data'!A1888="","",'Paste SD Data'!A1888)</f>
        <v/>
      </c>
      <c r="C1891" s="26" t="str">
        <f>IF('Paste SD Data'!B1888="","",'Paste SD Data'!B1888)</f>
        <v/>
      </c>
      <c r="D1891" s="26" t="str">
        <f>IF('Paste SD Data'!C1888="","",'Paste SD Data'!C1888)</f>
        <v/>
      </c>
      <c r="E1891" s="27" t="str">
        <f>IF('Paste SD Data'!E1888="","",UPPER('Paste SD Data'!E1888))</f>
        <v/>
      </c>
      <c r="F1891" s="27" t="str">
        <f>IF('Paste SD Data'!G1888="","",UPPER('Paste SD Data'!G1888))</f>
        <v/>
      </c>
      <c r="G1891" s="27" t="str">
        <f>IF('Paste SD Data'!H1888="","",UPPER('Paste SD Data'!H1888))</f>
        <v/>
      </c>
      <c r="H1891" s="26" t="str">
        <f>IF('Paste SD Data'!I1888="","",IF('Paste SD Data'!I1888="M","BOY","GIRL"))</f>
        <v/>
      </c>
      <c r="I1891" s="28" t="str">
        <f>IF('Paste SD Data'!J1888="","",'Paste SD Data'!J1888)</f>
        <v/>
      </c>
      <c r="J1891" s="34">
        <f t="shared" si="29"/>
        <v>2317</v>
      </c>
      <c r="K1891" s="29" t="str">
        <f>IF('Paste SD Data'!O1888="","",'Paste SD Data'!O1888)</f>
        <v/>
      </c>
    </row>
    <row r="1892" spans="1:11" ht="30" customHeight="1" x14ac:dyDescent="0.25">
      <c r="A1892" s="25" t="str">
        <f>IF(Table1[[#This Row],[Name of Student]]="","",ROWS($A$1:A1888))</f>
        <v/>
      </c>
      <c r="B1892" s="26" t="str">
        <f>IF('Paste SD Data'!A1889="","",'Paste SD Data'!A1889)</f>
        <v/>
      </c>
      <c r="C1892" s="26" t="str">
        <f>IF('Paste SD Data'!B1889="","",'Paste SD Data'!B1889)</f>
        <v/>
      </c>
      <c r="D1892" s="26" t="str">
        <f>IF('Paste SD Data'!C1889="","",'Paste SD Data'!C1889)</f>
        <v/>
      </c>
      <c r="E1892" s="27" t="str">
        <f>IF('Paste SD Data'!E1889="","",UPPER('Paste SD Data'!E1889))</f>
        <v/>
      </c>
      <c r="F1892" s="27" t="str">
        <f>IF('Paste SD Data'!G1889="","",UPPER('Paste SD Data'!G1889))</f>
        <v/>
      </c>
      <c r="G1892" s="27" t="str">
        <f>IF('Paste SD Data'!H1889="","",UPPER('Paste SD Data'!H1889))</f>
        <v/>
      </c>
      <c r="H1892" s="26" t="str">
        <f>IF('Paste SD Data'!I1889="","",IF('Paste SD Data'!I1889="M","BOY","GIRL"))</f>
        <v/>
      </c>
      <c r="I1892" s="28" t="str">
        <f>IF('Paste SD Data'!J1889="","",'Paste SD Data'!J1889)</f>
        <v/>
      </c>
      <c r="J1892" s="34">
        <f t="shared" si="29"/>
        <v>2318</v>
      </c>
      <c r="K1892" s="29" t="str">
        <f>IF('Paste SD Data'!O1889="","",'Paste SD Data'!O1889)</f>
        <v/>
      </c>
    </row>
    <row r="1893" spans="1:11" ht="30" customHeight="1" x14ac:dyDescent="0.25">
      <c r="A1893" s="25" t="str">
        <f>IF(Table1[[#This Row],[Name of Student]]="","",ROWS($A$1:A1889))</f>
        <v/>
      </c>
      <c r="B1893" s="26" t="str">
        <f>IF('Paste SD Data'!A1890="","",'Paste SD Data'!A1890)</f>
        <v/>
      </c>
      <c r="C1893" s="26" t="str">
        <f>IF('Paste SD Data'!B1890="","",'Paste SD Data'!B1890)</f>
        <v/>
      </c>
      <c r="D1893" s="26" t="str">
        <f>IF('Paste SD Data'!C1890="","",'Paste SD Data'!C1890)</f>
        <v/>
      </c>
      <c r="E1893" s="27" t="str">
        <f>IF('Paste SD Data'!E1890="","",UPPER('Paste SD Data'!E1890))</f>
        <v/>
      </c>
      <c r="F1893" s="27" t="str">
        <f>IF('Paste SD Data'!G1890="","",UPPER('Paste SD Data'!G1890))</f>
        <v/>
      </c>
      <c r="G1893" s="27" t="str">
        <f>IF('Paste SD Data'!H1890="","",UPPER('Paste SD Data'!H1890))</f>
        <v/>
      </c>
      <c r="H1893" s="26" t="str">
        <f>IF('Paste SD Data'!I1890="","",IF('Paste SD Data'!I1890="M","BOY","GIRL"))</f>
        <v/>
      </c>
      <c r="I1893" s="28" t="str">
        <f>IF('Paste SD Data'!J1890="","",'Paste SD Data'!J1890)</f>
        <v/>
      </c>
      <c r="J1893" s="34">
        <f t="shared" si="29"/>
        <v>2319</v>
      </c>
      <c r="K1893" s="29" t="str">
        <f>IF('Paste SD Data'!O1890="","",'Paste SD Data'!O1890)</f>
        <v/>
      </c>
    </row>
    <row r="1894" spans="1:11" ht="30" customHeight="1" x14ac:dyDescent="0.25">
      <c r="A1894" s="25" t="str">
        <f>IF(Table1[[#This Row],[Name of Student]]="","",ROWS($A$1:A1890))</f>
        <v/>
      </c>
      <c r="B1894" s="26" t="str">
        <f>IF('Paste SD Data'!A1891="","",'Paste SD Data'!A1891)</f>
        <v/>
      </c>
      <c r="C1894" s="26" t="str">
        <f>IF('Paste SD Data'!B1891="","",'Paste SD Data'!B1891)</f>
        <v/>
      </c>
      <c r="D1894" s="26" t="str">
        <f>IF('Paste SD Data'!C1891="","",'Paste SD Data'!C1891)</f>
        <v/>
      </c>
      <c r="E1894" s="27" t="str">
        <f>IF('Paste SD Data'!E1891="","",UPPER('Paste SD Data'!E1891))</f>
        <v/>
      </c>
      <c r="F1894" s="27" t="str">
        <f>IF('Paste SD Data'!G1891="","",UPPER('Paste SD Data'!G1891))</f>
        <v/>
      </c>
      <c r="G1894" s="27" t="str">
        <f>IF('Paste SD Data'!H1891="","",UPPER('Paste SD Data'!H1891))</f>
        <v/>
      </c>
      <c r="H1894" s="26" t="str">
        <f>IF('Paste SD Data'!I1891="","",IF('Paste SD Data'!I1891="M","BOY","GIRL"))</f>
        <v/>
      </c>
      <c r="I1894" s="28" t="str">
        <f>IF('Paste SD Data'!J1891="","",'Paste SD Data'!J1891)</f>
        <v/>
      </c>
      <c r="J1894" s="34">
        <f t="shared" si="29"/>
        <v>2320</v>
      </c>
      <c r="K1894" s="29" t="str">
        <f>IF('Paste SD Data'!O1891="","",'Paste SD Data'!O1891)</f>
        <v/>
      </c>
    </row>
    <row r="1895" spans="1:11" ht="30" customHeight="1" x14ac:dyDescent="0.25">
      <c r="A1895" s="25" t="str">
        <f>IF(Table1[[#This Row],[Name of Student]]="","",ROWS($A$1:A1891))</f>
        <v/>
      </c>
      <c r="B1895" s="26" t="str">
        <f>IF('Paste SD Data'!A1892="","",'Paste SD Data'!A1892)</f>
        <v/>
      </c>
      <c r="C1895" s="26" t="str">
        <f>IF('Paste SD Data'!B1892="","",'Paste SD Data'!B1892)</f>
        <v/>
      </c>
      <c r="D1895" s="26" t="str">
        <f>IF('Paste SD Data'!C1892="","",'Paste SD Data'!C1892)</f>
        <v/>
      </c>
      <c r="E1895" s="27" t="str">
        <f>IF('Paste SD Data'!E1892="","",UPPER('Paste SD Data'!E1892))</f>
        <v/>
      </c>
      <c r="F1895" s="27" t="str">
        <f>IF('Paste SD Data'!G1892="","",UPPER('Paste SD Data'!G1892))</f>
        <v/>
      </c>
      <c r="G1895" s="27" t="str">
        <f>IF('Paste SD Data'!H1892="","",UPPER('Paste SD Data'!H1892))</f>
        <v/>
      </c>
      <c r="H1895" s="26" t="str">
        <f>IF('Paste SD Data'!I1892="","",IF('Paste SD Data'!I1892="M","BOY","GIRL"))</f>
        <v/>
      </c>
      <c r="I1895" s="28" t="str">
        <f>IF('Paste SD Data'!J1892="","",'Paste SD Data'!J1892)</f>
        <v/>
      </c>
      <c r="J1895" s="34">
        <f t="shared" si="29"/>
        <v>2321</v>
      </c>
      <c r="K1895" s="29" t="str">
        <f>IF('Paste SD Data'!O1892="","",'Paste SD Data'!O1892)</f>
        <v/>
      </c>
    </row>
    <row r="1896" spans="1:11" ht="30" customHeight="1" x14ac:dyDescent="0.25">
      <c r="A1896" s="25" t="str">
        <f>IF(Table1[[#This Row],[Name of Student]]="","",ROWS($A$1:A1892))</f>
        <v/>
      </c>
      <c r="B1896" s="26" t="str">
        <f>IF('Paste SD Data'!A1893="","",'Paste SD Data'!A1893)</f>
        <v/>
      </c>
      <c r="C1896" s="26" t="str">
        <f>IF('Paste SD Data'!B1893="","",'Paste SD Data'!B1893)</f>
        <v/>
      </c>
      <c r="D1896" s="26" t="str">
        <f>IF('Paste SD Data'!C1893="","",'Paste SD Data'!C1893)</f>
        <v/>
      </c>
      <c r="E1896" s="27" t="str">
        <f>IF('Paste SD Data'!E1893="","",UPPER('Paste SD Data'!E1893))</f>
        <v/>
      </c>
      <c r="F1896" s="27" t="str">
        <f>IF('Paste SD Data'!G1893="","",UPPER('Paste SD Data'!G1893))</f>
        <v/>
      </c>
      <c r="G1896" s="27" t="str">
        <f>IF('Paste SD Data'!H1893="","",UPPER('Paste SD Data'!H1893))</f>
        <v/>
      </c>
      <c r="H1896" s="26" t="str">
        <f>IF('Paste SD Data'!I1893="","",IF('Paste SD Data'!I1893="M","BOY","GIRL"))</f>
        <v/>
      </c>
      <c r="I1896" s="28" t="str">
        <f>IF('Paste SD Data'!J1893="","",'Paste SD Data'!J1893)</f>
        <v/>
      </c>
      <c r="J1896" s="34">
        <f t="shared" si="29"/>
        <v>2322</v>
      </c>
      <c r="K1896" s="29" t="str">
        <f>IF('Paste SD Data'!O1893="","",'Paste SD Data'!O1893)</f>
        <v/>
      </c>
    </row>
    <row r="1897" spans="1:11" ht="30" customHeight="1" x14ac:dyDescent="0.25">
      <c r="A1897" s="25" t="str">
        <f>IF(Table1[[#This Row],[Name of Student]]="","",ROWS($A$1:A1893))</f>
        <v/>
      </c>
      <c r="B1897" s="26" t="str">
        <f>IF('Paste SD Data'!A1894="","",'Paste SD Data'!A1894)</f>
        <v/>
      </c>
      <c r="C1897" s="26" t="str">
        <f>IF('Paste SD Data'!B1894="","",'Paste SD Data'!B1894)</f>
        <v/>
      </c>
      <c r="D1897" s="26" t="str">
        <f>IF('Paste SD Data'!C1894="","",'Paste SD Data'!C1894)</f>
        <v/>
      </c>
      <c r="E1897" s="27" t="str">
        <f>IF('Paste SD Data'!E1894="","",UPPER('Paste SD Data'!E1894))</f>
        <v/>
      </c>
      <c r="F1897" s="27" t="str">
        <f>IF('Paste SD Data'!G1894="","",UPPER('Paste SD Data'!G1894))</f>
        <v/>
      </c>
      <c r="G1897" s="27" t="str">
        <f>IF('Paste SD Data'!H1894="","",UPPER('Paste SD Data'!H1894))</f>
        <v/>
      </c>
      <c r="H1897" s="26" t="str">
        <f>IF('Paste SD Data'!I1894="","",IF('Paste SD Data'!I1894="M","BOY","GIRL"))</f>
        <v/>
      </c>
      <c r="I1897" s="28" t="str">
        <f>IF('Paste SD Data'!J1894="","",'Paste SD Data'!J1894)</f>
        <v/>
      </c>
      <c r="J1897" s="34">
        <f t="shared" si="29"/>
        <v>2323</v>
      </c>
      <c r="K1897" s="29" t="str">
        <f>IF('Paste SD Data'!O1894="","",'Paste SD Data'!O1894)</f>
        <v/>
      </c>
    </row>
    <row r="1898" spans="1:11" ht="30" customHeight="1" x14ac:dyDescent="0.25">
      <c r="A1898" s="25" t="str">
        <f>IF(Table1[[#This Row],[Name of Student]]="","",ROWS($A$1:A1894))</f>
        <v/>
      </c>
      <c r="B1898" s="26" t="str">
        <f>IF('Paste SD Data'!A1895="","",'Paste SD Data'!A1895)</f>
        <v/>
      </c>
      <c r="C1898" s="26" t="str">
        <f>IF('Paste SD Data'!B1895="","",'Paste SD Data'!B1895)</f>
        <v/>
      </c>
      <c r="D1898" s="26" t="str">
        <f>IF('Paste SD Data'!C1895="","",'Paste SD Data'!C1895)</f>
        <v/>
      </c>
      <c r="E1898" s="27" t="str">
        <f>IF('Paste SD Data'!E1895="","",UPPER('Paste SD Data'!E1895))</f>
        <v/>
      </c>
      <c r="F1898" s="27" t="str">
        <f>IF('Paste SD Data'!G1895="","",UPPER('Paste SD Data'!G1895))</f>
        <v/>
      </c>
      <c r="G1898" s="27" t="str">
        <f>IF('Paste SD Data'!H1895="","",UPPER('Paste SD Data'!H1895))</f>
        <v/>
      </c>
      <c r="H1898" s="26" t="str">
        <f>IF('Paste SD Data'!I1895="","",IF('Paste SD Data'!I1895="M","BOY","GIRL"))</f>
        <v/>
      </c>
      <c r="I1898" s="28" t="str">
        <f>IF('Paste SD Data'!J1895="","",'Paste SD Data'!J1895)</f>
        <v/>
      </c>
      <c r="J1898" s="34">
        <f t="shared" si="29"/>
        <v>2324</v>
      </c>
      <c r="K1898" s="29" t="str">
        <f>IF('Paste SD Data'!O1895="","",'Paste SD Data'!O1895)</f>
        <v/>
      </c>
    </row>
    <row r="1899" spans="1:11" ht="30" customHeight="1" x14ac:dyDescent="0.25">
      <c r="A1899" s="25" t="str">
        <f>IF(Table1[[#This Row],[Name of Student]]="","",ROWS($A$1:A1895))</f>
        <v/>
      </c>
      <c r="B1899" s="26" t="str">
        <f>IF('Paste SD Data'!A1896="","",'Paste SD Data'!A1896)</f>
        <v/>
      </c>
      <c r="C1899" s="26" t="str">
        <f>IF('Paste SD Data'!B1896="","",'Paste SD Data'!B1896)</f>
        <v/>
      </c>
      <c r="D1899" s="26" t="str">
        <f>IF('Paste SD Data'!C1896="","",'Paste SD Data'!C1896)</f>
        <v/>
      </c>
      <c r="E1899" s="27" t="str">
        <f>IF('Paste SD Data'!E1896="","",UPPER('Paste SD Data'!E1896))</f>
        <v/>
      </c>
      <c r="F1899" s="27" t="str">
        <f>IF('Paste SD Data'!G1896="","",UPPER('Paste SD Data'!G1896))</f>
        <v/>
      </c>
      <c r="G1899" s="27" t="str">
        <f>IF('Paste SD Data'!H1896="","",UPPER('Paste SD Data'!H1896))</f>
        <v/>
      </c>
      <c r="H1899" s="26" t="str">
        <f>IF('Paste SD Data'!I1896="","",IF('Paste SD Data'!I1896="M","BOY","GIRL"))</f>
        <v/>
      </c>
      <c r="I1899" s="28" t="str">
        <f>IF('Paste SD Data'!J1896="","",'Paste SD Data'!J1896)</f>
        <v/>
      </c>
      <c r="J1899" s="34">
        <f t="shared" si="29"/>
        <v>2325</v>
      </c>
      <c r="K1899" s="29" t="str">
        <f>IF('Paste SD Data'!O1896="","",'Paste SD Data'!O1896)</f>
        <v/>
      </c>
    </row>
    <row r="1900" spans="1:11" ht="30" customHeight="1" x14ac:dyDescent="0.25">
      <c r="A1900" s="25" t="str">
        <f>IF(Table1[[#This Row],[Name of Student]]="","",ROWS($A$1:A1896))</f>
        <v/>
      </c>
      <c r="B1900" s="26" t="str">
        <f>IF('Paste SD Data'!A1897="","",'Paste SD Data'!A1897)</f>
        <v/>
      </c>
      <c r="C1900" s="26" t="str">
        <f>IF('Paste SD Data'!B1897="","",'Paste SD Data'!B1897)</f>
        <v/>
      </c>
      <c r="D1900" s="26" t="str">
        <f>IF('Paste SD Data'!C1897="","",'Paste SD Data'!C1897)</f>
        <v/>
      </c>
      <c r="E1900" s="27" t="str">
        <f>IF('Paste SD Data'!E1897="","",UPPER('Paste SD Data'!E1897))</f>
        <v/>
      </c>
      <c r="F1900" s="27" t="str">
        <f>IF('Paste SD Data'!G1897="","",UPPER('Paste SD Data'!G1897))</f>
        <v/>
      </c>
      <c r="G1900" s="27" t="str">
        <f>IF('Paste SD Data'!H1897="","",UPPER('Paste SD Data'!H1897))</f>
        <v/>
      </c>
      <c r="H1900" s="26" t="str">
        <f>IF('Paste SD Data'!I1897="","",IF('Paste SD Data'!I1897="M","BOY","GIRL"))</f>
        <v/>
      </c>
      <c r="I1900" s="28" t="str">
        <f>IF('Paste SD Data'!J1897="","",'Paste SD Data'!J1897)</f>
        <v/>
      </c>
      <c r="J1900" s="34">
        <f t="shared" si="29"/>
        <v>2326</v>
      </c>
      <c r="K1900" s="29" t="str">
        <f>IF('Paste SD Data'!O1897="","",'Paste SD Data'!O1897)</f>
        <v/>
      </c>
    </row>
    <row r="1901" spans="1:11" ht="30" customHeight="1" x14ac:dyDescent="0.25">
      <c r="A1901" s="25" t="str">
        <f>IF(Table1[[#This Row],[Name of Student]]="","",ROWS($A$1:A1897))</f>
        <v/>
      </c>
      <c r="B1901" s="26" t="str">
        <f>IF('Paste SD Data'!A1898="","",'Paste SD Data'!A1898)</f>
        <v/>
      </c>
      <c r="C1901" s="26" t="str">
        <f>IF('Paste SD Data'!B1898="","",'Paste SD Data'!B1898)</f>
        <v/>
      </c>
      <c r="D1901" s="26" t="str">
        <f>IF('Paste SD Data'!C1898="","",'Paste SD Data'!C1898)</f>
        <v/>
      </c>
      <c r="E1901" s="27" t="str">
        <f>IF('Paste SD Data'!E1898="","",UPPER('Paste SD Data'!E1898))</f>
        <v/>
      </c>
      <c r="F1901" s="27" t="str">
        <f>IF('Paste SD Data'!G1898="","",UPPER('Paste SD Data'!G1898))</f>
        <v/>
      </c>
      <c r="G1901" s="27" t="str">
        <f>IF('Paste SD Data'!H1898="","",UPPER('Paste SD Data'!H1898))</f>
        <v/>
      </c>
      <c r="H1901" s="26" t="str">
        <f>IF('Paste SD Data'!I1898="","",IF('Paste SD Data'!I1898="M","BOY","GIRL"))</f>
        <v/>
      </c>
      <c r="I1901" s="28" t="str">
        <f>IF('Paste SD Data'!J1898="","",'Paste SD Data'!J1898)</f>
        <v/>
      </c>
      <c r="J1901" s="34">
        <f t="shared" si="29"/>
        <v>2327</v>
      </c>
      <c r="K1901" s="29" t="str">
        <f>IF('Paste SD Data'!O1898="","",'Paste SD Data'!O1898)</f>
        <v/>
      </c>
    </row>
    <row r="1902" spans="1:11" ht="30" customHeight="1" x14ac:dyDescent="0.25">
      <c r="A1902" s="25" t="str">
        <f>IF(Table1[[#This Row],[Name of Student]]="","",ROWS($A$1:A1898))</f>
        <v/>
      </c>
      <c r="B1902" s="26" t="str">
        <f>IF('Paste SD Data'!A1899="","",'Paste SD Data'!A1899)</f>
        <v/>
      </c>
      <c r="C1902" s="26" t="str">
        <f>IF('Paste SD Data'!B1899="","",'Paste SD Data'!B1899)</f>
        <v/>
      </c>
      <c r="D1902" s="26" t="str">
        <f>IF('Paste SD Data'!C1899="","",'Paste SD Data'!C1899)</f>
        <v/>
      </c>
      <c r="E1902" s="27" t="str">
        <f>IF('Paste SD Data'!E1899="","",UPPER('Paste SD Data'!E1899))</f>
        <v/>
      </c>
      <c r="F1902" s="27" t="str">
        <f>IF('Paste SD Data'!G1899="","",UPPER('Paste SD Data'!G1899))</f>
        <v/>
      </c>
      <c r="G1902" s="27" t="str">
        <f>IF('Paste SD Data'!H1899="","",UPPER('Paste SD Data'!H1899))</f>
        <v/>
      </c>
      <c r="H1902" s="26" t="str">
        <f>IF('Paste SD Data'!I1899="","",IF('Paste SD Data'!I1899="M","BOY","GIRL"))</f>
        <v/>
      </c>
      <c r="I1902" s="28" t="str">
        <f>IF('Paste SD Data'!J1899="","",'Paste SD Data'!J1899)</f>
        <v/>
      </c>
      <c r="J1902" s="34">
        <f t="shared" si="29"/>
        <v>2328</v>
      </c>
      <c r="K1902" s="29" t="str">
        <f>IF('Paste SD Data'!O1899="","",'Paste SD Data'!O1899)</f>
        <v/>
      </c>
    </row>
    <row r="1903" spans="1:11" ht="30" customHeight="1" x14ac:dyDescent="0.25">
      <c r="A1903" s="25" t="str">
        <f>IF(Table1[[#This Row],[Name of Student]]="","",ROWS($A$1:A1899))</f>
        <v/>
      </c>
      <c r="B1903" s="26" t="str">
        <f>IF('Paste SD Data'!A1900="","",'Paste SD Data'!A1900)</f>
        <v/>
      </c>
      <c r="C1903" s="26" t="str">
        <f>IF('Paste SD Data'!B1900="","",'Paste SD Data'!B1900)</f>
        <v/>
      </c>
      <c r="D1903" s="26" t="str">
        <f>IF('Paste SD Data'!C1900="","",'Paste SD Data'!C1900)</f>
        <v/>
      </c>
      <c r="E1903" s="27" t="str">
        <f>IF('Paste SD Data'!E1900="","",UPPER('Paste SD Data'!E1900))</f>
        <v/>
      </c>
      <c r="F1903" s="27" t="str">
        <f>IF('Paste SD Data'!G1900="","",UPPER('Paste SD Data'!G1900))</f>
        <v/>
      </c>
      <c r="G1903" s="27" t="str">
        <f>IF('Paste SD Data'!H1900="","",UPPER('Paste SD Data'!H1900))</f>
        <v/>
      </c>
      <c r="H1903" s="26" t="str">
        <f>IF('Paste SD Data'!I1900="","",IF('Paste SD Data'!I1900="M","BOY","GIRL"))</f>
        <v/>
      </c>
      <c r="I1903" s="28" t="str">
        <f>IF('Paste SD Data'!J1900="","",'Paste SD Data'!J1900)</f>
        <v/>
      </c>
      <c r="J1903" s="34">
        <f t="shared" si="29"/>
        <v>2329</v>
      </c>
      <c r="K1903" s="29" t="str">
        <f>IF('Paste SD Data'!O1900="","",'Paste SD Data'!O1900)</f>
        <v/>
      </c>
    </row>
    <row r="1904" spans="1:11" ht="30" customHeight="1" x14ac:dyDescent="0.25">
      <c r="A1904" s="25" t="str">
        <f>IF(Table1[[#This Row],[Name of Student]]="","",ROWS($A$1:A1900))</f>
        <v/>
      </c>
      <c r="B1904" s="26" t="str">
        <f>IF('Paste SD Data'!A1901="","",'Paste SD Data'!A1901)</f>
        <v/>
      </c>
      <c r="C1904" s="26" t="str">
        <f>IF('Paste SD Data'!B1901="","",'Paste SD Data'!B1901)</f>
        <v/>
      </c>
      <c r="D1904" s="26" t="str">
        <f>IF('Paste SD Data'!C1901="","",'Paste SD Data'!C1901)</f>
        <v/>
      </c>
      <c r="E1904" s="27" t="str">
        <f>IF('Paste SD Data'!E1901="","",UPPER('Paste SD Data'!E1901))</f>
        <v/>
      </c>
      <c r="F1904" s="27" t="str">
        <f>IF('Paste SD Data'!G1901="","",UPPER('Paste SD Data'!G1901))</f>
        <v/>
      </c>
      <c r="G1904" s="27" t="str">
        <f>IF('Paste SD Data'!H1901="","",UPPER('Paste SD Data'!H1901))</f>
        <v/>
      </c>
      <c r="H1904" s="26" t="str">
        <f>IF('Paste SD Data'!I1901="","",IF('Paste SD Data'!I1901="M","BOY","GIRL"))</f>
        <v/>
      </c>
      <c r="I1904" s="28" t="str">
        <f>IF('Paste SD Data'!J1901="","",'Paste SD Data'!J1901)</f>
        <v/>
      </c>
      <c r="J1904" s="34">
        <f t="shared" si="29"/>
        <v>2330</v>
      </c>
      <c r="K1904" s="29" t="str">
        <f>IF('Paste SD Data'!O1901="","",'Paste SD Data'!O1901)</f>
        <v/>
      </c>
    </row>
    <row r="1905" spans="1:11" ht="30" customHeight="1" x14ac:dyDescent="0.25">
      <c r="A1905" s="25" t="str">
        <f>IF(Table1[[#This Row],[Name of Student]]="","",ROWS($A$1:A1901))</f>
        <v/>
      </c>
      <c r="B1905" s="26" t="str">
        <f>IF('Paste SD Data'!A1902="","",'Paste SD Data'!A1902)</f>
        <v/>
      </c>
      <c r="C1905" s="26" t="str">
        <f>IF('Paste SD Data'!B1902="","",'Paste SD Data'!B1902)</f>
        <v/>
      </c>
      <c r="D1905" s="26" t="str">
        <f>IF('Paste SD Data'!C1902="","",'Paste SD Data'!C1902)</f>
        <v/>
      </c>
      <c r="E1905" s="27" t="str">
        <f>IF('Paste SD Data'!E1902="","",UPPER('Paste SD Data'!E1902))</f>
        <v/>
      </c>
      <c r="F1905" s="27" t="str">
        <f>IF('Paste SD Data'!G1902="","",UPPER('Paste SD Data'!G1902))</f>
        <v/>
      </c>
      <c r="G1905" s="27" t="str">
        <f>IF('Paste SD Data'!H1902="","",UPPER('Paste SD Data'!H1902))</f>
        <v/>
      </c>
      <c r="H1905" s="26" t="str">
        <f>IF('Paste SD Data'!I1902="","",IF('Paste SD Data'!I1902="M","BOY","GIRL"))</f>
        <v/>
      </c>
      <c r="I1905" s="28" t="str">
        <f>IF('Paste SD Data'!J1902="","",'Paste SD Data'!J1902)</f>
        <v/>
      </c>
      <c r="J1905" s="34">
        <f t="shared" si="29"/>
        <v>2331</v>
      </c>
      <c r="K1905" s="29" t="str">
        <f>IF('Paste SD Data'!O1902="","",'Paste SD Data'!O1902)</f>
        <v/>
      </c>
    </row>
    <row r="1906" spans="1:11" ht="30" customHeight="1" x14ac:dyDescent="0.25">
      <c r="A1906" s="25" t="str">
        <f>IF(Table1[[#This Row],[Name of Student]]="","",ROWS($A$1:A1902))</f>
        <v/>
      </c>
      <c r="B1906" s="26" t="str">
        <f>IF('Paste SD Data'!A1903="","",'Paste SD Data'!A1903)</f>
        <v/>
      </c>
      <c r="C1906" s="26" t="str">
        <f>IF('Paste SD Data'!B1903="","",'Paste SD Data'!B1903)</f>
        <v/>
      </c>
      <c r="D1906" s="26" t="str">
        <f>IF('Paste SD Data'!C1903="","",'Paste SD Data'!C1903)</f>
        <v/>
      </c>
      <c r="E1906" s="27" t="str">
        <f>IF('Paste SD Data'!E1903="","",UPPER('Paste SD Data'!E1903))</f>
        <v/>
      </c>
      <c r="F1906" s="27" t="str">
        <f>IF('Paste SD Data'!G1903="","",UPPER('Paste SD Data'!G1903))</f>
        <v/>
      </c>
      <c r="G1906" s="27" t="str">
        <f>IF('Paste SD Data'!H1903="","",UPPER('Paste SD Data'!H1903))</f>
        <v/>
      </c>
      <c r="H1906" s="26" t="str">
        <f>IF('Paste SD Data'!I1903="","",IF('Paste SD Data'!I1903="M","BOY","GIRL"))</f>
        <v/>
      </c>
      <c r="I1906" s="28" t="str">
        <f>IF('Paste SD Data'!J1903="","",'Paste SD Data'!J1903)</f>
        <v/>
      </c>
      <c r="J1906" s="34">
        <f t="shared" si="29"/>
        <v>2332</v>
      </c>
      <c r="K1906" s="29" t="str">
        <f>IF('Paste SD Data'!O1903="","",'Paste SD Data'!O1903)</f>
        <v/>
      </c>
    </row>
    <row r="1907" spans="1:11" ht="30" customHeight="1" x14ac:dyDescent="0.25">
      <c r="A1907" s="25" t="str">
        <f>IF(Table1[[#This Row],[Name of Student]]="","",ROWS($A$1:A1903))</f>
        <v/>
      </c>
      <c r="B1907" s="26" t="str">
        <f>IF('Paste SD Data'!A1904="","",'Paste SD Data'!A1904)</f>
        <v/>
      </c>
      <c r="C1907" s="26" t="str">
        <f>IF('Paste SD Data'!B1904="","",'Paste SD Data'!B1904)</f>
        <v/>
      </c>
      <c r="D1907" s="26" t="str">
        <f>IF('Paste SD Data'!C1904="","",'Paste SD Data'!C1904)</f>
        <v/>
      </c>
      <c r="E1907" s="27" t="str">
        <f>IF('Paste SD Data'!E1904="","",UPPER('Paste SD Data'!E1904))</f>
        <v/>
      </c>
      <c r="F1907" s="27" t="str">
        <f>IF('Paste SD Data'!G1904="","",UPPER('Paste SD Data'!G1904))</f>
        <v/>
      </c>
      <c r="G1907" s="27" t="str">
        <f>IF('Paste SD Data'!H1904="","",UPPER('Paste SD Data'!H1904))</f>
        <v/>
      </c>
      <c r="H1907" s="26" t="str">
        <f>IF('Paste SD Data'!I1904="","",IF('Paste SD Data'!I1904="M","BOY","GIRL"))</f>
        <v/>
      </c>
      <c r="I1907" s="28" t="str">
        <f>IF('Paste SD Data'!J1904="","",'Paste SD Data'!J1904)</f>
        <v/>
      </c>
      <c r="J1907" s="34">
        <f t="shared" si="29"/>
        <v>2333</v>
      </c>
      <c r="K1907" s="29" t="str">
        <f>IF('Paste SD Data'!O1904="","",'Paste SD Data'!O1904)</f>
        <v/>
      </c>
    </row>
    <row r="1908" spans="1:11" ht="30" customHeight="1" x14ac:dyDescent="0.25">
      <c r="A1908" s="25" t="str">
        <f>IF(Table1[[#This Row],[Name of Student]]="","",ROWS($A$1:A1904))</f>
        <v/>
      </c>
      <c r="B1908" s="26" t="str">
        <f>IF('Paste SD Data'!A1905="","",'Paste SD Data'!A1905)</f>
        <v/>
      </c>
      <c r="C1908" s="26" t="str">
        <f>IF('Paste SD Data'!B1905="","",'Paste SD Data'!B1905)</f>
        <v/>
      </c>
      <c r="D1908" s="26" t="str">
        <f>IF('Paste SD Data'!C1905="","",'Paste SD Data'!C1905)</f>
        <v/>
      </c>
      <c r="E1908" s="27" t="str">
        <f>IF('Paste SD Data'!E1905="","",UPPER('Paste SD Data'!E1905))</f>
        <v/>
      </c>
      <c r="F1908" s="27" t="str">
        <f>IF('Paste SD Data'!G1905="","",UPPER('Paste SD Data'!G1905))</f>
        <v/>
      </c>
      <c r="G1908" s="27" t="str">
        <f>IF('Paste SD Data'!H1905="","",UPPER('Paste SD Data'!H1905))</f>
        <v/>
      </c>
      <c r="H1908" s="26" t="str">
        <f>IF('Paste SD Data'!I1905="","",IF('Paste SD Data'!I1905="M","BOY","GIRL"))</f>
        <v/>
      </c>
      <c r="I1908" s="28" t="str">
        <f>IF('Paste SD Data'!J1905="","",'Paste SD Data'!J1905)</f>
        <v/>
      </c>
      <c r="J1908" s="34">
        <f t="shared" si="29"/>
        <v>2334</v>
      </c>
      <c r="K1908" s="29" t="str">
        <f>IF('Paste SD Data'!O1905="","",'Paste SD Data'!O1905)</f>
        <v/>
      </c>
    </row>
    <row r="1909" spans="1:11" ht="30" customHeight="1" x14ac:dyDescent="0.25">
      <c r="A1909" s="25" t="str">
        <f>IF(Table1[[#This Row],[Name of Student]]="","",ROWS($A$1:A1905))</f>
        <v/>
      </c>
      <c r="B1909" s="26" t="str">
        <f>IF('Paste SD Data'!A1906="","",'Paste SD Data'!A1906)</f>
        <v/>
      </c>
      <c r="C1909" s="26" t="str">
        <f>IF('Paste SD Data'!B1906="","",'Paste SD Data'!B1906)</f>
        <v/>
      </c>
      <c r="D1909" s="26" t="str">
        <f>IF('Paste SD Data'!C1906="","",'Paste SD Data'!C1906)</f>
        <v/>
      </c>
      <c r="E1909" s="27" t="str">
        <f>IF('Paste SD Data'!E1906="","",UPPER('Paste SD Data'!E1906))</f>
        <v/>
      </c>
      <c r="F1909" s="27" t="str">
        <f>IF('Paste SD Data'!G1906="","",UPPER('Paste SD Data'!G1906))</f>
        <v/>
      </c>
      <c r="G1909" s="27" t="str">
        <f>IF('Paste SD Data'!H1906="","",UPPER('Paste SD Data'!H1906))</f>
        <v/>
      </c>
      <c r="H1909" s="26" t="str">
        <f>IF('Paste SD Data'!I1906="","",IF('Paste SD Data'!I1906="M","BOY","GIRL"))</f>
        <v/>
      </c>
      <c r="I1909" s="28" t="str">
        <f>IF('Paste SD Data'!J1906="","",'Paste SD Data'!J1906)</f>
        <v/>
      </c>
      <c r="J1909" s="34">
        <f t="shared" si="29"/>
        <v>2335</v>
      </c>
      <c r="K1909" s="29" t="str">
        <f>IF('Paste SD Data'!O1906="","",'Paste SD Data'!O1906)</f>
        <v/>
      </c>
    </row>
    <row r="1910" spans="1:11" ht="30" customHeight="1" x14ac:dyDescent="0.25">
      <c r="A1910" s="25" t="str">
        <f>IF(Table1[[#This Row],[Name of Student]]="","",ROWS($A$1:A1906))</f>
        <v/>
      </c>
      <c r="B1910" s="26" t="str">
        <f>IF('Paste SD Data'!A1907="","",'Paste SD Data'!A1907)</f>
        <v/>
      </c>
      <c r="C1910" s="26" t="str">
        <f>IF('Paste SD Data'!B1907="","",'Paste SD Data'!B1907)</f>
        <v/>
      </c>
      <c r="D1910" s="26" t="str">
        <f>IF('Paste SD Data'!C1907="","",'Paste SD Data'!C1907)</f>
        <v/>
      </c>
      <c r="E1910" s="27" t="str">
        <f>IF('Paste SD Data'!E1907="","",UPPER('Paste SD Data'!E1907))</f>
        <v/>
      </c>
      <c r="F1910" s="27" t="str">
        <f>IF('Paste SD Data'!G1907="","",UPPER('Paste SD Data'!G1907))</f>
        <v/>
      </c>
      <c r="G1910" s="27" t="str">
        <f>IF('Paste SD Data'!H1907="","",UPPER('Paste SD Data'!H1907))</f>
        <v/>
      </c>
      <c r="H1910" s="26" t="str">
        <f>IF('Paste SD Data'!I1907="","",IF('Paste SD Data'!I1907="M","BOY","GIRL"))</f>
        <v/>
      </c>
      <c r="I1910" s="28" t="str">
        <f>IF('Paste SD Data'!J1907="","",'Paste SD Data'!J1907)</f>
        <v/>
      </c>
      <c r="J1910" s="34">
        <f t="shared" si="29"/>
        <v>2336</v>
      </c>
      <c r="K1910" s="29" t="str">
        <f>IF('Paste SD Data'!O1907="","",'Paste SD Data'!O1907)</f>
        <v/>
      </c>
    </row>
    <row r="1911" spans="1:11" ht="30" customHeight="1" x14ac:dyDescent="0.25">
      <c r="A1911" s="25" t="str">
        <f>IF(Table1[[#This Row],[Name of Student]]="","",ROWS($A$1:A1907))</f>
        <v/>
      </c>
      <c r="B1911" s="26" t="str">
        <f>IF('Paste SD Data'!A1908="","",'Paste SD Data'!A1908)</f>
        <v/>
      </c>
      <c r="C1911" s="26" t="str">
        <f>IF('Paste SD Data'!B1908="","",'Paste SD Data'!B1908)</f>
        <v/>
      </c>
      <c r="D1911" s="26" t="str">
        <f>IF('Paste SD Data'!C1908="","",'Paste SD Data'!C1908)</f>
        <v/>
      </c>
      <c r="E1911" s="27" t="str">
        <f>IF('Paste SD Data'!E1908="","",UPPER('Paste SD Data'!E1908))</f>
        <v/>
      </c>
      <c r="F1911" s="27" t="str">
        <f>IF('Paste SD Data'!G1908="","",UPPER('Paste SD Data'!G1908))</f>
        <v/>
      </c>
      <c r="G1911" s="27" t="str">
        <f>IF('Paste SD Data'!H1908="","",UPPER('Paste SD Data'!H1908))</f>
        <v/>
      </c>
      <c r="H1911" s="26" t="str">
        <f>IF('Paste SD Data'!I1908="","",IF('Paste SD Data'!I1908="M","BOY","GIRL"))</f>
        <v/>
      </c>
      <c r="I1911" s="28" t="str">
        <f>IF('Paste SD Data'!J1908="","",'Paste SD Data'!J1908)</f>
        <v/>
      </c>
      <c r="J1911" s="34">
        <f t="shared" si="29"/>
        <v>2337</v>
      </c>
      <c r="K1911" s="29" t="str">
        <f>IF('Paste SD Data'!O1908="","",'Paste SD Data'!O1908)</f>
        <v/>
      </c>
    </row>
    <row r="1912" spans="1:11" ht="30" customHeight="1" x14ac:dyDescent="0.25">
      <c r="A1912" s="25" t="str">
        <f>IF(Table1[[#This Row],[Name of Student]]="","",ROWS($A$1:A1908))</f>
        <v/>
      </c>
      <c r="B1912" s="26" t="str">
        <f>IF('Paste SD Data'!A1909="","",'Paste SD Data'!A1909)</f>
        <v/>
      </c>
      <c r="C1912" s="26" t="str">
        <f>IF('Paste SD Data'!B1909="","",'Paste SD Data'!B1909)</f>
        <v/>
      </c>
      <c r="D1912" s="26" t="str">
        <f>IF('Paste SD Data'!C1909="","",'Paste SD Data'!C1909)</f>
        <v/>
      </c>
      <c r="E1912" s="27" t="str">
        <f>IF('Paste SD Data'!E1909="","",UPPER('Paste SD Data'!E1909))</f>
        <v/>
      </c>
      <c r="F1912" s="27" t="str">
        <f>IF('Paste SD Data'!G1909="","",UPPER('Paste SD Data'!G1909))</f>
        <v/>
      </c>
      <c r="G1912" s="27" t="str">
        <f>IF('Paste SD Data'!H1909="","",UPPER('Paste SD Data'!H1909))</f>
        <v/>
      </c>
      <c r="H1912" s="26" t="str">
        <f>IF('Paste SD Data'!I1909="","",IF('Paste SD Data'!I1909="M","BOY","GIRL"))</f>
        <v/>
      </c>
      <c r="I1912" s="28" t="str">
        <f>IF('Paste SD Data'!J1909="","",'Paste SD Data'!J1909)</f>
        <v/>
      </c>
      <c r="J1912" s="34">
        <f t="shared" si="29"/>
        <v>2338</v>
      </c>
      <c r="K1912" s="29" t="str">
        <f>IF('Paste SD Data'!O1909="","",'Paste SD Data'!O1909)</f>
        <v/>
      </c>
    </row>
    <row r="1913" spans="1:11" ht="30" customHeight="1" x14ac:dyDescent="0.25">
      <c r="A1913" s="25" t="str">
        <f>IF(Table1[[#This Row],[Name of Student]]="","",ROWS($A$1:A1909))</f>
        <v/>
      </c>
      <c r="B1913" s="26" t="str">
        <f>IF('Paste SD Data'!A1910="","",'Paste SD Data'!A1910)</f>
        <v/>
      </c>
      <c r="C1913" s="26" t="str">
        <f>IF('Paste SD Data'!B1910="","",'Paste SD Data'!B1910)</f>
        <v/>
      </c>
      <c r="D1913" s="26" t="str">
        <f>IF('Paste SD Data'!C1910="","",'Paste SD Data'!C1910)</f>
        <v/>
      </c>
      <c r="E1913" s="27" t="str">
        <f>IF('Paste SD Data'!E1910="","",UPPER('Paste SD Data'!E1910))</f>
        <v/>
      </c>
      <c r="F1913" s="27" t="str">
        <f>IF('Paste SD Data'!G1910="","",UPPER('Paste SD Data'!G1910))</f>
        <v/>
      </c>
      <c r="G1913" s="27" t="str">
        <f>IF('Paste SD Data'!H1910="","",UPPER('Paste SD Data'!H1910))</f>
        <v/>
      </c>
      <c r="H1913" s="26" t="str">
        <f>IF('Paste SD Data'!I1910="","",IF('Paste SD Data'!I1910="M","BOY","GIRL"))</f>
        <v/>
      </c>
      <c r="I1913" s="28" t="str">
        <f>IF('Paste SD Data'!J1910="","",'Paste SD Data'!J1910)</f>
        <v/>
      </c>
      <c r="J1913" s="34">
        <f t="shared" si="29"/>
        <v>2339</v>
      </c>
      <c r="K1913" s="29" t="str">
        <f>IF('Paste SD Data'!O1910="","",'Paste SD Data'!O1910)</f>
        <v/>
      </c>
    </row>
    <row r="1914" spans="1:11" ht="30" customHeight="1" x14ac:dyDescent="0.25">
      <c r="A1914" s="25" t="str">
        <f>IF(Table1[[#This Row],[Name of Student]]="","",ROWS($A$1:A1910))</f>
        <v/>
      </c>
      <c r="B1914" s="26" t="str">
        <f>IF('Paste SD Data'!A1911="","",'Paste SD Data'!A1911)</f>
        <v/>
      </c>
      <c r="C1914" s="26" t="str">
        <f>IF('Paste SD Data'!B1911="","",'Paste SD Data'!B1911)</f>
        <v/>
      </c>
      <c r="D1914" s="26" t="str">
        <f>IF('Paste SD Data'!C1911="","",'Paste SD Data'!C1911)</f>
        <v/>
      </c>
      <c r="E1914" s="27" t="str">
        <f>IF('Paste SD Data'!E1911="","",UPPER('Paste SD Data'!E1911))</f>
        <v/>
      </c>
      <c r="F1914" s="27" t="str">
        <f>IF('Paste SD Data'!G1911="","",UPPER('Paste SD Data'!G1911))</f>
        <v/>
      </c>
      <c r="G1914" s="27" t="str">
        <f>IF('Paste SD Data'!H1911="","",UPPER('Paste SD Data'!H1911))</f>
        <v/>
      </c>
      <c r="H1914" s="26" t="str">
        <f>IF('Paste SD Data'!I1911="","",IF('Paste SD Data'!I1911="M","BOY","GIRL"))</f>
        <v/>
      </c>
      <c r="I1914" s="28" t="str">
        <f>IF('Paste SD Data'!J1911="","",'Paste SD Data'!J1911)</f>
        <v/>
      </c>
      <c r="J1914" s="34">
        <f t="shared" si="29"/>
        <v>2340</v>
      </c>
      <c r="K1914" s="29" t="str">
        <f>IF('Paste SD Data'!O1911="","",'Paste SD Data'!O1911)</f>
        <v/>
      </c>
    </row>
    <row r="1915" spans="1:11" ht="30" customHeight="1" x14ac:dyDescent="0.25">
      <c r="A1915" s="25" t="str">
        <f>IF(Table1[[#This Row],[Name of Student]]="","",ROWS($A$1:A1911))</f>
        <v/>
      </c>
      <c r="B1915" s="26" t="str">
        <f>IF('Paste SD Data'!A1912="","",'Paste SD Data'!A1912)</f>
        <v/>
      </c>
      <c r="C1915" s="26" t="str">
        <f>IF('Paste SD Data'!B1912="","",'Paste SD Data'!B1912)</f>
        <v/>
      </c>
      <c r="D1915" s="26" t="str">
        <f>IF('Paste SD Data'!C1912="","",'Paste SD Data'!C1912)</f>
        <v/>
      </c>
      <c r="E1915" s="27" t="str">
        <f>IF('Paste SD Data'!E1912="","",UPPER('Paste SD Data'!E1912))</f>
        <v/>
      </c>
      <c r="F1915" s="27" t="str">
        <f>IF('Paste SD Data'!G1912="","",UPPER('Paste SD Data'!G1912))</f>
        <v/>
      </c>
      <c r="G1915" s="27" t="str">
        <f>IF('Paste SD Data'!H1912="","",UPPER('Paste SD Data'!H1912))</f>
        <v/>
      </c>
      <c r="H1915" s="26" t="str">
        <f>IF('Paste SD Data'!I1912="","",IF('Paste SD Data'!I1912="M","BOY","GIRL"))</f>
        <v/>
      </c>
      <c r="I1915" s="28" t="str">
        <f>IF('Paste SD Data'!J1912="","",'Paste SD Data'!J1912)</f>
        <v/>
      </c>
      <c r="J1915" s="34">
        <f t="shared" si="29"/>
        <v>2341</v>
      </c>
      <c r="K1915" s="29" t="str">
        <f>IF('Paste SD Data'!O1912="","",'Paste SD Data'!O1912)</f>
        <v/>
      </c>
    </row>
    <row r="1916" spans="1:11" ht="30" customHeight="1" x14ac:dyDescent="0.25">
      <c r="A1916" s="25" t="str">
        <f>IF(Table1[[#This Row],[Name of Student]]="","",ROWS($A$1:A1912))</f>
        <v/>
      </c>
      <c r="B1916" s="26" t="str">
        <f>IF('Paste SD Data'!A1913="","",'Paste SD Data'!A1913)</f>
        <v/>
      </c>
      <c r="C1916" s="26" t="str">
        <f>IF('Paste SD Data'!B1913="","",'Paste SD Data'!B1913)</f>
        <v/>
      </c>
      <c r="D1916" s="26" t="str">
        <f>IF('Paste SD Data'!C1913="","",'Paste SD Data'!C1913)</f>
        <v/>
      </c>
      <c r="E1916" s="27" t="str">
        <f>IF('Paste SD Data'!E1913="","",UPPER('Paste SD Data'!E1913))</f>
        <v/>
      </c>
      <c r="F1916" s="27" t="str">
        <f>IF('Paste SD Data'!G1913="","",UPPER('Paste SD Data'!G1913))</f>
        <v/>
      </c>
      <c r="G1916" s="27" t="str">
        <f>IF('Paste SD Data'!H1913="","",UPPER('Paste SD Data'!H1913))</f>
        <v/>
      </c>
      <c r="H1916" s="26" t="str">
        <f>IF('Paste SD Data'!I1913="","",IF('Paste SD Data'!I1913="M","BOY","GIRL"))</f>
        <v/>
      </c>
      <c r="I1916" s="28" t="str">
        <f>IF('Paste SD Data'!J1913="","",'Paste SD Data'!J1913)</f>
        <v/>
      </c>
      <c r="J1916" s="34">
        <f t="shared" si="29"/>
        <v>2342</v>
      </c>
      <c r="K1916" s="29" t="str">
        <f>IF('Paste SD Data'!O1913="","",'Paste SD Data'!O1913)</f>
        <v/>
      </c>
    </row>
    <row r="1917" spans="1:11" ht="30" customHeight="1" x14ac:dyDescent="0.25">
      <c r="A1917" s="25" t="str">
        <f>IF(Table1[[#This Row],[Name of Student]]="","",ROWS($A$1:A1913))</f>
        <v/>
      </c>
      <c r="B1917" s="26" t="str">
        <f>IF('Paste SD Data'!A1914="","",'Paste SD Data'!A1914)</f>
        <v/>
      </c>
      <c r="C1917" s="26" t="str">
        <f>IF('Paste SD Data'!B1914="","",'Paste SD Data'!B1914)</f>
        <v/>
      </c>
      <c r="D1917" s="26" t="str">
        <f>IF('Paste SD Data'!C1914="","",'Paste SD Data'!C1914)</f>
        <v/>
      </c>
      <c r="E1917" s="27" t="str">
        <f>IF('Paste SD Data'!E1914="","",UPPER('Paste SD Data'!E1914))</f>
        <v/>
      </c>
      <c r="F1917" s="27" t="str">
        <f>IF('Paste SD Data'!G1914="","",UPPER('Paste SD Data'!G1914))</f>
        <v/>
      </c>
      <c r="G1917" s="27" t="str">
        <f>IF('Paste SD Data'!H1914="","",UPPER('Paste SD Data'!H1914))</f>
        <v/>
      </c>
      <c r="H1917" s="26" t="str">
        <f>IF('Paste SD Data'!I1914="","",IF('Paste SD Data'!I1914="M","BOY","GIRL"))</f>
        <v/>
      </c>
      <c r="I1917" s="28" t="str">
        <f>IF('Paste SD Data'!J1914="","",'Paste SD Data'!J1914)</f>
        <v/>
      </c>
      <c r="J1917" s="34">
        <f t="shared" si="29"/>
        <v>2343</v>
      </c>
      <c r="K1917" s="29" t="str">
        <f>IF('Paste SD Data'!O1914="","",'Paste SD Data'!O1914)</f>
        <v/>
      </c>
    </row>
    <row r="1918" spans="1:11" ht="30" customHeight="1" x14ac:dyDescent="0.25">
      <c r="A1918" s="25" t="str">
        <f>IF(Table1[[#This Row],[Name of Student]]="","",ROWS($A$1:A1914))</f>
        <v/>
      </c>
      <c r="B1918" s="26" t="str">
        <f>IF('Paste SD Data'!A1915="","",'Paste SD Data'!A1915)</f>
        <v/>
      </c>
      <c r="C1918" s="26" t="str">
        <f>IF('Paste SD Data'!B1915="","",'Paste SD Data'!B1915)</f>
        <v/>
      </c>
      <c r="D1918" s="26" t="str">
        <f>IF('Paste SD Data'!C1915="","",'Paste SD Data'!C1915)</f>
        <v/>
      </c>
      <c r="E1918" s="27" t="str">
        <f>IF('Paste SD Data'!E1915="","",UPPER('Paste SD Data'!E1915))</f>
        <v/>
      </c>
      <c r="F1918" s="27" t="str">
        <f>IF('Paste SD Data'!G1915="","",UPPER('Paste SD Data'!G1915))</f>
        <v/>
      </c>
      <c r="G1918" s="27" t="str">
        <f>IF('Paste SD Data'!H1915="","",UPPER('Paste SD Data'!H1915))</f>
        <v/>
      </c>
      <c r="H1918" s="26" t="str">
        <f>IF('Paste SD Data'!I1915="","",IF('Paste SD Data'!I1915="M","BOY","GIRL"))</f>
        <v/>
      </c>
      <c r="I1918" s="28" t="str">
        <f>IF('Paste SD Data'!J1915="","",'Paste SD Data'!J1915)</f>
        <v/>
      </c>
      <c r="J1918" s="34">
        <f t="shared" si="29"/>
        <v>2344</v>
      </c>
      <c r="K1918" s="29" t="str">
        <f>IF('Paste SD Data'!O1915="","",'Paste SD Data'!O1915)</f>
        <v/>
      </c>
    </row>
    <row r="1919" spans="1:11" ht="30" customHeight="1" x14ac:dyDescent="0.25">
      <c r="A1919" s="25" t="str">
        <f>IF(Table1[[#This Row],[Name of Student]]="","",ROWS($A$1:A1915))</f>
        <v/>
      </c>
      <c r="B1919" s="26" t="str">
        <f>IF('Paste SD Data'!A1916="","",'Paste SD Data'!A1916)</f>
        <v/>
      </c>
      <c r="C1919" s="26" t="str">
        <f>IF('Paste SD Data'!B1916="","",'Paste SD Data'!B1916)</f>
        <v/>
      </c>
      <c r="D1919" s="26" t="str">
        <f>IF('Paste SD Data'!C1916="","",'Paste SD Data'!C1916)</f>
        <v/>
      </c>
      <c r="E1919" s="27" t="str">
        <f>IF('Paste SD Data'!E1916="","",UPPER('Paste SD Data'!E1916))</f>
        <v/>
      </c>
      <c r="F1919" s="27" t="str">
        <f>IF('Paste SD Data'!G1916="","",UPPER('Paste SD Data'!G1916))</f>
        <v/>
      </c>
      <c r="G1919" s="27" t="str">
        <f>IF('Paste SD Data'!H1916="","",UPPER('Paste SD Data'!H1916))</f>
        <v/>
      </c>
      <c r="H1919" s="26" t="str">
        <f>IF('Paste SD Data'!I1916="","",IF('Paste SD Data'!I1916="M","BOY","GIRL"))</f>
        <v/>
      </c>
      <c r="I1919" s="28" t="str">
        <f>IF('Paste SD Data'!J1916="","",'Paste SD Data'!J1916)</f>
        <v/>
      </c>
      <c r="J1919" s="34">
        <f t="shared" si="29"/>
        <v>2345</v>
      </c>
      <c r="K1919" s="29" t="str">
        <f>IF('Paste SD Data'!O1916="","",'Paste SD Data'!O1916)</f>
        <v/>
      </c>
    </row>
    <row r="1920" spans="1:11" ht="30" customHeight="1" x14ac:dyDescent="0.25">
      <c r="A1920" s="25" t="str">
        <f>IF(Table1[[#This Row],[Name of Student]]="","",ROWS($A$1:A1916))</f>
        <v/>
      </c>
      <c r="B1920" s="26" t="str">
        <f>IF('Paste SD Data'!A1917="","",'Paste SD Data'!A1917)</f>
        <v/>
      </c>
      <c r="C1920" s="26" t="str">
        <f>IF('Paste SD Data'!B1917="","",'Paste SD Data'!B1917)</f>
        <v/>
      </c>
      <c r="D1920" s="26" t="str">
        <f>IF('Paste SD Data'!C1917="","",'Paste SD Data'!C1917)</f>
        <v/>
      </c>
      <c r="E1920" s="27" t="str">
        <f>IF('Paste SD Data'!E1917="","",UPPER('Paste SD Data'!E1917))</f>
        <v/>
      </c>
      <c r="F1920" s="27" t="str">
        <f>IF('Paste SD Data'!G1917="","",UPPER('Paste SD Data'!G1917))</f>
        <v/>
      </c>
      <c r="G1920" s="27" t="str">
        <f>IF('Paste SD Data'!H1917="","",UPPER('Paste SD Data'!H1917))</f>
        <v/>
      </c>
      <c r="H1920" s="26" t="str">
        <f>IF('Paste SD Data'!I1917="","",IF('Paste SD Data'!I1917="M","BOY","GIRL"))</f>
        <v/>
      </c>
      <c r="I1920" s="28" t="str">
        <f>IF('Paste SD Data'!J1917="","",'Paste SD Data'!J1917)</f>
        <v/>
      </c>
      <c r="J1920" s="34">
        <f t="shared" si="29"/>
        <v>2346</v>
      </c>
      <c r="K1920" s="29" t="str">
        <f>IF('Paste SD Data'!O1917="","",'Paste SD Data'!O1917)</f>
        <v/>
      </c>
    </row>
    <row r="1921" spans="1:11" ht="30" customHeight="1" x14ac:dyDescent="0.25">
      <c r="A1921" s="25" t="str">
        <f>IF(Table1[[#This Row],[Name of Student]]="","",ROWS($A$1:A1917))</f>
        <v/>
      </c>
      <c r="B1921" s="26" t="str">
        <f>IF('Paste SD Data'!A1918="","",'Paste SD Data'!A1918)</f>
        <v/>
      </c>
      <c r="C1921" s="26" t="str">
        <f>IF('Paste SD Data'!B1918="","",'Paste SD Data'!B1918)</f>
        <v/>
      </c>
      <c r="D1921" s="26" t="str">
        <f>IF('Paste SD Data'!C1918="","",'Paste SD Data'!C1918)</f>
        <v/>
      </c>
      <c r="E1921" s="27" t="str">
        <f>IF('Paste SD Data'!E1918="","",UPPER('Paste SD Data'!E1918))</f>
        <v/>
      </c>
      <c r="F1921" s="27" t="str">
        <f>IF('Paste SD Data'!G1918="","",UPPER('Paste SD Data'!G1918))</f>
        <v/>
      </c>
      <c r="G1921" s="27" t="str">
        <f>IF('Paste SD Data'!H1918="","",UPPER('Paste SD Data'!H1918))</f>
        <v/>
      </c>
      <c r="H1921" s="26" t="str">
        <f>IF('Paste SD Data'!I1918="","",IF('Paste SD Data'!I1918="M","BOY","GIRL"))</f>
        <v/>
      </c>
      <c r="I1921" s="28" t="str">
        <f>IF('Paste SD Data'!J1918="","",'Paste SD Data'!J1918)</f>
        <v/>
      </c>
      <c r="J1921" s="34">
        <f t="shared" si="29"/>
        <v>2347</v>
      </c>
      <c r="K1921" s="29" t="str">
        <f>IF('Paste SD Data'!O1918="","",'Paste SD Data'!O1918)</f>
        <v/>
      </c>
    </row>
    <row r="1922" spans="1:11" ht="30" customHeight="1" x14ac:dyDescent="0.25">
      <c r="A1922" s="25" t="str">
        <f>IF(Table1[[#This Row],[Name of Student]]="","",ROWS($A$1:A1918))</f>
        <v/>
      </c>
      <c r="B1922" s="26" t="str">
        <f>IF('Paste SD Data'!A1919="","",'Paste SD Data'!A1919)</f>
        <v/>
      </c>
      <c r="C1922" s="26" t="str">
        <f>IF('Paste SD Data'!B1919="","",'Paste SD Data'!B1919)</f>
        <v/>
      </c>
      <c r="D1922" s="26" t="str">
        <f>IF('Paste SD Data'!C1919="","",'Paste SD Data'!C1919)</f>
        <v/>
      </c>
      <c r="E1922" s="27" t="str">
        <f>IF('Paste SD Data'!E1919="","",UPPER('Paste SD Data'!E1919))</f>
        <v/>
      </c>
      <c r="F1922" s="27" t="str">
        <f>IF('Paste SD Data'!G1919="","",UPPER('Paste SD Data'!G1919))</f>
        <v/>
      </c>
      <c r="G1922" s="27" t="str">
        <f>IF('Paste SD Data'!H1919="","",UPPER('Paste SD Data'!H1919))</f>
        <v/>
      </c>
      <c r="H1922" s="26" t="str">
        <f>IF('Paste SD Data'!I1919="","",IF('Paste SD Data'!I1919="M","BOY","GIRL"))</f>
        <v/>
      </c>
      <c r="I1922" s="28" t="str">
        <f>IF('Paste SD Data'!J1919="","",'Paste SD Data'!J1919)</f>
        <v/>
      </c>
      <c r="J1922" s="34">
        <f t="shared" si="29"/>
        <v>2348</v>
      </c>
      <c r="K1922" s="29" t="str">
        <f>IF('Paste SD Data'!O1919="","",'Paste SD Data'!O1919)</f>
        <v/>
      </c>
    </row>
    <row r="1923" spans="1:11" ht="30" customHeight="1" x14ac:dyDescent="0.25">
      <c r="A1923" s="25" t="str">
        <f>IF(Table1[[#This Row],[Name of Student]]="","",ROWS($A$1:A1919))</f>
        <v/>
      </c>
      <c r="B1923" s="26" t="str">
        <f>IF('Paste SD Data'!A1920="","",'Paste SD Data'!A1920)</f>
        <v/>
      </c>
      <c r="C1923" s="26" t="str">
        <f>IF('Paste SD Data'!B1920="","",'Paste SD Data'!B1920)</f>
        <v/>
      </c>
      <c r="D1923" s="26" t="str">
        <f>IF('Paste SD Data'!C1920="","",'Paste SD Data'!C1920)</f>
        <v/>
      </c>
      <c r="E1923" s="27" t="str">
        <f>IF('Paste SD Data'!E1920="","",UPPER('Paste SD Data'!E1920))</f>
        <v/>
      </c>
      <c r="F1923" s="27" t="str">
        <f>IF('Paste SD Data'!G1920="","",UPPER('Paste SD Data'!G1920))</f>
        <v/>
      </c>
      <c r="G1923" s="27" t="str">
        <f>IF('Paste SD Data'!H1920="","",UPPER('Paste SD Data'!H1920))</f>
        <v/>
      </c>
      <c r="H1923" s="26" t="str">
        <f>IF('Paste SD Data'!I1920="","",IF('Paste SD Data'!I1920="M","BOY","GIRL"))</f>
        <v/>
      </c>
      <c r="I1923" s="28" t="str">
        <f>IF('Paste SD Data'!J1920="","",'Paste SD Data'!J1920)</f>
        <v/>
      </c>
      <c r="J1923" s="34">
        <f t="shared" si="29"/>
        <v>2349</v>
      </c>
      <c r="K1923" s="29" t="str">
        <f>IF('Paste SD Data'!O1920="","",'Paste SD Data'!O1920)</f>
        <v/>
      </c>
    </row>
    <row r="1924" spans="1:11" ht="30" customHeight="1" x14ac:dyDescent="0.25">
      <c r="A1924" s="25" t="str">
        <f>IF(Table1[[#This Row],[Name of Student]]="","",ROWS($A$1:A1920))</f>
        <v/>
      </c>
      <c r="B1924" s="26" t="str">
        <f>IF('Paste SD Data'!A1921="","",'Paste SD Data'!A1921)</f>
        <v/>
      </c>
      <c r="C1924" s="26" t="str">
        <f>IF('Paste SD Data'!B1921="","",'Paste SD Data'!B1921)</f>
        <v/>
      </c>
      <c r="D1924" s="26" t="str">
        <f>IF('Paste SD Data'!C1921="","",'Paste SD Data'!C1921)</f>
        <v/>
      </c>
      <c r="E1924" s="27" t="str">
        <f>IF('Paste SD Data'!E1921="","",UPPER('Paste SD Data'!E1921))</f>
        <v/>
      </c>
      <c r="F1924" s="27" t="str">
        <f>IF('Paste SD Data'!G1921="","",UPPER('Paste SD Data'!G1921))</f>
        <v/>
      </c>
      <c r="G1924" s="27" t="str">
        <f>IF('Paste SD Data'!H1921="","",UPPER('Paste SD Data'!H1921))</f>
        <v/>
      </c>
      <c r="H1924" s="26" t="str">
        <f>IF('Paste SD Data'!I1921="","",IF('Paste SD Data'!I1921="M","BOY","GIRL"))</f>
        <v/>
      </c>
      <c r="I1924" s="28" t="str">
        <f>IF('Paste SD Data'!J1921="","",'Paste SD Data'!J1921)</f>
        <v/>
      </c>
      <c r="J1924" s="34">
        <f t="shared" si="29"/>
        <v>2350</v>
      </c>
      <c r="K1924" s="29" t="str">
        <f>IF('Paste SD Data'!O1921="","",'Paste SD Data'!O1921)</f>
        <v/>
      </c>
    </row>
    <row r="1925" spans="1:11" ht="30" customHeight="1" x14ac:dyDescent="0.25">
      <c r="A1925" s="25" t="str">
        <f>IF(Table1[[#This Row],[Name of Student]]="","",ROWS($A$1:A1921))</f>
        <v/>
      </c>
      <c r="B1925" s="26" t="str">
        <f>IF('Paste SD Data'!A1922="","",'Paste SD Data'!A1922)</f>
        <v/>
      </c>
      <c r="C1925" s="26" t="str">
        <f>IF('Paste SD Data'!B1922="","",'Paste SD Data'!B1922)</f>
        <v/>
      </c>
      <c r="D1925" s="26" t="str">
        <f>IF('Paste SD Data'!C1922="","",'Paste SD Data'!C1922)</f>
        <v/>
      </c>
      <c r="E1925" s="27" t="str">
        <f>IF('Paste SD Data'!E1922="","",UPPER('Paste SD Data'!E1922))</f>
        <v/>
      </c>
      <c r="F1925" s="27" t="str">
        <f>IF('Paste SD Data'!G1922="","",UPPER('Paste SD Data'!G1922))</f>
        <v/>
      </c>
      <c r="G1925" s="27" t="str">
        <f>IF('Paste SD Data'!H1922="","",UPPER('Paste SD Data'!H1922))</f>
        <v/>
      </c>
      <c r="H1925" s="26" t="str">
        <f>IF('Paste SD Data'!I1922="","",IF('Paste SD Data'!I1922="M","BOY","GIRL"))</f>
        <v/>
      </c>
      <c r="I1925" s="28" t="str">
        <f>IF('Paste SD Data'!J1922="","",'Paste SD Data'!J1922)</f>
        <v/>
      </c>
      <c r="J1925" s="34">
        <f t="shared" si="29"/>
        <v>2351</v>
      </c>
      <c r="K1925" s="29" t="str">
        <f>IF('Paste SD Data'!O1922="","",'Paste SD Data'!O1922)</f>
        <v/>
      </c>
    </row>
    <row r="1926" spans="1:11" ht="30" customHeight="1" x14ac:dyDescent="0.25">
      <c r="A1926" s="25" t="str">
        <f>IF(Table1[[#This Row],[Name of Student]]="","",ROWS($A$1:A1922))</f>
        <v/>
      </c>
      <c r="B1926" s="26" t="str">
        <f>IF('Paste SD Data'!A1923="","",'Paste SD Data'!A1923)</f>
        <v/>
      </c>
      <c r="C1926" s="26" t="str">
        <f>IF('Paste SD Data'!B1923="","",'Paste SD Data'!B1923)</f>
        <v/>
      </c>
      <c r="D1926" s="26" t="str">
        <f>IF('Paste SD Data'!C1923="","",'Paste SD Data'!C1923)</f>
        <v/>
      </c>
      <c r="E1926" s="27" t="str">
        <f>IF('Paste SD Data'!E1923="","",UPPER('Paste SD Data'!E1923))</f>
        <v/>
      </c>
      <c r="F1926" s="27" t="str">
        <f>IF('Paste SD Data'!G1923="","",UPPER('Paste SD Data'!G1923))</f>
        <v/>
      </c>
      <c r="G1926" s="27" t="str">
        <f>IF('Paste SD Data'!H1923="","",UPPER('Paste SD Data'!H1923))</f>
        <v/>
      </c>
      <c r="H1926" s="26" t="str">
        <f>IF('Paste SD Data'!I1923="","",IF('Paste SD Data'!I1923="M","BOY","GIRL"))</f>
        <v/>
      </c>
      <c r="I1926" s="28" t="str">
        <f>IF('Paste SD Data'!J1923="","",'Paste SD Data'!J1923)</f>
        <v/>
      </c>
      <c r="J1926" s="34">
        <f t="shared" si="29"/>
        <v>2352</v>
      </c>
      <c r="K1926" s="29" t="str">
        <f>IF('Paste SD Data'!O1923="","",'Paste SD Data'!O1923)</f>
        <v/>
      </c>
    </row>
    <row r="1927" spans="1:11" ht="30" customHeight="1" x14ac:dyDescent="0.25">
      <c r="A1927" s="25" t="str">
        <f>IF(Table1[[#This Row],[Name of Student]]="","",ROWS($A$1:A1923))</f>
        <v/>
      </c>
      <c r="B1927" s="26" t="str">
        <f>IF('Paste SD Data'!A1924="","",'Paste SD Data'!A1924)</f>
        <v/>
      </c>
      <c r="C1927" s="26" t="str">
        <f>IF('Paste SD Data'!B1924="","",'Paste SD Data'!B1924)</f>
        <v/>
      </c>
      <c r="D1927" s="26" t="str">
        <f>IF('Paste SD Data'!C1924="","",'Paste SD Data'!C1924)</f>
        <v/>
      </c>
      <c r="E1927" s="27" t="str">
        <f>IF('Paste SD Data'!E1924="","",UPPER('Paste SD Data'!E1924))</f>
        <v/>
      </c>
      <c r="F1927" s="27" t="str">
        <f>IF('Paste SD Data'!G1924="","",UPPER('Paste SD Data'!G1924))</f>
        <v/>
      </c>
      <c r="G1927" s="27" t="str">
        <f>IF('Paste SD Data'!H1924="","",UPPER('Paste SD Data'!H1924))</f>
        <v/>
      </c>
      <c r="H1927" s="26" t="str">
        <f>IF('Paste SD Data'!I1924="","",IF('Paste SD Data'!I1924="M","BOY","GIRL"))</f>
        <v/>
      </c>
      <c r="I1927" s="28" t="str">
        <f>IF('Paste SD Data'!J1924="","",'Paste SD Data'!J1924)</f>
        <v/>
      </c>
      <c r="J1927" s="34">
        <f t="shared" ref="J1927:J1990" si="30">J1926+1</f>
        <v>2353</v>
      </c>
      <c r="K1927" s="29" t="str">
        <f>IF('Paste SD Data'!O1924="","",'Paste SD Data'!O1924)</f>
        <v/>
      </c>
    </row>
    <row r="1928" spans="1:11" ht="30" customHeight="1" x14ac:dyDescent="0.25">
      <c r="A1928" s="25" t="str">
        <f>IF(Table1[[#This Row],[Name of Student]]="","",ROWS($A$1:A1924))</f>
        <v/>
      </c>
      <c r="B1928" s="26" t="str">
        <f>IF('Paste SD Data'!A1925="","",'Paste SD Data'!A1925)</f>
        <v/>
      </c>
      <c r="C1928" s="26" t="str">
        <f>IF('Paste SD Data'!B1925="","",'Paste SD Data'!B1925)</f>
        <v/>
      </c>
      <c r="D1928" s="26" t="str">
        <f>IF('Paste SD Data'!C1925="","",'Paste SD Data'!C1925)</f>
        <v/>
      </c>
      <c r="E1928" s="27" t="str">
        <f>IF('Paste SD Data'!E1925="","",UPPER('Paste SD Data'!E1925))</f>
        <v/>
      </c>
      <c r="F1928" s="27" t="str">
        <f>IF('Paste SD Data'!G1925="","",UPPER('Paste SD Data'!G1925))</f>
        <v/>
      </c>
      <c r="G1928" s="27" t="str">
        <f>IF('Paste SD Data'!H1925="","",UPPER('Paste SD Data'!H1925))</f>
        <v/>
      </c>
      <c r="H1928" s="26" t="str">
        <f>IF('Paste SD Data'!I1925="","",IF('Paste SD Data'!I1925="M","BOY","GIRL"))</f>
        <v/>
      </c>
      <c r="I1928" s="28" t="str">
        <f>IF('Paste SD Data'!J1925="","",'Paste SD Data'!J1925)</f>
        <v/>
      </c>
      <c r="J1928" s="34">
        <f t="shared" si="30"/>
        <v>2354</v>
      </c>
      <c r="K1928" s="29" t="str">
        <f>IF('Paste SD Data'!O1925="","",'Paste SD Data'!O1925)</f>
        <v/>
      </c>
    </row>
    <row r="1929" spans="1:11" ht="30" customHeight="1" x14ac:dyDescent="0.25">
      <c r="A1929" s="25" t="str">
        <f>IF(Table1[[#This Row],[Name of Student]]="","",ROWS($A$1:A1925))</f>
        <v/>
      </c>
      <c r="B1929" s="26" t="str">
        <f>IF('Paste SD Data'!A1926="","",'Paste SD Data'!A1926)</f>
        <v/>
      </c>
      <c r="C1929" s="26" t="str">
        <f>IF('Paste SD Data'!B1926="","",'Paste SD Data'!B1926)</f>
        <v/>
      </c>
      <c r="D1929" s="26" t="str">
        <f>IF('Paste SD Data'!C1926="","",'Paste SD Data'!C1926)</f>
        <v/>
      </c>
      <c r="E1929" s="27" t="str">
        <f>IF('Paste SD Data'!E1926="","",UPPER('Paste SD Data'!E1926))</f>
        <v/>
      </c>
      <c r="F1929" s="27" t="str">
        <f>IF('Paste SD Data'!G1926="","",UPPER('Paste SD Data'!G1926))</f>
        <v/>
      </c>
      <c r="G1929" s="27" t="str">
        <f>IF('Paste SD Data'!H1926="","",UPPER('Paste SD Data'!H1926))</f>
        <v/>
      </c>
      <c r="H1929" s="26" t="str">
        <f>IF('Paste SD Data'!I1926="","",IF('Paste SD Data'!I1926="M","BOY","GIRL"))</f>
        <v/>
      </c>
      <c r="I1929" s="28" t="str">
        <f>IF('Paste SD Data'!J1926="","",'Paste SD Data'!J1926)</f>
        <v/>
      </c>
      <c r="J1929" s="34">
        <f t="shared" si="30"/>
        <v>2355</v>
      </c>
      <c r="K1929" s="29" t="str">
        <f>IF('Paste SD Data'!O1926="","",'Paste SD Data'!O1926)</f>
        <v/>
      </c>
    </row>
    <row r="1930" spans="1:11" ht="30" customHeight="1" x14ac:dyDescent="0.25">
      <c r="A1930" s="25" t="str">
        <f>IF(Table1[[#This Row],[Name of Student]]="","",ROWS($A$1:A1926))</f>
        <v/>
      </c>
      <c r="B1930" s="26" t="str">
        <f>IF('Paste SD Data'!A1927="","",'Paste SD Data'!A1927)</f>
        <v/>
      </c>
      <c r="C1930" s="26" t="str">
        <f>IF('Paste SD Data'!B1927="","",'Paste SD Data'!B1927)</f>
        <v/>
      </c>
      <c r="D1930" s="26" t="str">
        <f>IF('Paste SD Data'!C1927="","",'Paste SD Data'!C1927)</f>
        <v/>
      </c>
      <c r="E1930" s="27" t="str">
        <f>IF('Paste SD Data'!E1927="","",UPPER('Paste SD Data'!E1927))</f>
        <v/>
      </c>
      <c r="F1930" s="27" t="str">
        <f>IF('Paste SD Data'!G1927="","",UPPER('Paste SD Data'!G1927))</f>
        <v/>
      </c>
      <c r="G1930" s="27" t="str">
        <f>IF('Paste SD Data'!H1927="","",UPPER('Paste SD Data'!H1927))</f>
        <v/>
      </c>
      <c r="H1930" s="26" t="str">
        <f>IF('Paste SD Data'!I1927="","",IF('Paste SD Data'!I1927="M","BOY","GIRL"))</f>
        <v/>
      </c>
      <c r="I1930" s="28" t="str">
        <f>IF('Paste SD Data'!J1927="","",'Paste SD Data'!J1927)</f>
        <v/>
      </c>
      <c r="J1930" s="34">
        <f t="shared" si="30"/>
        <v>2356</v>
      </c>
      <c r="K1930" s="29" t="str">
        <f>IF('Paste SD Data'!O1927="","",'Paste SD Data'!O1927)</f>
        <v/>
      </c>
    </row>
    <row r="1931" spans="1:11" ht="30" customHeight="1" x14ac:dyDescent="0.25">
      <c r="A1931" s="25" t="str">
        <f>IF(Table1[[#This Row],[Name of Student]]="","",ROWS($A$1:A1927))</f>
        <v/>
      </c>
      <c r="B1931" s="26" t="str">
        <f>IF('Paste SD Data'!A1928="","",'Paste SD Data'!A1928)</f>
        <v/>
      </c>
      <c r="C1931" s="26" t="str">
        <f>IF('Paste SD Data'!B1928="","",'Paste SD Data'!B1928)</f>
        <v/>
      </c>
      <c r="D1931" s="26" t="str">
        <f>IF('Paste SD Data'!C1928="","",'Paste SD Data'!C1928)</f>
        <v/>
      </c>
      <c r="E1931" s="27" t="str">
        <f>IF('Paste SD Data'!E1928="","",UPPER('Paste SD Data'!E1928))</f>
        <v/>
      </c>
      <c r="F1931" s="27" t="str">
        <f>IF('Paste SD Data'!G1928="","",UPPER('Paste SD Data'!G1928))</f>
        <v/>
      </c>
      <c r="G1931" s="27" t="str">
        <f>IF('Paste SD Data'!H1928="","",UPPER('Paste SD Data'!H1928))</f>
        <v/>
      </c>
      <c r="H1931" s="26" t="str">
        <f>IF('Paste SD Data'!I1928="","",IF('Paste SD Data'!I1928="M","BOY","GIRL"))</f>
        <v/>
      </c>
      <c r="I1931" s="28" t="str">
        <f>IF('Paste SD Data'!J1928="","",'Paste SD Data'!J1928)</f>
        <v/>
      </c>
      <c r="J1931" s="34">
        <f t="shared" si="30"/>
        <v>2357</v>
      </c>
      <c r="K1931" s="29" t="str">
        <f>IF('Paste SD Data'!O1928="","",'Paste SD Data'!O1928)</f>
        <v/>
      </c>
    </row>
    <row r="1932" spans="1:11" ht="30" customHeight="1" x14ac:dyDescent="0.25">
      <c r="A1932" s="25" t="str">
        <f>IF(Table1[[#This Row],[Name of Student]]="","",ROWS($A$1:A1928))</f>
        <v/>
      </c>
      <c r="B1932" s="26" t="str">
        <f>IF('Paste SD Data'!A1929="","",'Paste SD Data'!A1929)</f>
        <v/>
      </c>
      <c r="C1932" s="26" t="str">
        <f>IF('Paste SD Data'!B1929="","",'Paste SD Data'!B1929)</f>
        <v/>
      </c>
      <c r="D1932" s="26" t="str">
        <f>IF('Paste SD Data'!C1929="","",'Paste SD Data'!C1929)</f>
        <v/>
      </c>
      <c r="E1932" s="27" t="str">
        <f>IF('Paste SD Data'!E1929="","",UPPER('Paste SD Data'!E1929))</f>
        <v/>
      </c>
      <c r="F1932" s="27" t="str">
        <f>IF('Paste SD Data'!G1929="","",UPPER('Paste SD Data'!G1929))</f>
        <v/>
      </c>
      <c r="G1932" s="27" t="str">
        <f>IF('Paste SD Data'!H1929="","",UPPER('Paste SD Data'!H1929))</f>
        <v/>
      </c>
      <c r="H1932" s="26" t="str">
        <f>IF('Paste SD Data'!I1929="","",IF('Paste SD Data'!I1929="M","BOY","GIRL"))</f>
        <v/>
      </c>
      <c r="I1932" s="28" t="str">
        <f>IF('Paste SD Data'!J1929="","",'Paste SD Data'!J1929)</f>
        <v/>
      </c>
      <c r="J1932" s="34">
        <f t="shared" si="30"/>
        <v>2358</v>
      </c>
      <c r="K1932" s="29" t="str">
        <f>IF('Paste SD Data'!O1929="","",'Paste SD Data'!O1929)</f>
        <v/>
      </c>
    </row>
    <row r="1933" spans="1:11" ht="30" customHeight="1" x14ac:dyDescent="0.25">
      <c r="A1933" s="25" t="str">
        <f>IF(Table1[[#This Row],[Name of Student]]="","",ROWS($A$1:A1929))</f>
        <v/>
      </c>
      <c r="B1933" s="26" t="str">
        <f>IF('Paste SD Data'!A1930="","",'Paste SD Data'!A1930)</f>
        <v/>
      </c>
      <c r="C1933" s="26" t="str">
        <f>IF('Paste SD Data'!B1930="","",'Paste SD Data'!B1930)</f>
        <v/>
      </c>
      <c r="D1933" s="26" t="str">
        <f>IF('Paste SD Data'!C1930="","",'Paste SD Data'!C1930)</f>
        <v/>
      </c>
      <c r="E1933" s="27" t="str">
        <f>IF('Paste SD Data'!E1930="","",UPPER('Paste SD Data'!E1930))</f>
        <v/>
      </c>
      <c r="F1933" s="27" t="str">
        <f>IF('Paste SD Data'!G1930="","",UPPER('Paste SD Data'!G1930))</f>
        <v/>
      </c>
      <c r="G1933" s="27" t="str">
        <f>IF('Paste SD Data'!H1930="","",UPPER('Paste SD Data'!H1930))</f>
        <v/>
      </c>
      <c r="H1933" s="26" t="str">
        <f>IF('Paste SD Data'!I1930="","",IF('Paste SD Data'!I1930="M","BOY","GIRL"))</f>
        <v/>
      </c>
      <c r="I1933" s="28" t="str">
        <f>IF('Paste SD Data'!J1930="","",'Paste SD Data'!J1930)</f>
        <v/>
      </c>
      <c r="J1933" s="34">
        <f t="shared" si="30"/>
        <v>2359</v>
      </c>
      <c r="K1933" s="29" t="str">
        <f>IF('Paste SD Data'!O1930="","",'Paste SD Data'!O1930)</f>
        <v/>
      </c>
    </row>
    <row r="1934" spans="1:11" ht="30" customHeight="1" x14ac:dyDescent="0.25">
      <c r="A1934" s="25" t="str">
        <f>IF(Table1[[#This Row],[Name of Student]]="","",ROWS($A$1:A1930))</f>
        <v/>
      </c>
      <c r="B1934" s="26" t="str">
        <f>IF('Paste SD Data'!A1931="","",'Paste SD Data'!A1931)</f>
        <v/>
      </c>
      <c r="C1934" s="26" t="str">
        <f>IF('Paste SD Data'!B1931="","",'Paste SD Data'!B1931)</f>
        <v/>
      </c>
      <c r="D1934" s="26" t="str">
        <f>IF('Paste SD Data'!C1931="","",'Paste SD Data'!C1931)</f>
        <v/>
      </c>
      <c r="E1934" s="27" t="str">
        <f>IF('Paste SD Data'!E1931="","",UPPER('Paste SD Data'!E1931))</f>
        <v/>
      </c>
      <c r="F1934" s="27" t="str">
        <f>IF('Paste SD Data'!G1931="","",UPPER('Paste SD Data'!G1931))</f>
        <v/>
      </c>
      <c r="G1934" s="27" t="str">
        <f>IF('Paste SD Data'!H1931="","",UPPER('Paste SD Data'!H1931))</f>
        <v/>
      </c>
      <c r="H1934" s="26" t="str">
        <f>IF('Paste SD Data'!I1931="","",IF('Paste SD Data'!I1931="M","BOY","GIRL"))</f>
        <v/>
      </c>
      <c r="I1934" s="28" t="str">
        <f>IF('Paste SD Data'!J1931="","",'Paste SD Data'!J1931)</f>
        <v/>
      </c>
      <c r="J1934" s="34">
        <f t="shared" si="30"/>
        <v>2360</v>
      </c>
      <c r="K1934" s="29" t="str">
        <f>IF('Paste SD Data'!O1931="","",'Paste SD Data'!O1931)</f>
        <v/>
      </c>
    </row>
    <row r="1935" spans="1:11" ht="30" customHeight="1" x14ac:dyDescent="0.25">
      <c r="A1935" s="25" t="str">
        <f>IF(Table1[[#This Row],[Name of Student]]="","",ROWS($A$1:A1931))</f>
        <v/>
      </c>
      <c r="B1935" s="26" t="str">
        <f>IF('Paste SD Data'!A1932="","",'Paste SD Data'!A1932)</f>
        <v/>
      </c>
      <c r="C1935" s="26" t="str">
        <f>IF('Paste SD Data'!B1932="","",'Paste SD Data'!B1932)</f>
        <v/>
      </c>
      <c r="D1935" s="26" t="str">
        <f>IF('Paste SD Data'!C1932="","",'Paste SD Data'!C1932)</f>
        <v/>
      </c>
      <c r="E1935" s="27" t="str">
        <f>IF('Paste SD Data'!E1932="","",UPPER('Paste SD Data'!E1932))</f>
        <v/>
      </c>
      <c r="F1935" s="27" t="str">
        <f>IF('Paste SD Data'!G1932="","",UPPER('Paste SD Data'!G1932))</f>
        <v/>
      </c>
      <c r="G1935" s="27" t="str">
        <f>IF('Paste SD Data'!H1932="","",UPPER('Paste SD Data'!H1932))</f>
        <v/>
      </c>
      <c r="H1935" s="26" t="str">
        <f>IF('Paste SD Data'!I1932="","",IF('Paste SD Data'!I1932="M","BOY","GIRL"))</f>
        <v/>
      </c>
      <c r="I1935" s="28" t="str">
        <f>IF('Paste SD Data'!J1932="","",'Paste SD Data'!J1932)</f>
        <v/>
      </c>
      <c r="J1935" s="34">
        <f t="shared" si="30"/>
        <v>2361</v>
      </c>
      <c r="K1935" s="29" t="str">
        <f>IF('Paste SD Data'!O1932="","",'Paste SD Data'!O1932)</f>
        <v/>
      </c>
    </row>
    <row r="1936" spans="1:11" ht="30" customHeight="1" x14ac:dyDescent="0.25">
      <c r="A1936" s="25" t="str">
        <f>IF(Table1[[#This Row],[Name of Student]]="","",ROWS($A$1:A1932))</f>
        <v/>
      </c>
      <c r="B1936" s="26" t="str">
        <f>IF('Paste SD Data'!A1933="","",'Paste SD Data'!A1933)</f>
        <v/>
      </c>
      <c r="C1936" s="26" t="str">
        <f>IF('Paste SD Data'!B1933="","",'Paste SD Data'!B1933)</f>
        <v/>
      </c>
      <c r="D1936" s="26" t="str">
        <f>IF('Paste SD Data'!C1933="","",'Paste SD Data'!C1933)</f>
        <v/>
      </c>
      <c r="E1936" s="27" t="str">
        <f>IF('Paste SD Data'!E1933="","",UPPER('Paste SD Data'!E1933))</f>
        <v/>
      </c>
      <c r="F1936" s="27" t="str">
        <f>IF('Paste SD Data'!G1933="","",UPPER('Paste SD Data'!G1933))</f>
        <v/>
      </c>
      <c r="G1936" s="27" t="str">
        <f>IF('Paste SD Data'!H1933="","",UPPER('Paste SD Data'!H1933))</f>
        <v/>
      </c>
      <c r="H1936" s="26" t="str">
        <f>IF('Paste SD Data'!I1933="","",IF('Paste SD Data'!I1933="M","BOY","GIRL"))</f>
        <v/>
      </c>
      <c r="I1936" s="28" t="str">
        <f>IF('Paste SD Data'!J1933="","",'Paste SD Data'!J1933)</f>
        <v/>
      </c>
      <c r="J1936" s="34">
        <f t="shared" si="30"/>
        <v>2362</v>
      </c>
      <c r="K1936" s="29" t="str">
        <f>IF('Paste SD Data'!O1933="","",'Paste SD Data'!O1933)</f>
        <v/>
      </c>
    </row>
    <row r="1937" spans="1:11" ht="30" customHeight="1" x14ac:dyDescent="0.25">
      <c r="A1937" s="25" t="str">
        <f>IF(Table1[[#This Row],[Name of Student]]="","",ROWS($A$1:A1933))</f>
        <v/>
      </c>
      <c r="B1937" s="26" t="str">
        <f>IF('Paste SD Data'!A1934="","",'Paste SD Data'!A1934)</f>
        <v/>
      </c>
      <c r="C1937" s="26" t="str">
        <f>IF('Paste SD Data'!B1934="","",'Paste SD Data'!B1934)</f>
        <v/>
      </c>
      <c r="D1937" s="26" t="str">
        <f>IF('Paste SD Data'!C1934="","",'Paste SD Data'!C1934)</f>
        <v/>
      </c>
      <c r="E1937" s="27" t="str">
        <f>IF('Paste SD Data'!E1934="","",UPPER('Paste SD Data'!E1934))</f>
        <v/>
      </c>
      <c r="F1937" s="27" t="str">
        <f>IF('Paste SD Data'!G1934="","",UPPER('Paste SD Data'!G1934))</f>
        <v/>
      </c>
      <c r="G1937" s="27" t="str">
        <f>IF('Paste SD Data'!H1934="","",UPPER('Paste SD Data'!H1934))</f>
        <v/>
      </c>
      <c r="H1937" s="26" t="str">
        <f>IF('Paste SD Data'!I1934="","",IF('Paste SD Data'!I1934="M","BOY","GIRL"))</f>
        <v/>
      </c>
      <c r="I1937" s="28" t="str">
        <f>IF('Paste SD Data'!J1934="","",'Paste SD Data'!J1934)</f>
        <v/>
      </c>
      <c r="J1937" s="34">
        <f t="shared" si="30"/>
        <v>2363</v>
      </c>
      <c r="K1937" s="29" t="str">
        <f>IF('Paste SD Data'!O1934="","",'Paste SD Data'!O1934)</f>
        <v/>
      </c>
    </row>
    <row r="1938" spans="1:11" ht="30" customHeight="1" x14ac:dyDescent="0.25">
      <c r="A1938" s="25" t="str">
        <f>IF(Table1[[#This Row],[Name of Student]]="","",ROWS($A$1:A1934))</f>
        <v/>
      </c>
      <c r="B1938" s="26" t="str">
        <f>IF('Paste SD Data'!A1935="","",'Paste SD Data'!A1935)</f>
        <v/>
      </c>
      <c r="C1938" s="26" t="str">
        <f>IF('Paste SD Data'!B1935="","",'Paste SD Data'!B1935)</f>
        <v/>
      </c>
      <c r="D1938" s="26" t="str">
        <f>IF('Paste SD Data'!C1935="","",'Paste SD Data'!C1935)</f>
        <v/>
      </c>
      <c r="E1938" s="27" t="str">
        <f>IF('Paste SD Data'!E1935="","",UPPER('Paste SD Data'!E1935))</f>
        <v/>
      </c>
      <c r="F1938" s="27" t="str">
        <f>IF('Paste SD Data'!G1935="","",UPPER('Paste SD Data'!G1935))</f>
        <v/>
      </c>
      <c r="G1938" s="27" t="str">
        <f>IF('Paste SD Data'!H1935="","",UPPER('Paste SD Data'!H1935))</f>
        <v/>
      </c>
      <c r="H1938" s="26" t="str">
        <f>IF('Paste SD Data'!I1935="","",IF('Paste SD Data'!I1935="M","BOY","GIRL"))</f>
        <v/>
      </c>
      <c r="I1938" s="28" t="str">
        <f>IF('Paste SD Data'!J1935="","",'Paste SD Data'!J1935)</f>
        <v/>
      </c>
      <c r="J1938" s="34">
        <f t="shared" si="30"/>
        <v>2364</v>
      </c>
      <c r="K1938" s="29" t="str">
        <f>IF('Paste SD Data'!O1935="","",'Paste SD Data'!O1935)</f>
        <v/>
      </c>
    </row>
    <row r="1939" spans="1:11" ht="30" customHeight="1" x14ac:dyDescent="0.25">
      <c r="A1939" s="25" t="str">
        <f>IF(Table1[[#This Row],[Name of Student]]="","",ROWS($A$1:A1935))</f>
        <v/>
      </c>
      <c r="B1939" s="26" t="str">
        <f>IF('Paste SD Data'!A1936="","",'Paste SD Data'!A1936)</f>
        <v/>
      </c>
      <c r="C1939" s="26" t="str">
        <f>IF('Paste SD Data'!B1936="","",'Paste SD Data'!B1936)</f>
        <v/>
      </c>
      <c r="D1939" s="26" t="str">
        <f>IF('Paste SD Data'!C1936="","",'Paste SD Data'!C1936)</f>
        <v/>
      </c>
      <c r="E1939" s="27" t="str">
        <f>IF('Paste SD Data'!E1936="","",UPPER('Paste SD Data'!E1936))</f>
        <v/>
      </c>
      <c r="F1939" s="27" t="str">
        <f>IF('Paste SD Data'!G1936="","",UPPER('Paste SD Data'!G1936))</f>
        <v/>
      </c>
      <c r="G1939" s="27" t="str">
        <f>IF('Paste SD Data'!H1936="","",UPPER('Paste SD Data'!H1936))</f>
        <v/>
      </c>
      <c r="H1939" s="26" t="str">
        <f>IF('Paste SD Data'!I1936="","",IF('Paste SD Data'!I1936="M","BOY","GIRL"))</f>
        <v/>
      </c>
      <c r="I1939" s="28" t="str">
        <f>IF('Paste SD Data'!J1936="","",'Paste SD Data'!J1936)</f>
        <v/>
      </c>
      <c r="J1939" s="34">
        <f t="shared" si="30"/>
        <v>2365</v>
      </c>
      <c r="K1939" s="29" t="str">
        <f>IF('Paste SD Data'!O1936="","",'Paste SD Data'!O1936)</f>
        <v/>
      </c>
    </row>
    <row r="1940" spans="1:11" ht="30" customHeight="1" x14ac:dyDescent="0.25">
      <c r="A1940" s="25" t="str">
        <f>IF(Table1[[#This Row],[Name of Student]]="","",ROWS($A$1:A1936))</f>
        <v/>
      </c>
      <c r="B1940" s="26" t="str">
        <f>IF('Paste SD Data'!A1937="","",'Paste SD Data'!A1937)</f>
        <v/>
      </c>
      <c r="C1940" s="26" t="str">
        <f>IF('Paste SD Data'!B1937="","",'Paste SD Data'!B1937)</f>
        <v/>
      </c>
      <c r="D1940" s="26" t="str">
        <f>IF('Paste SD Data'!C1937="","",'Paste SD Data'!C1937)</f>
        <v/>
      </c>
      <c r="E1940" s="27" t="str">
        <f>IF('Paste SD Data'!E1937="","",UPPER('Paste SD Data'!E1937))</f>
        <v/>
      </c>
      <c r="F1940" s="27" t="str">
        <f>IF('Paste SD Data'!G1937="","",UPPER('Paste SD Data'!G1937))</f>
        <v/>
      </c>
      <c r="G1940" s="27" t="str">
        <f>IF('Paste SD Data'!H1937="","",UPPER('Paste SD Data'!H1937))</f>
        <v/>
      </c>
      <c r="H1940" s="26" t="str">
        <f>IF('Paste SD Data'!I1937="","",IF('Paste SD Data'!I1937="M","BOY","GIRL"))</f>
        <v/>
      </c>
      <c r="I1940" s="28" t="str">
        <f>IF('Paste SD Data'!J1937="","",'Paste SD Data'!J1937)</f>
        <v/>
      </c>
      <c r="J1940" s="34">
        <f t="shared" si="30"/>
        <v>2366</v>
      </c>
      <c r="K1940" s="29" t="str">
        <f>IF('Paste SD Data'!O1937="","",'Paste SD Data'!O1937)</f>
        <v/>
      </c>
    </row>
    <row r="1941" spans="1:11" ht="30" customHeight="1" x14ac:dyDescent="0.25">
      <c r="A1941" s="25" t="str">
        <f>IF(Table1[[#This Row],[Name of Student]]="","",ROWS($A$1:A1937))</f>
        <v/>
      </c>
      <c r="B1941" s="26" t="str">
        <f>IF('Paste SD Data'!A1938="","",'Paste SD Data'!A1938)</f>
        <v/>
      </c>
      <c r="C1941" s="26" t="str">
        <f>IF('Paste SD Data'!B1938="","",'Paste SD Data'!B1938)</f>
        <v/>
      </c>
      <c r="D1941" s="26" t="str">
        <f>IF('Paste SD Data'!C1938="","",'Paste SD Data'!C1938)</f>
        <v/>
      </c>
      <c r="E1941" s="27" t="str">
        <f>IF('Paste SD Data'!E1938="","",UPPER('Paste SD Data'!E1938))</f>
        <v/>
      </c>
      <c r="F1941" s="27" t="str">
        <f>IF('Paste SD Data'!G1938="","",UPPER('Paste SD Data'!G1938))</f>
        <v/>
      </c>
      <c r="G1941" s="27" t="str">
        <f>IF('Paste SD Data'!H1938="","",UPPER('Paste SD Data'!H1938))</f>
        <v/>
      </c>
      <c r="H1941" s="26" t="str">
        <f>IF('Paste SD Data'!I1938="","",IF('Paste SD Data'!I1938="M","BOY","GIRL"))</f>
        <v/>
      </c>
      <c r="I1941" s="28" t="str">
        <f>IF('Paste SD Data'!J1938="","",'Paste SD Data'!J1938)</f>
        <v/>
      </c>
      <c r="J1941" s="34">
        <f t="shared" si="30"/>
        <v>2367</v>
      </c>
      <c r="K1941" s="29" t="str">
        <f>IF('Paste SD Data'!O1938="","",'Paste SD Data'!O1938)</f>
        <v/>
      </c>
    </row>
    <row r="1942" spans="1:11" ht="30" customHeight="1" x14ac:dyDescent="0.25">
      <c r="A1942" s="25" t="str">
        <f>IF(Table1[[#This Row],[Name of Student]]="","",ROWS($A$1:A1938))</f>
        <v/>
      </c>
      <c r="B1942" s="26" t="str">
        <f>IF('Paste SD Data'!A1939="","",'Paste SD Data'!A1939)</f>
        <v/>
      </c>
      <c r="C1942" s="26" t="str">
        <f>IF('Paste SD Data'!B1939="","",'Paste SD Data'!B1939)</f>
        <v/>
      </c>
      <c r="D1942" s="26" t="str">
        <f>IF('Paste SD Data'!C1939="","",'Paste SD Data'!C1939)</f>
        <v/>
      </c>
      <c r="E1942" s="27" t="str">
        <f>IF('Paste SD Data'!E1939="","",UPPER('Paste SD Data'!E1939))</f>
        <v/>
      </c>
      <c r="F1942" s="27" t="str">
        <f>IF('Paste SD Data'!G1939="","",UPPER('Paste SD Data'!G1939))</f>
        <v/>
      </c>
      <c r="G1942" s="27" t="str">
        <f>IF('Paste SD Data'!H1939="","",UPPER('Paste SD Data'!H1939))</f>
        <v/>
      </c>
      <c r="H1942" s="26" t="str">
        <f>IF('Paste SD Data'!I1939="","",IF('Paste SD Data'!I1939="M","BOY","GIRL"))</f>
        <v/>
      </c>
      <c r="I1942" s="28" t="str">
        <f>IF('Paste SD Data'!J1939="","",'Paste SD Data'!J1939)</f>
        <v/>
      </c>
      <c r="J1942" s="34">
        <f t="shared" si="30"/>
        <v>2368</v>
      </c>
      <c r="K1942" s="29" t="str">
        <f>IF('Paste SD Data'!O1939="","",'Paste SD Data'!O1939)</f>
        <v/>
      </c>
    </row>
    <row r="1943" spans="1:11" ht="30" customHeight="1" x14ac:dyDescent="0.25">
      <c r="A1943" s="25" t="str">
        <f>IF(Table1[[#This Row],[Name of Student]]="","",ROWS($A$1:A1939))</f>
        <v/>
      </c>
      <c r="B1943" s="26" t="str">
        <f>IF('Paste SD Data'!A1940="","",'Paste SD Data'!A1940)</f>
        <v/>
      </c>
      <c r="C1943" s="26" t="str">
        <f>IF('Paste SD Data'!B1940="","",'Paste SD Data'!B1940)</f>
        <v/>
      </c>
      <c r="D1943" s="26" t="str">
        <f>IF('Paste SD Data'!C1940="","",'Paste SD Data'!C1940)</f>
        <v/>
      </c>
      <c r="E1943" s="27" t="str">
        <f>IF('Paste SD Data'!E1940="","",UPPER('Paste SD Data'!E1940))</f>
        <v/>
      </c>
      <c r="F1943" s="27" t="str">
        <f>IF('Paste SD Data'!G1940="","",UPPER('Paste SD Data'!G1940))</f>
        <v/>
      </c>
      <c r="G1943" s="27" t="str">
        <f>IF('Paste SD Data'!H1940="","",UPPER('Paste SD Data'!H1940))</f>
        <v/>
      </c>
      <c r="H1943" s="26" t="str">
        <f>IF('Paste SD Data'!I1940="","",IF('Paste SD Data'!I1940="M","BOY","GIRL"))</f>
        <v/>
      </c>
      <c r="I1943" s="28" t="str">
        <f>IF('Paste SD Data'!J1940="","",'Paste SD Data'!J1940)</f>
        <v/>
      </c>
      <c r="J1943" s="34">
        <f t="shared" si="30"/>
        <v>2369</v>
      </c>
      <c r="K1943" s="29" t="str">
        <f>IF('Paste SD Data'!O1940="","",'Paste SD Data'!O1940)</f>
        <v/>
      </c>
    </row>
    <row r="1944" spans="1:11" ht="30" customHeight="1" x14ac:dyDescent="0.25">
      <c r="A1944" s="25" t="str">
        <f>IF(Table1[[#This Row],[Name of Student]]="","",ROWS($A$1:A1940))</f>
        <v/>
      </c>
      <c r="B1944" s="26" t="str">
        <f>IF('Paste SD Data'!A1941="","",'Paste SD Data'!A1941)</f>
        <v/>
      </c>
      <c r="C1944" s="26" t="str">
        <f>IF('Paste SD Data'!B1941="","",'Paste SD Data'!B1941)</f>
        <v/>
      </c>
      <c r="D1944" s="26" t="str">
        <f>IF('Paste SD Data'!C1941="","",'Paste SD Data'!C1941)</f>
        <v/>
      </c>
      <c r="E1944" s="27" t="str">
        <f>IF('Paste SD Data'!E1941="","",UPPER('Paste SD Data'!E1941))</f>
        <v/>
      </c>
      <c r="F1944" s="27" t="str">
        <f>IF('Paste SD Data'!G1941="","",UPPER('Paste SD Data'!G1941))</f>
        <v/>
      </c>
      <c r="G1944" s="27" t="str">
        <f>IF('Paste SD Data'!H1941="","",UPPER('Paste SD Data'!H1941))</f>
        <v/>
      </c>
      <c r="H1944" s="26" t="str">
        <f>IF('Paste SD Data'!I1941="","",IF('Paste SD Data'!I1941="M","BOY","GIRL"))</f>
        <v/>
      </c>
      <c r="I1944" s="28" t="str">
        <f>IF('Paste SD Data'!J1941="","",'Paste SD Data'!J1941)</f>
        <v/>
      </c>
      <c r="J1944" s="34">
        <f t="shared" si="30"/>
        <v>2370</v>
      </c>
      <c r="K1944" s="29" t="str">
        <f>IF('Paste SD Data'!O1941="","",'Paste SD Data'!O1941)</f>
        <v/>
      </c>
    </row>
    <row r="1945" spans="1:11" ht="30" customHeight="1" x14ac:dyDescent="0.25">
      <c r="A1945" s="25" t="str">
        <f>IF(Table1[[#This Row],[Name of Student]]="","",ROWS($A$1:A1941))</f>
        <v/>
      </c>
      <c r="B1945" s="26" t="str">
        <f>IF('Paste SD Data'!A1942="","",'Paste SD Data'!A1942)</f>
        <v/>
      </c>
      <c r="C1945" s="26" t="str">
        <f>IF('Paste SD Data'!B1942="","",'Paste SD Data'!B1942)</f>
        <v/>
      </c>
      <c r="D1945" s="26" t="str">
        <f>IF('Paste SD Data'!C1942="","",'Paste SD Data'!C1942)</f>
        <v/>
      </c>
      <c r="E1945" s="27" t="str">
        <f>IF('Paste SD Data'!E1942="","",UPPER('Paste SD Data'!E1942))</f>
        <v/>
      </c>
      <c r="F1945" s="27" t="str">
        <f>IF('Paste SD Data'!G1942="","",UPPER('Paste SD Data'!G1942))</f>
        <v/>
      </c>
      <c r="G1945" s="27" t="str">
        <f>IF('Paste SD Data'!H1942="","",UPPER('Paste SD Data'!H1942))</f>
        <v/>
      </c>
      <c r="H1945" s="26" t="str">
        <f>IF('Paste SD Data'!I1942="","",IF('Paste SD Data'!I1942="M","BOY","GIRL"))</f>
        <v/>
      </c>
      <c r="I1945" s="28" t="str">
        <f>IF('Paste SD Data'!J1942="","",'Paste SD Data'!J1942)</f>
        <v/>
      </c>
      <c r="J1945" s="34">
        <f t="shared" si="30"/>
        <v>2371</v>
      </c>
      <c r="K1945" s="29" t="str">
        <f>IF('Paste SD Data'!O1942="","",'Paste SD Data'!O1942)</f>
        <v/>
      </c>
    </row>
    <row r="1946" spans="1:11" ht="30" customHeight="1" x14ac:dyDescent="0.25">
      <c r="A1946" s="25" t="str">
        <f>IF(Table1[[#This Row],[Name of Student]]="","",ROWS($A$1:A1942))</f>
        <v/>
      </c>
      <c r="B1946" s="26" t="str">
        <f>IF('Paste SD Data'!A1943="","",'Paste SD Data'!A1943)</f>
        <v/>
      </c>
      <c r="C1946" s="26" t="str">
        <f>IF('Paste SD Data'!B1943="","",'Paste SD Data'!B1943)</f>
        <v/>
      </c>
      <c r="D1946" s="26" t="str">
        <f>IF('Paste SD Data'!C1943="","",'Paste SD Data'!C1943)</f>
        <v/>
      </c>
      <c r="E1946" s="27" t="str">
        <f>IF('Paste SD Data'!E1943="","",UPPER('Paste SD Data'!E1943))</f>
        <v/>
      </c>
      <c r="F1946" s="27" t="str">
        <f>IF('Paste SD Data'!G1943="","",UPPER('Paste SD Data'!G1943))</f>
        <v/>
      </c>
      <c r="G1946" s="27" t="str">
        <f>IF('Paste SD Data'!H1943="","",UPPER('Paste SD Data'!H1943))</f>
        <v/>
      </c>
      <c r="H1946" s="26" t="str">
        <f>IF('Paste SD Data'!I1943="","",IF('Paste SD Data'!I1943="M","BOY","GIRL"))</f>
        <v/>
      </c>
      <c r="I1946" s="28" t="str">
        <f>IF('Paste SD Data'!J1943="","",'Paste SD Data'!J1943)</f>
        <v/>
      </c>
      <c r="J1946" s="34">
        <f t="shared" si="30"/>
        <v>2372</v>
      </c>
      <c r="K1946" s="29" t="str">
        <f>IF('Paste SD Data'!O1943="","",'Paste SD Data'!O1943)</f>
        <v/>
      </c>
    </row>
    <row r="1947" spans="1:11" ht="30" customHeight="1" x14ac:dyDescent="0.25">
      <c r="A1947" s="25" t="str">
        <f>IF(Table1[[#This Row],[Name of Student]]="","",ROWS($A$1:A1943))</f>
        <v/>
      </c>
      <c r="B1947" s="26" t="str">
        <f>IF('Paste SD Data'!A1944="","",'Paste SD Data'!A1944)</f>
        <v/>
      </c>
      <c r="C1947" s="26" t="str">
        <f>IF('Paste SD Data'!B1944="","",'Paste SD Data'!B1944)</f>
        <v/>
      </c>
      <c r="D1947" s="26" t="str">
        <f>IF('Paste SD Data'!C1944="","",'Paste SD Data'!C1944)</f>
        <v/>
      </c>
      <c r="E1947" s="27" t="str">
        <f>IF('Paste SD Data'!E1944="","",UPPER('Paste SD Data'!E1944))</f>
        <v/>
      </c>
      <c r="F1947" s="27" t="str">
        <f>IF('Paste SD Data'!G1944="","",UPPER('Paste SD Data'!G1944))</f>
        <v/>
      </c>
      <c r="G1947" s="27" t="str">
        <f>IF('Paste SD Data'!H1944="","",UPPER('Paste SD Data'!H1944))</f>
        <v/>
      </c>
      <c r="H1947" s="26" t="str">
        <f>IF('Paste SD Data'!I1944="","",IF('Paste SD Data'!I1944="M","BOY","GIRL"))</f>
        <v/>
      </c>
      <c r="I1947" s="28" t="str">
        <f>IF('Paste SD Data'!J1944="","",'Paste SD Data'!J1944)</f>
        <v/>
      </c>
      <c r="J1947" s="34">
        <f t="shared" si="30"/>
        <v>2373</v>
      </c>
      <c r="K1947" s="29" t="str">
        <f>IF('Paste SD Data'!O1944="","",'Paste SD Data'!O1944)</f>
        <v/>
      </c>
    </row>
    <row r="1948" spans="1:11" ht="30" customHeight="1" x14ac:dyDescent="0.25">
      <c r="A1948" s="25" t="str">
        <f>IF(Table1[[#This Row],[Name of Student]]="","",ROWS($A$1:A1944))</f>
        <v/>
      </c>
      <c r="B1948" s="26" t="str">
        <f>IF('Paste SD Data'!A1945="","",'Paste SD Data'!A1945)</f>
        <v/>
      </c>
      <c r="C1948" s="26" t="str">
        <f>IF('Paste SD Data'!B1945="","",'Paste SD Data'!B1945)</f>
        <v/>
      </c>
      <c r="D1948" s="26" t="str">
        <f>IF('Paste SD Data'!C1945="","",'Paste SD Data'!C1945)</f>
        <v/>
      </c>
      <c r="E1948" s="27" t="str">
        <f>IF('Paste SD Data'!E1945="","",UPPER('Paste SD Data'!E1945))</f>
        <v/>
      </c>
      <c r="F1948" s="27" t="str">
        <f>IF('Paste SD Data'!G1945="","",UPPER('Paste SD Data'!G1945))</f>
        <v/>
      </c>
      <c r="G1948" s="27" t="str">
        <f>IF('Paste SD Data'!H1945="","",UPPER('Paste SD Data'!H1945))</f>
        <v/>
      </c>
      <c r="H1948" s="26" t="str">
        <f>IF('Paste SD Data'!I1945="","",IF('Paste SD Data'!I1945="M","BOY","GIRL"))</f>
        <v/>
      </c>
      <c r="I1948" s="28" t="str">
        <f>IF('Paste SD Data'!J1945="","",'Paste SD Data'!J1945)</f>
        <v/>
      </c>
      <c r="J1948" s="34">
        <f t="shared" si="30"/>
        <v>2374</v>
      </c>
      <c r="K1948" s="29" t="str">
        <f>IF('Paste SD Data'!O1945="","",'Paste SD Data'!O1945)</f>
        <v/>
      </c>
    </row>
    <row r="1949" spans="1:11" ht="30" customHeight="1" x14ac:dyDescent="0.25">
      <c r="A1949" s="25" t="str">
        <f>IF(Table1[[#This Row],[Name of Student]]="","",ROWS($A$1:A1945))</f>
        <v/>
      </c>
      <c r="B1949" s="26" t="str">
        <f>IF('Paste SD Data'!A1946="","",'Paste SD Data'!A1946)</f>
        <v/>
      </c>
      <c r="C1949" s="26" t="str">
        <f>IF('Paste SD Data'!B1946="","",'Paste SD Data'!B1946)</f>
        <v/>
      </c>
      <c r="D1949" s="26" t="str">
        <f>IF('Paste SD Data'!C1946="","",'Paste SD Data'!C1946)</f>
        <v/>
      </c>
      <c r="E1949" s="27" t="str">
        <f>IF('Paste SD Data'!E1946="","",UPPER('Paste SD Data'!E1946))</f>
        <v/>
      </c>
      <c r="F1949" s="27" t="str">
        <f>IF('Paste SD Data'!G1946="","",UPPER('Paste SD Data'!G1946))</f>
        <v/>
      </c>
      <c r="G1949" s="27" t="str">
        <f>IF('Paste SD Data'!H1946="","",UPPER('Paste SD Data'!H1946))</f>
        <v/>
      </c>
      <c r="H1949" s="26" t="str">
        <f>IF('Paste SD Data'!I1946="","",IF('Paste SD Data'!I1946="M","BOY","GIRL"))</f>
        <v/>
      </c>
      <c r="I1949" s="28" t="str">
        <f>IF('Paste SD Data'!J1946="","",'Paste SD Data'!J1946)</f>
        <v/>
      </c>
      <c r="J1949" s="34">
        <f t="shared" si="30"/>
        <v>2375</v>
      </c>
      <c r="K1949" s="29" t="str">
        <f>IF('Paste SD Data'!O1946="","",'Paste SD Data'!O1946)</f>
        <v/>
      </c>
    </row>
    <row r="1950" spans="1:11" ht="30" customHeight="1" x14ac:dyDescent="0.25">
      <c r="A1950" s="25" t="str">
        <f>IF(Table1[[#This Row],[Name of Student]]="","",ROWS($A$1:A1946))</f>
        <v/>
      </c>
      <c r="B1950" s="26" t="str">
        <f>IF('Paste SD Data'!A1947="","",'Paste SD Data'!A1947)</f>
        <v/>
      </c>
      <c r="C1950" s="26" t="str">
        <f>IF('Paste SD Data'!B1947="","",'Paste SD Data'!B1947)</f>
        <v/>
      </c>
      <c r="D1950" s="26" t="str">
        <f>IF('Paste SD Data'!C1947="","",'Paste SD Data'!C1947)</f>
        <v/>
      </c>
      <c r="E1950" s="27" t="str">
        <f>IF('Paste SD Data'!E1947="","",UPPER('Paste SD Data'!E1947))</f>
        <v/>
      </c>
      <c r="F1950" s="27" t="str">
        <f>IF('Paste SD Data'!G1947="","",UPPER('Paste SD Data'!G1947))</f>
        <v/>
      </c>
      <c r="G1950" s="27" t="str">
        <f>IF('Paste SD Data'!H1947="","",UPPER('Paste SD Data'!H1947))</f>
        <v/>
      </c>
      <c r="H1950" s="26" t="str">
        <f>IF('Paste SD Data'!I1947="","",IF('Paste SD Data'!I1947="M","BOY","GIRL"))</f>
        <v/>
      </c>
      <c r="I1950" s="28" t="str">
        <f>IF('Paste SD Data'!J1947="","",'Paste SD Data'!J1947)</f>
        <v/>
      </c>
      <c r="J1950" s="34">
        <f t="shared" si="30"/>
        <v>2376</v>
      </c>
      <c r="K1950" s="29" t="str">
        <f>IF('Paste SD Data'!O1947="","",'Paste SD Data'!O1947)</f>
        <v/>
      </c>
    </row>
    <row r="1951" spans="1:11" ht="30" customHeight="1" x14ac:dyDescent="0.25">
      <c r="A1951" s="25" t="str">
        <f>IF(Table1[[#This Row],[Name of Student]]="","",ROWS($A$1:A1947))</f>
        <v/>
      </c>
      <c r="B1951" s="26" t="str">
        <f>IF('Paste SD Data'!A1948="","",'Paste SD Data'!A1948)</f>
        <v/>
      </c>
      <c r="C1951" s="26" t="str">
        <f>IF('Paste SD Data'!B1948="","",'Paste SD Data'!B1948)</f>
        <v/>
      </c>
      <c r="D1951" s="26" t="str">
        <f>IF('Paste SD Data'!C1948="","",'Paste SD Data'!C1948)</f>
        <v/>
      </c>
      <c r="E1951" s="27" t="str">
        <f>IF('Paste SD Data'!E1948="","",UPPER('Paste SD Data'!E1948))</f>
        <v/>
      </c>
      <c r="F1951" s="27" t="str">
        <f>IF('Paste SD Data'!G1948="","",UPPER('Paste SD Data'!G1948))</f>
        <v/>
      </c>
      <c r="G1951" s="27" t="str">
        <f>IF('Paste SD Data'!H1948="","",UPPER('Paste SD Data'!H1948))</f>
        <v/>
      </c>
      <c r="H1951" s="26" t="str">
        <f>IF('Paste SD Data'!I1948="","",IF('Paste SD Data'!I1948="M","BOY","GIRL"))</f>
        <v/>
      </c>
      <c r="I1951" s="28" t="str">
        <f>IF('Paste SD Data'!J1948="","",'Paste SD Data'!J1948)</f>
        <v/>
      </c>
      <c r="J1951" s="34">
        <f t="shared" si="30"/>
        <v>2377</v>
      </c>
      <c r="K1951" s="29" t="str">
        <f>IF('Paste SD Data'!O1948="","",'Paste SD Data'!O1948)</f>
        <v/>
      </c>
    </row>
    <row r="1952" spans="1:11" ht="30" customHeight="1" x14ac:dyDescent="0.25">
      <c r="A1952" s="25" t="str">
        <f>IF(Table1[[#This Row],[Name of Student]]="","",ROWS($A$1:A1948))</f>
        <v/>
      </c>
      <c r="B1952" s="26" t="str">
        <f>IF('Paste SD Data'!A1949="","",'Paste SD Data'!A1949)</f>
        <v/>
      </c>
      <c r="C1952" s="26" t="str">
        <f>IF('Paste SD Data'!B1949="","",'Paste SD Data'!B1949)</f>
        <v/>
      </c>
      <c r="D1952" s="26" t="str">
        <f>IF('Paste SD Data'!C1949="","",'Paste SD Data'!C1949)</f>
        <v/>
      </c>
      <c r="E1952" s="27" t="str">
        <f>IF('Paste SD Data'!E1949="","",UPPER('Paste SD Data'!E1949))</f>
        <v/>
      </c>
      <c r="F1952" s="27" t="str">
        <f>IF('Paste SD Data'!G1949="","",UPPER('Paste SD Data'!G1949))</f>
        <v/>
      </c>
      <c r="G1952" s="27" t="str">
        <f>IF('Paste SD Data'!H1949="","",UPPER('Paste SD Data'!H1949))</f>
        <v/>
      </c>
      <c r="H1952" s="26" t="str">
        <f>IF('Paste SD Data'!I1949="","",IF('Paste SD Data'!I1949="M","BOY","GIRL"))</f>
        <v/>
      </c>
      <c r="I1952" s="28" t="str">
        <f>IF('Paste SD Data'!J1949="","",'Paste SD Data'!J1949)</f>
        <v/>
      </c>
      <c r="J1952" s="34">
        <f t="shared" si="30"/>
        <v>2378</v>
      </c>
      <c r="K1952" s="29" t="str">
        <f>IF('Paste SD Data'!O1949="","",'Paste SD Data'!O1949)</f>
        <v/>
      </c>
    </row>
    <row r="1953" spans="1:11" ht="30" customHeight="1" x14ac:dyDescent="0.25">
      <c r="A1953" s="25" t="str">
        <f>IF(Table1[[#This Row],[Name of Student]]="","",ROWS($A$1:A1949))</f>
        <v/>
      </c>
      <c r="B1953" s="26" t="str">
        <f>IF('Paste SD Data'!A1950="","",'Paste SD Data'!A1950)</f>
        <v/>
      </c>
      <c r="C1953" s="26" t="str">
        <f>IF('Paste SD Data'!B1950="","",'Paste SD Data'!B1950)</f>
        <v/>
      </c>
      <c r="D1953" s="26" t="str">
        <f>IF('Paste SD Data'!C1950="","",'Paste SD Data'!C1950)</f>
        <v/>
      </c>
      <c r="E1953" s="27" t="str">
        <f>IF('Paste SD Data'!E1950="","",UPPER('Paste SD Data'!E1950))</f>
        <v/>
      </c>
      <c r="F1953" s="27" t="str">
        <f>IF('Paste SD Data'!G1950="","",UPPER('Paste SD Data'!G1950))</f>
        <v/>
      </c>
      <c r="G1953" s="27" t="str">
        <f>IF('Paste SD Data'!H1950="","",UPPER('Paste SD Data'!H1950))</f>
        <v/>
      </c>
      <c r="H1953" s="26" t="str">
        <f>IF('Paste SD Data'!I1950="","",IF('Paste SD Data'!I1950="M","BOY","GIRL"))</f>
        <v/>
      </c>
      <c r="I1953" s="28" t="str">
        <f>IF('Paste SD Data'!J1950="","",'Paste SD Data'!J1950)</f>
        <v/>
      </c>
      <c r="J1953" s="34">
        <f t="shared" si="30"/>
        <v>2379</v>
      </c>
      <c r="K1953" s="29" t="str">
        <f>IF('Paste SD Data'!O1950="","",'Paste SD Data'!O1950)</f>
        <v/>
      </c>
    </row>
    <row r="1954" spans="1:11" ht="30" customHeight="1" x14ac:dyDescent="0.25">
      <c r="A1954" s="25" t="str">
        <f>IF(Table1[[#This Row],[Name of Student]]="","",ROWS($A$1:A1950))</f>
        <v/>
      </c>
      <c r="B1954" s="26" t="str">
        <f>IF('Paste SD Data'!A1951="","",'Paste SD Data'!A1951)</f>
        <v/>
      </c>
      <c r="C1954" s="26" t="str">
        <f>IF('Paste SD Data'!B1951="","",'Paste SD Data'!B1951)</f>
        <v/>
      </c>
      <c r="D1954" s="26" t="str">
        <f>IF('Paste SD Data'!C1951="","",'Paste SD Data'!C1951)</f>
        <v/>
      </c>
      <c r="E1954" s="27" t="str">
        <f>IF('Paste SD Data'!E1951="","",UPPER('Paste SD Data'!E1951))</f>
        <v/>
      </c>
      <c r="F1954" s="27" t="str">
        <f>IF('Paste SD Data'!G1951="","",UPPER('Paste SD Data'!G1951))</f>
        <v/>
      </c>
      <c r="G1954" s="27" t="str">
        <f>IF('Paste SD Data'!H1951="","",UPPER('Paste SD Data'!H1951))</f>
        <v/>
      </c>
      <c r="H1954" s="26" t="str">
        <f>IF('Paste SD Data'!I1951="","",IF('Paste SD Data'!I1951="M","BOY","GIRL"))</f>
        <v/>
      </c>
      <c r="I1954" s="28" t="str">
        <f>IF('Paste SD Data'!J1951="","",'Paste SD Data'!J1951)</f>
        <v/>
      </c>
      <c r="J1954" s="34">
        <f t="shared" si="30"/>
        <v>2380</v>
      </c>
      <c r="K1954" s="29" t="str">
        <f>IF('Paste SD Data'!O1951="","",'Paste SD Data'!O1951)</f>
        <v/>
      </c>
    </row>
    <row r="1955" spans="1:11" ht="30" customHeight="1" x14ac:dyDescent="0.25">
      <c r="A1955" s="25" t="str">
        <f>IF(Table1[[#This Row],[Name of Student]]="","",ROWS($A$1:A1951))</f>
        <v/>
      </c>
      <c r="B1955" s="26" t="str">
        <f>IF('Paste SD Data'!A1952="","",'Paste SD Data'!A1952)</f>
        <v/>
      </c>
      <c r="C1955" s="26" t="str">
        <f>IF('Paste SD Data'!B1952="","",'Paste SD Data'!B1952)</f>
        <v/>
      </c>
      <c r="D1955" s="26" t="str">
        <f>IF('Paste SD Data'!C1952="","",'Paste SD Data'!C1952)</f>
        <v/>
      </c>
      <c r="E1955" s="27" t="str">
        <f>IF('Paste SD Data'!E1952="","",UPPER('Paste SD Data'!E1952))</f>
        <v/>
      </c>
      <c r="F1955" s="27" t="str">
        <f>IF('Paste SD Data'!G1952="","",UPPER('Paste SD Data'!G1952))</f>
        <v/>
      </c>
      <c r="G1955" s="27" t="str">
        <f>IF('Paste SD Data'!H1952="","",UPPER('Paste SD Data'!H1952))</f>
        <v/>
      </c>
      <c r="H1955" s="26" t="str">
        <f>IF('Paste SD Data'!I1952="","",IF('Paste SD Data'!I1952="M","BOY","GIRL"))</f>
        <v/>
      </c>
      <c r="I1955" s="28" t="str">
        <f>IF('Paste SD Data'!J1952="","",'Paste SD Data'!J1952)</f>
        <v/>
      </c>
      <c r="J1955" s="34">
        <f t="shared" si="30"/>
        <v>2381</v>
      </c>
      <c r="K1955" s="29" t="str">
        <f>IF('Paste SD Data'!O1952="","",'Paste SD Data'!O1952)</f>
        <v/>
      </c>
    </row>
    <row r="1956" spans="1:11" ht="30" customHeight="1" x14ac:dyDescent="0.25">
      <c r="A1956" s="25" t="str">
        <f>IF(Table1[[#This Row],[Name of Student]]="","",ROWS($A$1:A1952))</f>
        <v/>
      </c>
      <c r="B1956" s="26" t="str">
        <f>IF('Paste SD Data'!A1953="","",'Paste SD Data'!A1953)</f>
        <v/>
      </c>
      <c r="C1956" s="26" t="str">
        <f>IF('Paste SD Data'!B1953="","",'Paste SD Data'!B1953)</f>
        <v/>
      </c>
      <c r="D1956" s="26" t="str">
        <f>IF('Paste SD Data'!C1953="","",'Paste SD Data'!C1953)</f>
        <v/>
      </c>
      <c r="E1956" s="27" t="str">
        <f>IF('Paste SD Data'!E1953="","",UPPER('Paste SD Data'!E1953))</f>
        <v/>
      </c>
      <c r="F1956" s="27" t="str">
        <f>IF('Paste SD Data'!G1953="","",UPPER('Paste SD Data'!G1953))</f>
        <v/>
      </c>
      <c r="G1956" s="27" t="str">
        <f>IF('Paste SD Data'!H1953="","",UPPER('Paste SD Data'!H1953))</f>
        <v/>
      </c>
      <c r="H1956" s="26" t="str">
        <f>IF('Paste SD Data'!I1953="","",IF('Paste SD Data'!I1953="M","BOY","GIRL"))</f>
        <v/>
      </c>
      <c r="I1956" s="28" t="str">
        <f>IF('Paste SD Data'!J1953="","",'Paste SD Data'!J1953)</f>
        <v/>
      </c>
      <c r="J1956" s="34">
        <f t="shared" si="30"/>
        <v>2382</v>
      </c>
      <c r="K1956" s="29" t="str">
        <f>IF('Paste SD Data'!O1953="","",'Paste SD Data'!O1953)</f>
        <v/>
      </c>
    </row>
    <row r="1957" spans="1:11" ht="30" customHeight="1" x14ac:dyDescent="0.25">
      <c r="A1957" s="25" t="str">
        <f>IF(Table1[[#This Row],[Name of Student]]="","",ROWS($A$1:A1953))</f>
        <v/>
      </c>
      <c r="B1957" s="26" t="str">
        <f>IF('Paste SD Data'!A1954="","",'Paste SD Data'!A1954)</f>
        <v/>
      </c>
      <c r="C1957" s="26" t="str">
        <f>IF('Paste SD Data'!B1954="","",'Paste SD Data'!B1954)</f>
        <v/>
      </c>
      <c r="D1957" s="26" t="str">
        <f>IF('Paste SD Data'!C1954="","",'Paste SD Data'!C1954)</f>
        <v/>
      </c>
      <c r="E1957" s="27" t="str">
        <f>IF('Paste SD Data'!E1954="","",UPPER('Paste SD Data'!E1954))</f>
        <v/>
      </c>
      <c r="F1957" s="27" t="str">
        <f>IF('Paste SD Data'!G1954="","",UPPER('Paste SD Data'!G1954))</f>
        <v/>
      </c>
      <c r="G1957" s="27" t="str">
        <f>IF('Paste SD Data'!H1954="","",UPPER('Paste SD Data'!H1954))</f>
        <v/>
      </c>
      <c r="H1957" s="26" t="str">
        <f>IF('Paste SD Data'!I1954="","",IF('Paste SD Data'!I1954="M","BOY","GIRL"))</f>
        <v/>
      </c>
      <c r="I1957" s="28" t="str">
        <f>IF('Paste SD Data'!J1954="","",'Paste SD Data'!J1954)</f>
        <v/>
      </c>
      <c r="J1957" s="34">
        <f t="shared" si="30"/>
        <v>2383</v>
      </c>
      <c r="K1957" s="29" t="str">
        <f>IF('Paste SD Data'!O1954="","",'Paste SD Data'!O1954)</f>
        <v/>
      </c>
    </row>
    <row r="1958" spans="1:11" ht="30" customHeight="1" x14ac:dyDescent="0.25">
      <c r="A1958" s="25" t="str">
        <f>IF(Table1[[#This Row],[Name of Student]]="","",ROWS($A$1:A1954))</f>
        <v/>
      </c>
      <c r="B1958" s="26" t="str">
        <f>IF('Paste SD Data'!A1955="","",'Paste SD Data'!A1955)</f>
        <v/>
      </c>
      <c r="C1958" s="26" t="str">
        <f>IF('Paste SD Data'!B1955="","",'Paste SD Data'!B1955)</f>
        <v/>
      </c>
      <c r="D1958" s="26" t="str">
        <f>IF('Paste SD Data'!C1955="","",'Paste SD Data'!C1955)</f>
        <v/>
      </c>
      <c r="E1958" s="27" t="str">
        <f>IF('Paste SD Data'!E1955="","",UPPER('Paste SD Data'!E1955))</f>
        <v/>
      </c>
      <c r="F1958" s="27" t="str">
        <f>IF('Paste SD Data'!G1955="","",UPPER('Paste SD Data'!G1955))</f>
        <v/>
      </c>
      <c r="G1958" s="27" t="str">
        <f>IF('Paste SD Data'!H1955="","",UPPER('Paste SD Data'!H1955))</f>
        <v/>
      </c>
      <c r="H1958" s="26" t="str">
        <f>IF('Paste SD Data'!I1955="","",IF('Paste SD Data'!I1955="M","BOY","GIRL"))</f>
        <v/>
      </c>
      <c r="I1958" s="28" t="str">
        <f>IF('Paste SD Data'!J1955="","",'Paste SD Data'!J1955)</f>
        <v/>
      </c>
      <c r="J1958" s="34">
        <f t="shared" si="30"/>
        <v>2384</v>
      </c>
      <c r="K1958" s="29" t="str">
        <f>IF('Paste SD Data'!O1955="","",'Paste SD Data'!O1955)</f>
        <v/>
      </c>
    </row>
    <row r="1959" spans="1:11" ht="30" customHeight="1" x14ac:dyDescent="0.25">
      <c r="A1959" s="25" t="str">
        <f>IF(Table1[[#This Row],[Name of Student]]="","",ROWS($A$1:A1955))</f>
        <v/>
      </c>
      <c r="B1959" s="26" t="str">
        <f>IF('Paste SD Data'!A1956="","",'Paste SD Data'!A1956)</f>
        <v/>
      </c>
      <c r="C1959" s="26" t="str">
        <f>IF('Paste SD Data'!B1956="","",'Paste SD Data'!B1956)</f>
        <v/>
      </c>
      <c r="D1959" s="26" t="str">
        <f>IF('Paste SD Data'!C1956="","",'Paste SD Data'!C1956)</f>
        <v/>
      </c>
      <c r="E1959" s="27" t="str">
        <f>IF('Paste SD Data'!E1956="","",UPPER('Paste SD Data'!E1956))</f>
        <v/>
      </c>
      <c r="F1959" s="27" t="str">
        <f>IF('Paste SD Data'!G1956="","",UPPER('Paste SD Data'!G1956))</f>
        <v/>
      </c>
      <c r="G1959" s="27" t="str">
        <f>IF('Paste SD Data'!H1956="","",UPPER('Paste SD Data'!H1956))</f>
        <v/>
      </c>
      <c r="H1959" s="26" t="str">
        <f>IF('Paste SD Data'!I1956="","",IF('Paste SD Data'!I1956="M","BOY","GIRL"))</f>
        <v/>
      </c>
      <c r="I1959" s="28" t="str">
        <f>IF('Paste SD Data'!J1956="","",'Paste SD Data'!J1956)</f>
        <v/>
      </c>
      <c r="J1959" s="34">
        <f t="shared" si="30"/>
        <v>2385</v>
      </c>
      <c r="K1959" s="29" t="str">
        <f>IF('Paste SD Data'!O1956="","",'Paste SD Data'!O1956)</f>
        <v/>
      </c>
    </row>
    <row r="1960" spans="1:11" ht="30" customHeight="1" x14ac:dyDescent="0.25">
      <c r="A1960" s="25" t="str">
        <f>IF(Table1[[#This Row],[Name of Student]]="","",ROWS($A$1:A1956))</f>
        <v/>
      </c>
      <c r="B1960" s="26" t="str">
        <f>IF('Paste SD Data'!A1957="","",'Paste SD Data'!A1957)</f>
        <v/>
      </c>
      <c r="C1960" s="26" t="str">
        <f>IF('Paste SD Data'!B1957="","",'Paste SD Data'!B1957)</f>
        <v/>
      </c>
      <c r="D1960" s="26" t="str">
        <f>IF('Paste SD Data'!C1957="","",'Paste SD Data'!C1957)</f>
        <v/>
      </c>
      <c r="E1960" s="27" t="str">
        <f>IF('Paste SD Data'!E1957="","",UPPER('Paste SD Data'!E1957))</f>
        <v/>
      </c>
      <c r="F1960" s="27" t="str">
        <f>IF('Paste SD Data'!G1957="","",UPPER('Paste SD Data'!G1957))</f>
        <v/>
      </c>
      <c r="G1960" s="27" t="str">
        <f>IF('Paste SD Data'!H1957="","",UPPER('Paste SD Data'!H1957))</f>
        <v/>
      </c>
      <c r="H1960" s="26" t="str">
        <f>IF('Paste SD Data'!I1957="","",IF('Paste SD Data'!I1957="M","BOY","GIRL"))</f>
        <v/>
      </c>
      <c r="I1960" s="28" t="str">
        <f>IF('Paste SD Data'!J1957="","",'Paste SD Data'!J1957)</f>
        <v/>
      </c>
      <c r="J1960" s="34">
        <f t="shared" si="30"/>
        <v>2386</v>
      </c>
      <c r="K1960" s="29" t="str">
        <f>IF('Paste SD Data'!O1957="","",'Paste SD Data'!O1957)</f>
        <v/>
      </c>
    </row>
    <row r="1961" spans="1:11" ht="30" customHeight="1" x14ac:dyDescent="0.25">
      <c r="A1961" s="25" t="str">
        <f>IF(Table1[[#This Row],[Name of Student]]="","",ROWS($A$1:A1957))</f>
        <v/>
      </c>
      <c r="B1961" s="26" t="str">
        <f>IF('Paste SD Data'!A1958="","",'Paste SD Data'!A1958)</f>
        <v/>
      </c>
      <c r="C1961" s="26" t="str">
        <f>IF('Paste SD Data'!B1958="","",'Paste SD Data'!B1958)</f>
        <v/>
      </c>
      <c r="D1961" s="26" t="str">
        <f>IF('Paste SD Data'!C1958="","",'Paste SD Data'!C1958)</f>
        <v/>
      </c>
      <c r="E1961" s="27" t="str">
        <f>IF('Paste SD Data'!E1958="","",UPPER('Paste SD Data'!E1958))</f>
        <v/>
      </c>
      <c r="F1961" s="27" t="str">
        <f>IF('Paste SD Data'!G1958="","",UPPER('Paste SD Data'!G1958))</f>
        <v/>
      </c>
      <c r="G1961" s="27" t="str">
        <f>IF('Paste SD Data'!H1958="","",UPPER('Paste SD Data'!H1958))</f>
        <v/>
      </c>
      <c r="H1961" s="26" t="str">
        <f>IF('Paste SD Data'!I1958="","",IF('Paste SD Data'!I1958="M","BOY","GIRL"))</f>
        <v/>
      </c>
      <c r="I1961" s="28" t="str">
        <f>IF('Paste SD Data'!J1958="","",'Paste SD Data'!J1958)</f>
        <v/>
      </c>
      <c r="J1961" s="34">
        <f t="shared" si="30"/>
        <v>2387</v>
      </c>
      <c r="K1961" s="29" t="str">
        <f>IF('Paste SD Data'!O1958="","",'Paste SD Data'!O1958)</f>
        <v/>
      </c>
    </row>
    <row r="1962" spans="1:11" ht="30" customHeight="1" x14ac:dyDescent="0.25">
      <c r="A1962" s="25" t="str">
        <f>IF(Table1[[#This Row],[Name of Student]]="","",ROWS($A$1:A1958))</f>
        <v/>
      </c>
      <c r="B1962" s="26" t="str">
        <f>IF('Paste SD Data'!A1959="","",'Paste SD Data'!A1959)</f>
        <v/>
      </c>
      <c r="C1962" s="26" t="str">
        <f>IF('Paste SD Data'!B1959="","",'Paste SD Data'!B1959)</f>
        <v/>
      </c>
      <c r="D1962" s="26" t="str">
        <f>IF('Paste SD Data'!C1959="","",'Paste SD Data'!C1959)</f>
        <v/>
      </c>
      <c r="E1962" s="27" t="str">
        <f>IF('Paste SD Data'!E1959="","",UPPER('Paste SD Data'!E1959))</f>
        <v/>
      </c>
      <c r="F1962" s="27" t="str">
        <f>IF('Paste SD Data'!G1959="","",UPPER('Paste SD Data'!G1959))</f>
        <v/>
      </c>
      <c r="G1962" s="27" t="str">
        <f>IF('Paste SD Data'!H1959="","",UPPER('Paste SD Data'!H1959))</f>
        <v/>
      </c>
      <c r="H1962" s="26" t="str">
        <f>IF('Paste SD Data'!I1959="","",IF('Paste SD Data'!I1959="M","BOY","GIRL"))</f>
        <v/>
      </c>
      <c r="I1962" s="28" t="str">
        <f>IF('Paste SD Data'!J1959="","",'Paste SD Data'!J1959)</f>
        <v/>
      </c>
      <c r="J1962" s="34">
        <f t="shared" si="30"/>
        <v>2388</v>
      </c>
      <c r="K1962" s="29" t="str">
        <f>IF('Paste SD Data'!O1959="","",'Paste SD Data'!O1959)</f>
        <v/>
      </c>
    </row>
    <row r="1963" spans="1:11" ht="30" customHeight="1" x14ac:dyDescent="0.25">
      <c r="A1963" s="25" t="str">
        <f>IF(Table1[[#This Row],[Name of Student]]="","",ROWS($A$1:A1959))</f>
        <v/>
      </c>
      <c r="B1963" s="26" t="str">
        <f>IF('Paste SD Data'!A1960="","",'Paste SD Data'!A1960)</f>
        <v/>
      </c>
      <c r="C1963" s="26" t="str">
        <f>IF('Paste SD Data'!B1960="","",'Paste SD Data'!B1960)</f>
        <v/>
      </c>
      <c r="D1963" s="26" t="str">
        <f>IF('Paste SD Data'!C1960="","",'Paste SD Data'!C1960)</f>
        <v/>
      </c>
      <c r="E1963" s="27" t="str">
        <f>IF('Paste SD Data'!E1960="","",UPPER('Paste SD Data'!E1960))</f>
        <v/>
      </c>
      <c r="F1963" s="27" t="str">
        <f>IF('Paste SD Data'!G1960="","",UPPER('Paste SD Data'!G1960))</f>
        <v/>
      </c>
      <c r="G1963" s="27" t="str">
        <f>IF('Paste SD Data'!H1960="","",UPPER('Paste SD Data'!H1960))</f>
        <v/>
      </c>
      <c r="H1963" s="26" t="str">
        <f>IF('Paste SD Data'!I1960="","",IF('Paste SD Data'!I1960="M","BOY","GIRL"))</f>
        <v/>
      </c>
      <c r="I1963" s="28" t="str">
        <f>IF('Paste SD Data'!J1960="","",'Paste SD Data'!J1960)</f>
        <v/>
      </c>
      <c r="J1963" s="34">
        <f t="shared" si="30"/>
        <v>2389</v>
      </c>
      <c r="K1963" s="29" t="str">
        <f>IF('Paste SD Data'!O1960="","",'Paste SD Data'!O1960)</f>
        <v/>
      </c>
    </row>
    <row r="1964" spans="1:11" ht="30" customHeight="1" x14ac:dyDescent="0.25">
      <c r="A1964" s="25" t="str">
        <f>IF(Table1[[#This Row],[Name of Student]]="","",ROWS($A$1:A1960))</f>
        <v/>
      </c>
      <c r="B1964" s="26" t="str">
        <f>IF('Paste SD Data'!A1961="","",'Paste SD Data'!A1961)</f>
        <v/>
      </c>
      <c r="C1964" s="26" t="str">
        <f>IF('Paste SD Data'!B1961="","",'Paste SD Data'!B1961)</f>
        <v/>
      </c>
      <c r="D1964" s="26" t="str">
        <f>IF('Paste SD Data'!C1961="","",'Paste SD Data'!C1961)</f>
        <v/>
      </c>
      <c r="E1964" s="27" t="str">
        <f>IF('Paste SD Data'!E1961="","",UPPER('Paste SD Data'!E1961))</f>
        <v/>
      </c>
      <c r="F1964" s="27" t="str">
        <f>IF('Paste SD Data'!G1961="","",UPPER('Paste SD Data'!G1961))</f>
        <v/>
      </c>
      <c r="G1964" s="27" t="str">
        <f>IF('Paste SD Data'!H1961="","",UPPER('Paste SD Data'!H1961))</f>
        <v/>
      </c>
      <c r="H1964" s="26" t="str">
        <f>IF('Paste SD Data'!I1961="","",IF('Paste SD Data'!I1961="M","BOY","GIRL"))</f>
        <v/>
      </c>
      <c r="I1964" s="28" t="str">
        <f>IF('Paste SD Data'!J1961="","",'Paste SD Data'!J1961)</f>
        <v/>
      </c>
      <c r="J1964" s="34">
        <f t="shared" si="30"/>
        <v>2390</v>
      </c>
      <c r="K1964" s="29" t="str">
        <f>IF('Paste SD Data'!O1961="","",'Paste SD Data'!O1961)</f>
        <v/>
      </c>
    </row>
    <row r="1965" spans="1:11" ht="30" customHeight="1" x14ac:dyDescent="0.25">
      <c r="A1965" s="25" t="str">
        <f>IF(Table1[[#This Row],[Name of Student]]="","",ROWS($A$1:A1961))</f>
        <v/>
      </c>
      <c r="B1965" s="26" t="str">
        <f>IF('Paste SD Data'!A1962="","",'Paste SD Data'!A1962)</f>
        <v/>
      </c>
      <c r="C1965" s="26" t="str">
        <f>IF('Paste SD Data'!B1962="","",'Paste SD Data'!B1962)</f>
        <v/>
      </c>
      <c r="D1965" s="26" t="str">
        <f>IF('Paste SD Data'!C1962="","",'Paste SD Data'!C1962)</f>
        <v/>
      </c>
      <c r="E1965" s="27" t="str">
        <f>IF('Paste SD Data'!E1962="","",UPPER('Paste SD Data'!E1962))</f>
        <v/>
      </c>
      <c r="F1965" s="27" t="str">
        <f>IF('Paste SD Data'!G1962="","",UPPER('Paste SD Data'!G1962))</f>
        <v/>
      </c>
      <c r="G1965" s="27" t="str">
        <f>IF('Paste SD Data'!H1962="","",UPPER('Paste SD Data'!H1962))</f>
        <v/>
      </c>
      <c r="H1965" s="26" t="str">
        <f>IF('Paste SD Data'!I1962="","",IF('Paste SD Data'!I1962="M","BOY","GIRL"))</f>
        <v/>
      </c>
      <c r="I1965" s="28" t="str">
        <f>IF('Paste SD Data'!J1962="","",'Paste SD Data'!J1962)</f>
        <v/>
      </c>
      <c r="J1965" s="34">
        <f t="shared" si="30"/>
        <v>2391</v>
      </c>
      <c r="K1965" s="29" t="str">
        <f>IF('Paste SD Data'!O1962="","",'Paste SD Data'!O1962)</f>
        <v/>
      </c>
    </row>
    <row r="1966" spans="1:11" ht="30" customHeight="1" x14ac:dyDescent="0.25">
      <c r="A1966" s="25" t="str">
        <f>IF(Table1[[#This Row],[Name of Student]]="","",ROWS($A$1:A1962))</f>
        <v/>
      </c>
      <c r="B1966" s="26" t="str">
        <f>IF('Paste SD Data'!A1963="","",'Paste SD Data'!A1963)</f>
        <v/>
      </c>
      <c r="C1966" s="26" t="str">
        <f>IF('Paste SD Data'!B1963="","",'Paste SD Data'!B1963)</f>
        <v/>
      </c>
      <c r="D1966" s="26" t="str">
        <f>IF('Paste SD Data'!C1963="","",'Paste SD Data'!C1963)</f>
        <v/>
      </c>
      <c r="E1966" s="27" t="str">
        <f>IF('Paste SD Data'!E1963="","",UPPER('Paste SD Data'!E1963))</f>
        <v/>
      </c>
      <c r="F1966" s="27" t="str">
        <f>IF('Paste SD Data'!G1963="","",UPPER('Paste SD Data'!G1963))</f>
        <v/>
      </c>
      <c r="G1966" s="27" t="str">
        <f>IF('Paste SD Data'!H1963="","",UPPER('Paste SD Data'!H1963))</f>
        <v/>
      </c>
      <c r="H1966" s="26" t="str">
        <f>IF('Paste SD Data'!I1963="","",IF('Paste SD Data'!I1963="M","BOY","GIRL"))</f>
        <v/>
      </c>
      <c r="I1966" s="28" t="str">
        <f>IF('Paste SD Data'!J1963="","",'Paste SD Data'!J1963)</f>
        <v/>
      </c>
      <c r="J1966" s="34">
        <f t="shared" si="30"/>
        <v>2392</v>
      </c>
      <c r="K1966" s="29" t="str">
        <f>IF('Paste SD Data'!O1963="","",'Paste SD Data'!O1963)</f>
        <v/>
      </c>
    </row>
    <row r="1967" spans="1:11" ht="30" customHeight="1" x14ac:dyDescent="0.25">
      <c r="A1967" s="25" t="str">
        <f>IF(Table1[[#This Row],[Name of Student]]="","",ROWS($A$1:A1963))</f>
        <v/>
      </c>
      <c r="B1967" s="26" t="str">
        <f>IF('Paste SD Data'!A1964="","",'Paste SD Data'!A1964)</f>
        <v/>
      </c>
      <c r="C1967" s="26" t="str">
        <f>IF('Paste SD Data'!B1964="","",'Paste SD Data'!B1964)</f>
        <v/>
      </c>
      <c r="D1967" s="26" t="str">
        <f>IF('Paste SD Data'!C1964="","",'Paste SD Data'!C1964)</f>
        <v/>
      </c>
      <c r="E1967" s="27" t="str">
        <f>IF('Paste SD Data'!E1964="","",UPPER('Paste SD Data'!E1964))</f>
        <v/>
      </c>
      <c r="F1967" s="27" t="str">
        <f>IF('Paste SD Data'!G1964="","",UPPER('Paste SD Data'!G1964))</f>
        <v/>
      </c>
      <c r="G1967" s="27" t="str">
        <f>IF('Paste SD Data'!H1964="","",UPPER('Paste SD Data'!H1964))</f>
        <v/>
      </c>
      <c r="H1967" s="26" t="str">
        <f>IF('Paste SD Data'!I1964="","",IF('Paste SD Data'!I1964="M","BOY","GIRL"))</f>
        <v/>
      </c>
      <c r="I1967" s="28" t="str">
        <f>IF('Paste SD Data'!J1964="","",'Paste SD Data'!J1964)</f>
        <v/>
      </c>
      <c r="J1967" s="34">
        <f t="shared" si="30"/>
        <v>2393</v>
      </c>
      <c r="K1967" s="29" t="str">
        <f>IF('Paste SD Data'!O1964="","",'Paste SD Data'!O1964)</f>
        <v/>
      </c>
    </row>
    <row r="1968" spans="1:11" ht="30" customHeight="1" x14ac:dyDescent="0.25">
      <c r="A1968" s="25" t="str">
        <f>IF(Table1[[#This Row],[Name of Student]]="","",ROWS($A$1:A1964))</f>
        <v/>
      </c>
      <c r="B1968" s="26" t="str">
        <f>IF('Paste SD Data'!A1965="","",'Paste SD Data'!A1965)</f>
        <v/>
      </c>
      <c r="C1968" s="26" t="str">
        <f>IF('Paste SD Data'!B1965="","",'Paste SD Data'!B1965)</f>
        <v/>
      </c>
      <c r="D1968" s="26" t="str">
        <f>IF('Paste SD Data'!C1965="","",'Paste SD Data'!C1965)</f>
        <v/>
      </c>
      <c r="E1968" s="27" t="str">
        <f>IF('Paste SD Data'!E1965="","",UPPER('Paste SD Data'!E1965))</f>
        <v/>
      </c>
      <c r="F1968" s="27" t="str">
        <f>IF('Paste SD Data'!G1965="","",UPPER('Paste SD Data'!G1965))</f>
        <v/>
      </c>
      <c r="G1968" s="27" t="str">
        <f>IF('Paste SD Data'!H1965="","",UPPER('Paste SD Data'!H1965))</f>
        <v/>
      </c>
      <c r="H1968" s="26" t="str">
        <f>IF('Paste SD Data'!I1965="","",IF('Paste SD Data'!I1965="M","BOY","GIRL"))</f>
        <v/>
      </c>
      <c r="I1968" s="28" t="str">
        <f>IF('Paste SD Data'!J1965="","",'Paste SD Data'!J1965)</f>
        <v/>
      </c>
      <c r="J1968" s="34">
        <f t="shared" si="30"/>
        <v>2394</v>
      </c>
      <c r="K1968" s="29" t="str">
        <f>IF('Paste SD Data'!O1965="","",'Paste SD Data'!O1965)</f>
        <v/>
      </c>
    </row>
    <row r="1969" spans="1:11" ht="30" customHeight="1" x14ac:dyDescent="0.25">
      <c r="A1969" s="25" t="str">
        <f>IF(Table1[[#This Row],[Name of Student]]="","",ROWS($A$1:A1965))</f>
        <v/>
      </c>
      <c r="B1969" s="26" t="str">
        <f>IF('Paste SD Data'!A1966="","",'Paste SD Data'!A1966)</f>
        <v/>
      </c>
      <c r="C1969" s="26" t="str">
        <f>IF('Paste SD Data'!B1966="","",'Paste SD Data'!B1966)</f>
        <v/>
      </c>
      <c r="D1969" s="26" t="str">
        <f>IF('Paste SD Data'!C1966="","",'Paste SD Data'!C1966)</f>
        <v/>
      </c>
      <c r="E1969" s="27" t="str">
        <f>IF('Paste SD Data'!E1966="","",UPPER('Paste SD Data'!E1966))</f>
        <v/>
      </c>
      <c r="F1969" s="27" t="str">
        <f>IF('Paste SD Data'!G1966="","",UPPER('Paste SD Data'!G1966))</f>
        <v/>
      </c>
      <c r="G1969" s="27" t="str">
        <f>IF('Paste SD Data'!H1966="","",UPPER('Paste SD Data'!H1966))</f>
        <v/>
      </c>
      <c r="H1969" s="26" t="str">
        <f>IF('Paste SD Data'!I1966="","",IF('Paste SD Data'!I1966="M","BOY","GIRL"))</f>
        <v/>
      </c>
      <c r="I1969" s="28" t="str">
        <f>IF('Paste SD Data'!J1966="","",'Paste SD Data'!J1966)</f>
        <v/>
      </c>
      <c r="J1969" s="34">
        <f t="shared" si="30"/>
        <v>2395</v>
      </c>
      <c r="K1969" s="29" t="str">
        <f>IF('Paste SD Data'!O1966="","",'Paste SD Data'!O1966)</f>
        <v/>
      </c>
    </row>
    <row r="1970" spans="1:11" ht="30" customHeight="1" x14ac:dyDescent="0.25">
      <c r="A1970" s="25" t="str">
        <f>IF(Table1[[#This Row],[Name of Student]]="","",ROWS($A$1:A1966))</f>
        <v/>
      </c>
      <c r="B1970" s="26" t="str">
        <f>IF('Paste SD Data'!A1967="","",'Paste SD Data'!A1967)</f>
        <v/>
      </c>
      <c r="C1970" s="26" t="str">
        <f>IF('Paste SD Data'!B1967="","",'Paste SD Data'!B1967)</f>
        <v/>
      </c>
      <c r="D1970" s="26" t="str">
        <f>IF('Paste SD Data'!C1967="","",'Paste SD Data'!C1967)</f>
        <v/>
      </c>
      <c r="E1970" s="27" t="str">
        <f>IF('Paste SD Data'!E1967="","",UPPER('Paste SD Data'!E1967))</f>
        <v/>
      </c>
      <c r="F1970" s="27" t="str">
        <f>IF('Paste SD Data'!G1967="","",UPPER('Paste SD Data'!G1967))</f>
        <v/>
      </c>
      <c r="G1970" s="27" t="str">
        <f>IF('Paste SD Data'!H1967="","",UPPER('Paste SD Data'!H1967))</f>
        <v/>
      </c>
      <c r="H1970" s="26" t="str">
        <f>IF('Paste SD Data'!I1967="","",IF('Paste SD Data'!I1967="M","BOY","GIRL"))</f>
        <v/>
      </c>
      <c r="I1970" s="28" t="str">
        <f>IF('Paste SD Data'!J1967="","",'Paste SD Data'!J1967)</f>
        <v/>
      </c>
      <c r="J1970" s="34">
        <f t="shared" si="30"/>
        <v>2396</v>
      </c>
      <c r="K1970" s="29" t="str">
        <f>IF('Paste SD Data'!O1967="","",'Paste SD Data'!O1967)</f>
        <v/>
      </c>
    </row>
    <row r="1971" spans="1:11" ht="30" customHeight="1" x14ac:dyDescent="0.25">
      <c r="A1971" s="25" t="str">
        <f>IF(Table1[[#This Row],[Name of Student]]="","",ROWS($A$1:A1967))</f>
        <v/>
      </c>
      <c r="B1971" s="26" t="str">
        <f>IF('Paste SD Data'!A1968="","",'Paste SD Data'!A1968)</f>
        <v/>
      </c>
      <c r="C1971" s="26" t="str">
        <f>IF('Paste SD Data'!B1968="","",'Paste SD Data'!B1968)</f>
        <v/>
      </c>
      <c r="D1971" s="26" t="str">
        <f>IF('Paste SD Data'!C1968="","",'Paste SD Data'!C1968)</f>
        <v/>
      </c>
      <c r="E1971" s="27" t="str">
        <f>IF('Paste SD Data'!E1968="","",UPPER('Paste SD Data'!E1968))</f>
        <v/>
      </c>
      <c r="F1971" s="27" t="str">
        <f>IF('Paste SD Data'!G1968="","",UPPER('Paste SD Data'!G1968))</f>
        <v/>
      </c>
      <c r="G1971" s="27" t="str">
        <f>IF('Paste SD Data'!H1968="","",UPPER('Paste SD Data'!H1968))</f>
        <v/>
      </c>
      <c r="H1971" s="26" t="str">
        <f>IF('Paste SD Data'!I1968="","",IF('Paste SD Data'!I1968="M","BOY","GIRL"))</f>
        <v/>
      </c>
      <c r="I1971" s="28" t="str">
        <f>IF('Paste SD Data'!J1968="","",'Paste SD Data'!J1968)</f>
        <v/>
      </c>
      <c r="J1971" s="34">
        <f t="shared" si="30"/>
        <v>2397</v>
      </c>
      <c r="K1971" s="29" t="str">
        <f>IF('Paste SD Data'!O1968="","",'Paste SD Data'!O1968)</f>
        <v/>
      </c>
    </row>
    <row r="1972" spans="1:11" ht="30" customHeight="1" x14ac:dyDescent="0.25">
      <c r="A1972" s="25" t="str">
        <f>IF(Table1[[#This Row],[Name of Student]]="","",ROWS($A$1:A1968))</f>
        <v/>
      </c>
      <c r="B1972" s="26" t="str">
        <f>IF('Paste SD Data'!A1969="","",'Paste SD Data'!A1969)</f>
        <v/>
      </c>
      <c r="C1972" s="26" t="str">
        <f>IF('Paste SD Data'!B1969="","",'Paste SD Data'!B1969)</f>
        <v/>
      </c>
      <c r="D1972" s="26" t="str">
        <f>IF('Paste SD Data'!C1969="","",'Paste SD Data'!C1969)</f>
        <v/>
      </c>
      <c r="E1972" s="27" t="str">
        <f>IF('Paste SD Data'!E1969="","",UPPER('Paste SD Data'!E1969))</f>
        <v/>
      </c>
      <c r="F1972" s="27" t="str">
        <f>IF('Paste SD Data'!G1969="","",UPPER('Paste SD Data'!G1969))</f>
        <v/>
      </c>
      <c r="G1972" s="27" t="str">
        <f>IF('Paste SD Data'!H1969="","",UPPER('Paste SD Data'!H1969))</f>
        <v/>
      </c>
      <c r="H1972" s="26" t="str">
        <f>IF('Paste SD Data'!I1969="","",IF('Paste SD Data'!I1969="M","BOY","GIRL"))</f>
        <v/>
      </c>
      <c r="I1972" s="28" t="str">
        <f>IF('Paste SD Data'!J1969="","",'Paste SD Data'!J1969)</f>
        <v/>
      </c>
      <c r="J1972" s="34">
        <f t="shared" si="30"/>
        <v>2398</v>
      </c>
      <c r="K1972" s="29" t="str">
        <f>IF('Paste SD Data'!O1969="","",'Paste SD Data'!O1969)</f>
        <v/>
      </c>
    </row>
    <row r="1973" spans="1:11" ht="30" customHeight="1" x14ac:dyDescent="0.25">
      <c r="A1973" s="25" t="str">
        <f>IF(Table1[[#This Row],[Name of Student]]="","",ROWS($A$1:A1969))</f>
        <v/>
      </c>
      <c r="B1973" s="26" t="str">
        <f>IF('Paste SD Data'!A1970="","",'Paste SD Data'!A1970)</f>
        <v/>
      </c>
      <c r="C1973" s="26" t="str">
        <f>IF('Paste SD Data'!B1970="","",'Paste SD Data'!B1970)</f>
        <v/>
      </c>
      <c r="D1973" s="26" t="str">
        <f>IF('Paste SD Data'!C1970="","",'Paste SD Data'!C1970)</f>
        <v/>
      </c>
      <c r="E1973" s="27" t="str">
        <f>IF('Paste SD Data'!E1970="","",UPPER('Paste SD Data'!E1970))</f>
        <v/>
      </c>
      <c r="F1973" s="27" t="str">
        <f>IF('Paste SD Data'!G1970="","",UPPER('Paste SD Data'!G1970))</f>
        <v/>
      </c>
      <c r="G1973" s="27" t="str">
        <f>IF('Paste SD Data'!H1970="","",UPPER('Paste SD Data'!H1970))</f>
        <v/>
      </c>
      <c r="H1973" s="26" t="str">
        <f>IF('Paste SD Data'!I1970="","",IF('Paste SD Data'!I1970="M","BOY","GIRL"))</f>
        <v/>
      </c>
      <c r="I1973" s="28" t="str">
        <f>IF('Paste SD Data'!J1970="","",'Paste SD Data'!J1970)</f>
        <v/>
      </c>
      <c r="J1973" s="34">
        <f t="shared" si="30"/>
        <v>2399</v>
      </c>
      <c r="K1973" s="29" t="str">
        <f>IF('Paste SD Data'!O1970="","",'Paste SD Data'!O1970)</f>
        <v/>
      </c>
    </row>
    <row r="1974" spans="1:11" ht="30" customHeight="1" x14ac:dyDescent="0.25">
      <c r="A1974" s="25" t="str">
        <f>IF(Table1[[#This Row],[Name of Student]]="","",ROWS($A$1:A1970))</f>
        <v/>
      </c>
      <c r="B1974" s="26" t="str">
        <f>IF('Paste SD Data'!A1971="","",'Paste SD Data'!A1971)</f>
        <v/>
      </c>
      <c r="C1974" s="26" t="str">
        <f>IF('Paste SD Data'!B1971="","",'Paste SD Data'!B1971)</f>
        <v/>
      </c>
      <c r="D1974" s="26" t="str">
        <f>IF('Paste SD Data'!C1971="","",'Paste SD Data'!C1971)</f>
        <v/>
      </c>
      <c r="E1974" s="27" t="str">
        <f>IF('Paste SD Data'!E1971="","",UPPER('Paste SD Data'!E1971))</f>
        <v/>
      </c>
      <c r="F1974" s="27" t="str">
        <f>IF('Paste SD Data'!G1971="","",UPPER('Paste SD Data'!G1971))</f>
        <v/>
      </c>
      <c r="G1974" s="27" t="str">
        <f>IF('Paste SD Data'!H1971="","",UPPER('Paste SD Data'!H1971))</f>
        <v/>
      </c>
      <c r="H1974" s="26" t="str">
        <f>IF('Paste SD Data'!I1971="","",IF('Paste SD Data'!I1971="M","BOY","GIRL"))</f>
        <v/>
      </c>
      <c r="I1974" s="28" t="str">
        <f>IF('Paste SD Data'!J1971="","",'Paste SD Data'!J1971)</f>
        <v/>
      </c>
      <c r="J1974" s="34">
        <f t="shared" si="30"/>
        <v>2400</v>
      </c>
      <c r="K1974" s="29" t="str">
        <f>IF('Paste SD Data'!O1971="","",'Paste SD Data'!O1971)</f>
        <v/>
      </c>
    </row>
    <row r="1975" spans="1:11" ht="30" customHeight="1" x14ac:dyDescent="0.25">
      <c r="A1975" s="25" t="str">
        <f>IF(Table1[[#This Row],[Name of Student]]="","",ROWS($A$1:A1971))</f>
        <v/>
      </c>
      <c r="B1975" s="26" t="str">
        <f>IF('Paste SD Data'!A1972="","",'Paste SD Data'!A1972)</f>
        <v/>
      </c>
      <c r="C1975" s="26" t="str">
        <f>IF('Paste SD Data'!B1972="","",'Paste SD Data'!B1972)</f>
        <v/>
      </c>
      <c r="D1975" s="26" t="str">
        <f>IF('Paste SD Data'!C1972="","",'Paste SD Data'!C1972)</f>
        <v/>
      </c>
      <c r="E1975" s="27" t="str">
        <f>IF('Paste SD Data'!E1972="","",UPPER('Paste SD Data'!E1972))</f>
        <v/>
      </c>
      <c r="F1975" s="27" t="str">
        <f>IF('Paste SD Data'!G1972="","",UPPER('Paste SD Data'!G1972))</f>
        <v/>
      </c>
      <c r="G1975" s="27" t="str">
        <f>IF('Paste SD Data'!H1972="","",UPPER('Paste SD Data'!H1972))</f>
        <v/>
      </c>
      <c r="H1975" s="26" t="str">
        <f>IF('Paste SD Data'!I1972="","",IF('Paste SD Data'!I1972="M","BOY","GIRL"))</f>
        <v/>
      </c>
      <c r="I1975" s="28" t="str">
        <f>IF('Paste SD Data'!J1972="","",'Paste SD Data'!J1972)</f>
        <v/>
      </c>
      <c r="J1975" s="34">
        <f t="shared" si="30"/>
        <v>2401</v>
      </c>
      <c r="K1975" s="29" t="str">
        <f>IF('Paste SD Data'!O1972="","",'Paste SD Data'!O1972)</f>
        <v/>
      </c>
    </row>
    <row r="1976" spans="1:11" ht="30" customHeight="1" x14ac:dyDescent="0.25">
      <c r="A1976" s="25" t="str">
        <f>IF(Table1[[#This Row],[Name of Student]]="","",ROWS($A$1:A1972))</f>
        <v/>
      </c>
      <c r="B1976" s="26" t="str">
        <f>IF('Paste SD Data'!A1973="","",'Paste SD Data'!A1973)</f>
        <v/>
      </c>
      <c r="C1976" s="26" t="str">
        <f>IF('Paste SD Data'!B1973="","",'Paste SD Data'!B1973)</f>
        <v/>
      </c>
      <c r="D1976" s="26" t="str">
        <f>IF('Paste SD Data'!C1973="","",'Paste SD Data'!C1973)</f>
        <v/>
      </c>
      <c r="E1976" s="27" t="str">
        <f>IF('Paste SD Data'!E1973="","",UPPER('Paste SD Data'!E1973))</f>
        <v/>
      </c>
      <c r="F1976" s="27" t="str">
        <f>IF('Paste SD Data'!G1973="","",UPPER('Paste SD Data'!G1973))</f>
        <v/>
      </c>
      <c r="G1976" s="27" t="str">
        <f>IF('Paste SD Data'!H1973="","",UPPER('Paste SD Data'!H1973))</f>
        <v/>
      </c>
      <c r="H1976" s="26" t="str">
        <f>IF('Paste SD Data'!I1973="","",IF('Paste SD Data'!I1973="M","BOY","GIRL"))</f>
        <v/>
      </c>
      <c r="I1976" s="28" t="str">
        <f>IF('Paste SD Data'!J1973="","",'Paste SD Data'!J1973)</f>
        <v/>
      </c>
      <c r="J1976" s="34">
        <f t="shared" si="30"/>
        <v>2402</v>
      </c>
      <c r="K1976" s="29" t="str">
        <f>IF('Paste SD Data'!O1973="","",'Paste SD Data'!O1973)</f>
        <v/>
      </c>
    </row>
    <row r="1977" spans="1:11" ht="30" customHeight="1" x14ac:dyDescent="0.25">
      <c r="A1977" s="25" t="str">
        <f>IF(Table1[[#This Row],[Name of Student]]="","",ROWS($A$1:A1973))</f>
        <v/>
      </c>
      <c r="B1977" s="26" t="str">
        <f>IF('Paste SD Data'!A1974="","",'Paste SD Data'!A1974)</f>
        <v/>
      </c>
      <c r="C1977" s="26" t="str">
        <f>IF('Paste SD Data'!B1974="","",'Paste SD Data'!B1974)</f>
        <v/>
      </c>
      <c r="D1977" s="26" t="str">
        <f>IF('Paste SD Data'!C1974="","",'Paste SD Data'!C1974)</f>
        <v/>
      </c>
      <c r="E1977" s="27" t="str">
        <f>IF('Paste SD Data'!E1974="","",UPPER('Paste SD Data'!E1974))</f>
        <v/>
      </c>
      <c r="F1977" s="27" t="str">
        <f>IF('Paste SD Data'!G1974="","",UPPER('Paste SD Data'!G1974))</f>
        <v/>
      </c>
      <c r="G1977" s="27" t="str">
        <f>IF('Paste SD Data'!H1974="","",UPPER('Paste SD Data'!H1974))</f>
        <v/>
      </c>
      <c r="H1977" s="26" t="str">
        <f>IF('Paste SD Data'!I1974="","",IF('Paste SD Data'!I1974="M","BOY","GIRL"))</f>
        <v/>
      </c>
      <c r="I1977" s="28" t="str">
        <f>IF('Paste SD Data'!J1974="","",'Paste SD Data'!J1974)</f>
        <v/>
      </c>
      <c r="J1977" s="34">
        <f t="shared" si="30"/>
        <v>2403</v>
      </c>
      <c r="K1977" s="29" t="str">
        <f>IF('Paste SD Data'!O1974="","",'Paste SD Data'!O1974)</f>
        <v/>
      </c>
    </row>
    <row r="1978" spans="1:11" ht="30" customHeight="1" x14ac:dyDescent="0.25">
      <c r="A1978" s="25" t="str">
        <f>IF(Table1[[#This Row],[Name of Student]]="","",ROWS($A$1:A1974))</f>
        <v/>
      </c>
      <c r="B1978" s="26" t="str">
        <f>IF('Paste SD Data'!A1975="","",'Paste SD Data'!A1975)</f>
        <v/>
      </c>
      <c r="C1978" s="26" t="str">
        <f>IF('Paste SD Data'!B1975="","",'Paste SD Data'!B1975)</f>
        <v/>
      </c>
      <c r="D1978" s="26" t="str">
        <f>IF('Paste SD Data'!C1975="","",'Paste SD Data'!C1975)</f>
        <v/>
      </c>
      <c r="E1978" s="27" t="str">
        <f>IF('Paste SD Data'!E1975="","",UPPER('Paste SD Data'!E1975))</f>
        <v/>
      </c>
      <c r="F1978" s="27" t="str">
        <f>IF('Paste SD Data'!G1975="","",UPPER('Paste SD Data'!G1975))</f>
        <v/>
      </c>
      <c r="G1978" s="27" t="str">
        <f>IF('Paste SD Data'!H1975="","",UPPER('Paste SD Data'!H1975))</f>
        <v/>
      </c>
      <c r="H1978" s="26" t="str">
        <f>IF('Paste SD Data'!I1975="","",IF('Paste SD Data'!I1975="M","BOY","GIRL"))</f>
        <v/>
      </c>
      <c r="I1978" s="28" t="str">
        <f>IF('Paste SD Data'!J1975="","",'Paste SD Data'!J1975)</f>
        <v/>
      </c>
      <c r="J1978" s="34">
        <f t="shared" si="30"/>
        <v>2404</v>
      </c>
      <c r="K1978" s="29" t="str">
        <f>IF('Paste SD Data'!O1975="","",'Paste SD Data'!O1975)</f>
        <v/>
      </c>
    </row>
    <row r="1979" spans="1:11" ht="30" customHeight="1" x14ac:dyDescent="0.25">
      <c r="A1979" s="25" t="str">
        <f>IF(Table1[[#This Row],[Name of Student]]="","",ROWS($A$1:A1975))</f>
        <v/>
      </c>
      <c r="B1979" s="26" t="str">
        <f>IF('Paste SD Data'!A1976="","",'Paste SD Data'!A1976)</f>
        <v/>
      </c>
      <c r="C1979" s="26" t="str">
        <f>IF('Paste SD Data'!B1976="","",'Paste SD Data'!B1976)</f>
        <v/>
      </c>
      <c r="D1979" s="26" t="str">
        <f>IF('Paste SD Data'!C1976="","",'Paste SD Data'!C1976)</f>
        <v/>
      </c>
      <c r="E1979" s="27" t="str">
        <f>IF('Paste SD Data'!E1976="","",UPPER('Paste SD Data'!E1976))</f>
        <v/>
      </c>
      <c r="F1979" s="27" t="str">
        <f>IF('Paste SD Data'!G1976="","",UPPER('Paste SD Data'!G1976))</f>
        <v/>
      </c>
      <c r="G1979" s="27" t="str">
        <f>IF('Paste SD Data'!H1976="","",UPPER('Paste SD Data'!H1976))</f>
        <v/>
      </c>
      <c r="H1979" s="26" t="str">
        <f>IF('Paste SD Data'!I1976="","",IF('Paste SD Data'!I1976="M","BOY","GIRL"))</f>
        <v/>
      </c>
      <c r="I1979" s="28" t="str">
        <f>IF('Paste SD Data'!J1976="","",'Paste SD Data'!J1976)</f>
        <v/>
      </c>
      <c r="J1979" s="34">
        <f t="shared" si="30"/>
        <v>2405</v>
      </c>
      <c r="K1979" s="29" t="str">
        <f>IF('Paste SD Data'!O1976="","",'Paste SD Data'!O1976)</f>
        <v/>
      </c>
    </row>
    <row r="1980" spans="1:11" ht="30" customHeight="1" x14ac:dyDescent="0.25">
      <c r="A1980" s="25" t="str">
        <f>IF(Table1[[#This Row],[Name of Student]]="","",ROWS($A$1:A1976))</f>
        <v/>
      </c>
      <c r="B1980" s="26" t="str">
        <f>IF('Paste SD Data'!A1977="","",'Paste SD Data'!A1977)</f>
        <v/>
      </c>
      <c r="C1980" s="26" t="str">
        <f>IF('Paste SD Data'!B1977="","",'Paste SD Data'!B1977)</f>
        <v/>
      </c>
      <c r="D1980" s="26" t="str">
        <f>IF('Paste SD Data'!C1977="","",'Paste SD Data'!C1977)</f>
        <v/>
      </c>
      <c r="E1980" s="27" t="str">
        <f>IF('Paste SD Data'!E1977="","",UPPER('Paste SD Data'!E1977))</f>
        <v/>
      </c>
      <c r="F1980" s="27" t="str">
        <f>IF('Paste SD Data'!G1977="","",UPPER('Paste SD Data'!G1977))</f>
        <v/>
      </c>
      <c r="G1980" s="27" t="str">
        <f>IF('Paste SD Data'!H1977="","",UPPER('Paste SD Data'!H1977))</f>
        <v/>
      </c>
      <c r="H1980" s="26" t="str">
        <f>IF('Paste SD Data'!I1977="","",IF('Paste SD Data'!I1977="M","BOY","GIRL"))</f>
        <v/>
      </c>
      <c r="I1980" s="28" t="str">
        <f>IF('Paste SD Data'!J1977="","",'Paste SD Data'!J1977)</f>
        <v/>
      </c>
      <c r="J1980" s="34">
        <f t="shared" si="30"/>
        <v>2406</v>
      </c>
      <c r="K1980" s="29" t="str">
        <f>IF('Paste SD Data'!O1977="","",'Paste SD Data'!O1977)</f>
        <v/>
      </c>
    </row>
    <row r="1981" spans="1:11" ht="30" customHeight="1" x14ac:dyDescent="0.25">
      <c r="A1981" s="25" t="str">
        <f>IF(Table1[[#This Row],[Name of Student]]="","",ROWS($A$1:A1977))</f>
        <v/>
      </c>
      <c r="B1981" s="26" t="str">
        <f>IF('Paste SD Data'!A1978="","",'Paste SD Data'!A1978)</f>
        <v/>
      </c>
      <c r="C1981" s="26" t="str">
        <f>IF('Paste SD Data'!B1978="","",'Paste SD Data'!B1978)</f>
        <v/>
      </c>
      <c r="D1981" s="26" t="str">
        <f>IF('Paste SD Data'!C1978="","",'Paste SD Data'!C1978)</f>
        <v/>
      </c>
      <c r="E1981" s="27" t="str">
        <f>IF('Paste SD Data'!E1978="","",UPPER('Paste SD Data'!E1978))</f>
        <v/>
      </c>
      <c r="F1981" s="27" t="str">
        <f>IF('Paste SD Data'!G1978="","",UPPER('Paste SD Data'!G1978))</f>
        <v/>
      </c>
      <c r="G1981" s="27" t="str">
        <f>IF('Paste SD Data'!H1978="","",UPPER('Paste SD Data'!H1978))</f>
        <v/>
      </c>
      <c r="H1981" s="26" t="str">
        <f>IF('Paste SD Data'!I1978="","",IF('Paste SD Data'!I1978="M","BOY","GIRL"))</f>
        <v/>
      </c>
      <c r="I1981" s="28" t="str">
        <f>IF('Paste SD Data'!J1978="","",'Paste SD Data'!J1978)</f>
        <v/>
      </c>
      <c r="J1981" s="34">
        <f t="shared" si="30"/>
        <v>2407</v>
      </c>
      <c r="K1981" s="29" t="str">
        <f>IF('Paste SD Data'!O1978="","",'Paste SD Data'!O1978)</f>
        <v/>
      </c>
    </row>
    <row r="1982" spans="1:11" ht="30" customHeight="1" x14ac:dyDescent="0.25">
      <c r="A1982" s="25" t="str">
        <f>IF(Table1[[#This Row],[Name of Student]]="","",ROWS($A$1:A1978))</f>
        <v/>
      </c>
      <c r="B1982" s="26" t="str">
        <f>IF('Paste SD Data'!A1979="","",'Paste SD Data'!A1979)</f>
        <v/>
      </c>
      <c r="C1982" s="26" t="str">
        <f>IF('Paste SD Data'!B1979="","",'Paste SD Data'!B1979)</f>
        <v/>
      </c>
      <c r="D1982" s="26" t="str">
        <f>IF('Paste SD Data'!C1979="","",'Paste SD Data'!C1979)</f>
        <v/>
      </c>
      <c r="E1982" s="27" t="str">
        <f>IF('Paste SD Data'!E1979="","",UPPER('Paste SD Data'!E1979))</f>
        <v/>
      </c>
      <c r="F1982" s="27" t="str">
        <f>IF('Paste SD Data'!G1979="","",UPPER('Paste SD Data'!G1979))</f>
        <v/>
      </c>
      <c r="G1982" s="27" t="str">
        <f>IF('Paste SD Data'!H1979="","",UPPER('Paste SD Data'!H1979))</f>
        <v/>
      </c>
      <c r="H1982" s="26" t="str">
        <f>IF('Paste SD Data'!I1979="","",IF('Paste SD Data'!I1979="M","BOY","GIRL"))</f>
        <v/>
      </c>
      <c r="I1982" s="28" t="str">
        <f>IF('Paste SD Data'!J1979="","",'Paste SD Data'!J1979)</f>
        <v/>
      </c>
      <c r="J1982" s="34">
        <f t="shared" si="30"/>
        <v>2408</v>
      </c>
      <c r="K1982" s="29" t="str">
        <f>IF('Paste SD Data'!O1979="","",'Paste SD Data'!O1979)</f>
        <v/>
      </c>
    </row>
    <row r="1983" spans="1:11" ht="30" customHeight="1" x14ac:dyDescent="0.25">
      <c r="A1983" s="25" t="str">
        <f>IF(Table1[[#This Row],[Name of Student]]="","",ROWS($A$1:A1979))</f>
        <v/>
      </c>
      <c r="B1983" s="26" t="str">
        <f>IF('Paste SD Data'!A1980="","",'Paste SD Data'!A1980)</f>
        <v/>
      </c>
      <c r="C1983" s="26" t="str">
        <f>IF('Paste SD Data'!B1980="","",'Paste SD Data'!B1980)</f>
        <v/>
      </c>
      <c r="D1983" s="26" t="str">
        <f>IF('Paste SD Data'!C1980="","",'Paste SD Data'!C1980)</f>
        <v/>
      </c>
      <c r="E1983" s="27" t="str">
        <f>IF('Paste SD Data'!E1980="","",UPPER('Paste SD Data'!E1980))</f>
        <v/>
      </c>
      <c r="F1983" s="27" t="str">
        <f>IF('Paste SD Data'!G1980="","",UPPER('Paste SD Data'!G1980))</f>
        <v/>
      </c>
      <c r="G1983" s="27" t="str">
        <f>IF('Paste SD Data'!H1980="","",UPPER('Paste SD Data'!H1980))</f>
        <v/>
      </c>
      <c r="H1983" s="26" t="str">
        <f>IF('Paste SD Data'!I1980="","",IF('Paste SD Data'!I1980="M","BOY","GIRL"))</f>
        <v/>
      </c>
      <c r="I1983" s="28" t="str">
        <f>IF('Paste SD Data'!J1980="","",'Paste SD Data'!J1980)</f>
        <v/>
      </c>
      <c r="J1983" s="34">
        <f t="shared" si="30"/>
        <v>2409</v>
      </c>
      <c r="K1983" s="29" t="str">
        <f>IF('Paste SD Data'!O1980="","",'Paste SD Data'!O1980)</f>
        <v/>
      </c>
    </row>
    <row r="1984" spans="1:11" ht="30" customHeight="1" x14ac:dyDescent="0.25">
      <c r="A1984" s="25" t="str">
        <f>IF(Table1[[#This Row],[Name of Student]]="","",ROWS($A$1:A1980))</f>
        <v/>
      </c>
      <c r="B1984" s="26" t="str">
        <f>IF('Paste SD Data'!A1981="","",'Paste SD Data'!A1981)</f>
        <v/>
      </c>
      <c r="C1984" s="26" t="str">
        <f>IF('Paste SD Data'!B1981="","",'Paste SD Data'!B1981)</f>
        <v/>
      </c>
      <c r="D1984" s="26" t="str">
        <f>IF('Paste SD Data'!C1981="","",'Paste SD Data'!C1981)</f>
        <v/>
      </c>
      <c r="E1984" s="27" t="str">
        <f>IF('Paste SD Data'!E1981="","",UPPER('Paste SD Data'!E1981))</f>
        <v/>
      </c>
      <c r="F1984" s="27" t="str">
        <f>IF('Paste SD Data'!G1981="","",UPPER('Paste SD Data'!G1981))</f>
        <v/>
      </c>
      <c r="G1984" s="27" t="str">
        <f>IF('Paste SD Data'!H1981="","",UPPER('Paste SD Data'!H1981))</f>
        <v/>
      </c>
      <c r="H1984" s="26" t="str">
        <f>IF('Paste SD Data'!I1981="","",IF('Paste SD Data'!I1981="M","BOY","GIRL"))</f>
        <v/>
      </c>
      <c r="I1984" s="28" t="str">
        <f>IF('Paste SD Data'!J1981="","",'Paste SD Data'!J1981)</f>
        <v/>
      </c>
      <c r="J1984" s="34">
        <f t="shared" si="30"/>
        <v>2410</v>
      </c>
      <c r="K1984" s="29" t="str">
        <f>IF('Paste SD Data'!O1981="","",'Paste SD Data'!O1981)</f>
        <v/>
      </c>
    </row>
    <row r="1985" spans="1:11" ht="30" customHeight="1" x14ac:dyDescent="0.25">
      <c r="A1985" s="25" t="str">
        <f>IF(Table1[[#This Row],[Name of Student]]="","",ROWS($A$1:A1981))</f>
        <v/>
      </c>
      <c r="B1985" s="26" t="str">
        <f>IF('Paste SD Data'!A1982="","",'Paste SD Data'!A1982)</f>
        <v/>
      </c>
      <c r="C1985" s="26" t="str">
        <f>IF('Paste SD Data'!B1982="","",'Paste SD Data'!B1982)</f>
        <v/>
      </c>
      <c r="D1985" s="26" t="str">
        <f>IF('Paste SD Data'!C1982="","",'Paste SD Data'!C1982)</f>
        <v/>
      </c>
      <c r="E1985" s="27" t="str">
        <f>IF('Paste SD Data'!E1982="","",UPPER('Paste SD Data'!E1982))</f>
        <v/>
      </c>
      <c r="F1985" s="27" t="str">
        <f>IF('Paste SD Data'!G1982="","",UPPER('Paste SD Data'!G1982))</f>
        <v/>
      </c>
      <c r="G1985" s="27" t="str">
        <f>IF('Paste SD Data'!H1982="","",UPPER('Paste SD Data'!H1982))</f>
        <v/>
      </c>
      <c r="H1985" s="26" t="str">
        <f>IF('Paste SD Data'!I1982="","",IF('Paste SD Data'!I1982="M","BOY","GIRL"))</f>
        <v/>
      </c>
      <c r="I1985" s="28" t="str">
        <f>IF('Paste SD Data'!J1982="","",'Paste SD Data'!J1982)</f>
        <v/>
      </c>
      <c r="J1985" s="34">
        <f t="shared" si="30"/>
        <v>2411</v>
      </c>
      <c r="K1985" s="29" t="str">
        <f>IF('Paste SD Data'!O1982="","",'Paste SD Data'!O1982)</f>
        <v/>
      </c>
    </row>
    <row r="1986" spans="1:11" ht="30" customHeight="1" x14ac:dyDescent="0.25">
      <c r="A1986" s="25" t="str">
        <f>IF(Table1[[#This Row],[Name of Student]]="","",ROWS($A$1:A1982))</f>
        <v/>
      </c>
      <c r="B1986" s="26" t="str">
        <f>IF('Paste SD Data'!A1983="","",'Paste SD Data'!A1983)</f>
        <v/>
      </c>
      <c r="C1986" s="26" t="str">
        <f>IF('Paste SD Data'!B1983="","",'Paste SD Data'!B1983)</f>
        <v/>
      </c>
      <c r="D1986" s="26" t="str">
        <f>IF('Paste SD Data'!C1983="","",'Paste SD Data'!C1983)</f>
        <v/>
      </c>
      <c r="E1986" s="27" t="str">
        <f>IF('Paste SD Data'!E1983="","",UPPER('Paste SD Data'!E1983))</f>
        <v/>
      </c>
      <c r="F1986" s="27" t="str">
        <f>IF('Paste SD Data'!G1983="","",UPPER('Paste SD Data'!G1983))</f>
        <v/>
      </c>
      <c r="G1986" s="27" t="str">
        <f>IF('Paste SD Data'!H1983="","",UPPER('Paste SD Data'!H1983))</f>
        <v/>
      </c>
      <c r="H1986" s="26" t="str">
        <f>IF('Paste SD Data'!I1983="","",IF('Paste SD Data'!I1983="M","BOY","GIRL"))</f>
        <v/>
      </c>
      <c r="I1986" s="28" t="str">
        <f>IF('Paste SD Data'!J1983="","",'Paste SD Data'!J1983)</f>
        <v/>
      </c>
      <c r="J1986" s="34">
        <f t="shared" si="30"/>
        <v>2412</v>
      </c>
      <c r="K1986" s="29" t="str">
        <f>IF('Paste SD Data'!O1983="","",'Paste SD Data'!O1983)</f>
        <v/>
      </c>
    </row>
    <row r="1987" spans="1:11" ht="30" customHeight="1" x14ac:dyDescent="0.25">
      <c r="A1987" s="25" t="str">
        <f>IF(Table1[[#This Row],[Name of Student]]="","",ROWS($A$1:A1983))</f>
        <v/>
      </c>
      <c r="B1987" s="26" t="str">
        <f>IF('Paste SD Data'!A1984="","",'Paste SD Data'!A1984)</f>
        <v/>
      </c>
      <c r="C1987" s="26" t="str">
        <f>IF('Paste SD Data'!B1984="","",'Paste SD Data'!B1984)</f>
        <v/>
      </c>
      <c r="D1987" s="26" t="str">
        <f>IF('Paste SD Data'!C1984="","",'Paste SD Data'!C1984)</f>
        <v/>
      </c>
      <c r="E1987" s="27" t="str">
        <f>IF('Paste SD Data'!E1984="","",UPPER('Paste SD Data'!E1984))</f>
        <v/>
      </c>
      <c r="F1987" s="27" t="str">
        <f>IF('Paste SD Data'!G1984="","",UPPER('Paste SD Data'!G1984))</f>
        <v/>
      </c>
      <c r="G1987" s="27" t="str">
        <f>IF('Paste SD Data'!H1984="","",UPPER('Paste SD Data'!H1984))</f>
        <v/>
      </c>
      <c r="H1987" s="26" t="str">
        <f>IF('Paste SD Data'!I1984="","",IF('Paste SD Data'!I1984="M","BOY","GIRL"))</f>
        <v/>
      </c>
      <c r="I1987" s="28" t="str">
        <f>IF('Paste SD Data'!J1984="","",'Paste SD Data'!J1984)</f>
        <v/>
      </c>
      <c r="J1987" s="34">
        <f t="shared" si="30"/>
        <v>2413</v>
      </c>
      <c r="K1987" s="29" t="str">
        <f>IF('Paste SD Data'!O1984="","",'Paste SD Data'!O1984)</f>
        <v/>
      </c>
    </row>
    <row r="1988" spans="1:11" ht="30" customHeight="1" x14ac:dyDescent="0.25">
      <c r="A1988" s="25" t="str">
        <f>IF(Table1[[#This Row],[Name of Student]]="","",ROWS($A$1:A1984))</f>
        <v/>
      </c>
      <c r="B1988" s="26" t="str">
        <f>IF('Paste SD Data'!A1985="","",'Paste SD Data'!A1985)</f>
        <v/>
      </c>
      <c r="C1988" s="26" t="str">
        <f>IF('Paste SD Data'!B1985="","",'Paste SD Data'!B1985)</f>
        <v/>
      </c>
      <c r="D1988" s="26" t="str">
        <f>IF('Paste SD Data'!C1985="","",'Paste SD Data'!C1985)</f>
        <v/>
      </c>
      <c r="E1988" s="27" t="str">
        <f>IF('Paste SD Data'!E1985="","",UPPER('Paste SD Data'!E1985))</f>
        <v/>
      </c>
      <c r="F1988" s="27" t="str">
        <f>IF('Paste SD Data'!G1985="","",UPPER('Paste SD Data'!G1985))</f>
        <v/>
      </c>
      <c r="G1988" s="27" t="str">
        <f>IF('Paste SD Data'!H1985="","",UPPER('Paste SD Data'!H1985))</f>
        <v/>
      </c>
      <c r="H1988" s="26" t="str">
        <f>IF('Paste SD Data'!I1985="","",IF('Paste SD Data'!I1985="M","BOY","GIRL"))</f>
        <v/>
      </c>
      <c r="I1988" s="28" t="str">
        <f>IF('Paste SD Data'!J1985="","",'Paste SD Data'!J1985)</f>
        <v/>
      </c>
      <c r="J1988" s="34">
        <f t="shared" si="30"/>
        <v>2414</v>
      </c>
      <c r="K1988" s="29" t="str">
        <f>IF('Paste SD Data'!O1985="","",'Paste SD Data'!O1985)</f>
        <v/>
      </c>
    </row>
    <row r="1989" spans="1:11" ht="30" customHeight="1" x14ac:dyDescent="0.25">
      <c r="A1989" s="25" t="str">
        <f>IF(Table1[[#This Row],[Name of Student]]="","",ROWS($A$1:A1985))</f>
        <v/>
      </c>
      <c r="B1989" s="26" t="str">
        <f>IF('Paste SD Data'!A1986="","",'Paste SD Data'!A1986)</f>
        <v/>
      </c>
      <c r="C1989" s="26" t="str">
        <f>IF('Paste SD Data'!B1986="","",'Paste SD Data'!B1986)</f>
        <v/>
      </c>
      <c r="D1989" s="26" t="str">
        <f>IF('Paste SD Data'!C1986="","",'Paste SD Data'!C1986)</f>
        <v/>
      </c>
      <c r="E1989" s="27" t="str">
        <f>IF('Paste SD Data'!E1986="","",UPPER('Paste SD Data'!E1986))</f>
        <v/>
      </c>
      <c r="F1989" s="27" t="str">
        <f>IF('Paste SD Data'!G1986="","",UPPER('Paste SD Data'!G1986))</f>
        <v/>
      </c>
      <c r="G1989" s="27" t="str">
        <f>IF('Paste SD Data'!H1986="","",UPPER('Paste SD Data'!H1986))</f>
        <v/>
      </c>
      <c r="H1989" s="26" t="str">
        <f>IF('Paste SD Data'!I1986="","",IF('Paste SD Data'!I1986="M","BOY","GIRL"))</f>
        <v/>
      </c>
      <c r="I1989" s="28" t="str">
        <f>IF('Paste SD Data'!J1986="","",'Paste SD Data'!J1986)</f>
        <v/>
      </c>
      <c r="J1989" s="34">
        <f t="shared" si="30"/>
        <v>2415</v>
      </c>
      <c r="K1989" s="29" t="str">
        <f>IF('Paste SD Data'!O1986="","",'Paste SD Data'!O1986)</f>
        <v/>
      </c>
    </row>
    <row r="1990" spans="1:11" ht="30" customHeight="1" x14ac:dyDescent="0.25">
      <c r="A1990" s="25" t="str">
        <f>IF(Table1[[#This Row],[Name of Student]]="","",ROWS($A$1:A1986))</f>
        <v/>
      </c>
      <c r="B1990" s="26" t="str">
        <f>IF('Paste SD Data'!A1987="","",'Paste SD Data'!A1987)</f>
        <v/>
      </c>
      <c r="C1990" s="26" t="str">
        <f>IF('Paste SD Data'!B1987="","",'Paste SD Data'!B1987)</f>
        <v/>
      </c>
      <c r="D1990" s="26" t="str">
        <f>IF('Paste SD Data'!C1987="","",'Paste SD Data'!C1987)</f>
        <v/>
      </c>
      <c r="E1990" s="27" t="str">
        <f>IF('Paste SD Data'!E1987="","",UPPER('Paste SD Data'!E1987))</f>
        <v/>
      </c>
      <c r="F1990" s="27" t="str">
        <f>IF('Paste SD Data'!G1987="","",UPPER('Paste SD Data'!G1987))</f>
        <v/>
      </c>
      <c r="G1990" s="27" t="str">
        <f>IF('Paste SD Data'!H1987="","",UPPER('Paste SD Data'!H1987))</f>
        <v/>
      </c>
      <c r="H1990" s="26" t="str">
        <f>IF('Paste SD Data'!I1987="","",IF('Paste SD Data'!I1987="M","BOY","GIRL"))</f>
        <v/>
      </c>
      <c r="I1990" s="28" t="str">
        <f>IF('Paste SD Data'!J1987="","",'Paste SD Data'!J1987)</f>
        <v/>
      </c>
      <c r="J1990" s="34">
        <f t="shared" si="30"/>
        <v>2416</v>
      </c>
      <c r="K1990" s="29" t="str">
        <f>IF('Paste SD Data'!O1987="","",'Paste SD Data'!O1987)</f>
        <v/>
      </c>
    </row>
    <row r="1991" spans="1:11" ht="30" customHeight="1" x14ac:dyDescent="0.25">
      <c r="A1991" s="25" t="str">
        <f>IF(Table1[[#This Row],[Name of Student]]="","",ROWS($A$1:A1987))</f>
        <v/>
      </c>
      <c r="B1991" s="26" t="str">
        <f>IF('Paste SD Data'!A1988="","",'Paste SD Data'!A1988)</f>
        <v/>
      </c>
      <c r="C1991" s="26" t="str">
        <f>IF('Paste SD Data'!B1988="","",'Paste SD Data'!B1988)</f>
        <v/>
      </c>
      <c r="D1991" s="26" t="str">
        <f>IF('Paste SD Data'!C1988="","",'Paste SD Data'!C1988)</f>
        <v/>
      </c>
      <c r="E1991" s="27" t="str">
        <f>IF('Paste SD Data'!E1988="","",UPPER('Paste SD Data'!E1988))</f>
        <v/>
      </c>
      <c r="F1991" s="27" t="str">
        <f>IF('Paste SD Data'!G1988="","",UPPER('Paste SD Data'!G1988))</f>
        <v/>
      </c>
      <c r="G1991" s="27" t="str">
        <f>IF('Paste SD Data'!H1988="","",UPPER('Paste SD Data'!H1988))</f>
        <v/>
      </c>
      <c r="H1991" s="26" t="str">
        <f>IF('Paste SD Data'!I1988="","",IF('Paste SD Data'!I1988="M","BOY","GIRL"))</f>
        <v/>
      </c>
      <c r="I1991" s="28" t="str">
        <f>IF('Paste SD Data'!J1988="","",'Paste SD Data'!J1988)</f>
        <v/>
      </c>
      <c r="J1991" s="34">
        <f t="shared" ref="J1991:J2054" si="31">J1990+1</f>
        <v>2417</v>
      </c>
      <c r="K1991" s="29" t="str">
        <f>IF('Paste SD Data'!O1988="","",'Paste SD Data'!O1988)</f>
        <v/>
      </c>
    </row>
    <row r="1992" spans="1:11" ht="30" customHeight="1" x14ac:dyDescent="0.25">
      <c r="A1992" s="25" t="str">
        <f>IF(Table1[[#This Row],[Name of Student]]="","",ROWS($A$1:A1988))</f>
        <v/>
      </c>
      <c r="B1992" s="26" t="str">
        <f>IF('Paste SD Data'!A1989="","",'Paste SD Data'!A1989)</f>
        <v/>
      </c>
      <c r="C1992" s="26" t="str">
        <f>IF('Paste SD Data'!B1989="","",'Paste SD Data'!B1989)</f>
        <v/>
      </c>
      <c r="D1992" s="26" t="str">
        <f>IF('Paste SD Data'!C1989="","",'Paste SD Data'!C1989)</f>
        <v/>
      </c>
      <c r="E1992" s="27" t="str">
        <f>IF('Paste SD Data'!E1989="","",UPPER('Paste SD Data'!E1989))</f>
        <v/>
      </c>
      <c r="F1992" s="27" t="str">
        <f>IF('Paste SD Data'!G1989="","",UPPER('Paste SD Data'!G1989))</f>
        <v/>
      </c>
      <c r="G1992" s="27" t="str">
        <f>IF('Paste SD Data'!H1989="","",UPPER('Paste SD Data'!H1989))</f>
        <v/>
      </c>
      <c r="H1992" s="26" t="str">
        <f>IF('Paste SD Data'!I1989="","",IF('Paste SD Data'!I1989="M","BOY","GIRL"))</f>
        <v/>
      </c>
      <c r="I1992" s="28" t="str">
        <f>IF('Paste SD Data'!J1989="","",'Paste SD Data'!J1989)</f>
        <v/>
      </c>
      <c r="J1992" s="34">
        <f t="shared" si="31"/>
        <v>2418</v>
      </c>
      <c r="K1992" s="29" t="str">
        <f>IF('Paste SD Data'!O1989="","",'Paste SD Data'!O1989)</f>
        <v/>
      </c>
    </row>
    <row r="1993" spans="1:11" ht="30" customHeight="1" x14ac:dyDescent="0.25">
      <c r="A1993" s="25" t="str">
        <f>IF(Table1[[#This Row],[Name of Student]]="","",ROWS($A$1:A1989))</f>
        <v/>
      </c>
      <c r="B1993" s="26" t="str">
        <f>IF('Paste SD Data'!A1990="","",'Paste SD Data'!A1990)</f>
        <v/>
      </c>
      <c r="C1993" s="26" t="str">
        <f>IF('Paste SD Data'!B1990="","",'Paste SD Data'!B1990)</f>
        <v/>
      </c>
      <c r="D1993" s="26" t="str">
        <f>IF('Paste SD Data'!C1990="","",'Paste SD Data'!C1990)</f>
        <v/>
      </c>
      <c r="E1993" s="27" t="str">
        <f>IF('Paste SD Data'!E1990="","",UPPER('Paste SD Data'!E1990))</f>
        <v/>
      </c>
      <c r="F1993" s="27" t="str">
        <f>IF('Paste SD Data'!G1990="","",UPPER('Paste SD Data'!G1990))</f>
        <v/>
      </c>
      <c r="G1993" s="27" t="str">
        <f>IF('Paste SD Data'!H1990="","",UPPER('Paste SD Data'!H1990))</f>
        <v/>
      </c>
      <c r="H1993" s="26" t="str">
        <f>IF('Paste SD Data'!I1990="","",IF('Paste SD Data'!I1990="M","BOY","GIRL"))</f>
        <v/>
      </c>
      <c r="I1993" s="28" t="str">
        <f>IF('Paste SD Data'!J1990="","",'Paste SD Data'!J1990)</f>
        <v/>
      </c>
      <c r="J1993" s="34">
        <f t="shared" si="31"/>
        <v>2419</v>
      </c>
      <c r="K1993" s="29" t="str">
        <f>IF('Paste SD Data'!O1990="","",'Paste SD Data'!O1990)</f>
        <v/>
      </c>
    </row>
    <row r="1994" spans="1:11" ht="30" customHeight="1" x14ac:dyDescent="0.25">
      <c r="A1994" s="25" t="str">
        <f>IF(Table1[[#This Row],[Name of Student]]="","",ROWS($A$1:A1990))</f>
        <v/>
      </c>
      <c r="B1994" s="26" t="str">
        <f>IF('Paste SD Data'!A1991="","",'Paste SD Data'!A1991)</f>
        <v/>
      </c>
      <c r="C1994" s="26" t="str">
        <f>IF('Paste SD Data'!B1991="","",'Paste SD Data'!B1991)</f>
        <v/>
      </c>
      <c r="D1994" s="26" t="str">
        <f>IF('Paste SD Data'!C1991="","",'Paste SD Data'!C1991)</f>
        <v/>
      </c>
      <c r="E1994" s="27" t="str">
        <f>IF('Paste SD Data'!E1991="","",UPPER('Paste SD Data'!E1991))</f>
        <v/>
      </c>
      <c r="F1994" s="27" t="str">
        <f>IF('Paste SD Data'!G1991="","",UPPER('Paste SD Data'!G1991))</f>
        <v/>
      </c>
      <c r="G1994" s="27" t="str">
        <f>IF('Paste SD Data'!H1991="","",UPPER('Paste SD Data'!H1991))</f>
        <v/>
      </c>
      <c r="H1994" s="26" t="str">
        <f>IF('Paste SD Data'!I1991="","",IF('Paste SD Data'!I1991="M","BOY","GIRL"))</f>
        <v/>
      </c>
      <c r="I1994" s="28" t="str">
        <f>IF('Paste SD Data'!J1991="","",'Paste SD Data'!J1991)</f>
        <v/>
      </c>
      <c r="J1994" s="34">
        <f t="shared" si="31"/>
        <v>2420</v>
      </c>
      <c r="K1994" s="29" t="str">
        <f>IF('Paste SD Data'!O1991="","",'Paste SD Data'!O1991)</f>
        <v/>
      </c>
    </row>
    <row r="1995" spans="1:11" ht="30" customHeight="1" x14ac:dyDescent="0.25">
      <c r="A1995" s="25" t="str">
        <f>IF(Table1[[#This Row],[Name of Student]]="","",ROWS($A$1:A1991))</f>
        <v/>
      </c>
      <c r="B1995" s="26" t="str">
        <f>IF('Paste SD Data'!A1992="","",'Paste SD Data'!A1992)</f>
        <v/>
      </c>
      <c r="C1995" s="26" t="str">
        <f>IF('Paste SD Data'!B1992="","",'Paste SD Data'!B1992)</f>
        <v/>
      </c>
      <c r="D1995" s="26" t="str">
        <f>IF('Paste SD Data'!C1992="","",'Paste SD Data'!C1992)</f>
        <v/>
      </c>
      <c r="E1995" s="27" t="str">
        <f>IF('Paste SD Data'!E1992="","",UPPER('Paste SD Data'!E1992))</f>
        <v/>
      </c>
      <c r="F1995" s="27" t="str">
        <f>IF('Paste SD Data'!G1992="","",UPPER('Paste SD Data'!G1992))</f>
        <v/>
      </c>
      <c r="G1995" s="27" t="str">
        <f>IF('Paste SD Data'!H1992="","",UPPER('Paste SD Data'!H1992))</f>
        <v/>
      </c>
      <c r="H1995" s="26" t="str">
        <f>IF('Paste SD Data'!I1992="","",IF('Paste SD Data'!I1992="M","BOY","GIRL"))</f>
        <v/>
      </c>
      <c r="I1995" s="28" t="str">
        <f>IF('Paste SD Data'!J1992="","",'Paste SD Data'!J1992)</f>
        <v/>
      </c>
      <c r="J1995" s="34">
        <f t="shared" si="31"/>
        <v>2421</v>
      </c>
      <c r="K1995" s="29" t="str">
        <f>IF('Paste SD Data'!O1992="","",'Paste SD Data'!O1992)</f>
        <v/>
      </c>
    </row>
    <row r="1996" spans="1:11" ht="30" customHeight="1" x14ac:dyDescent="0.25">
      <c r="A1996" s="25" t="str">
        <f>IF(Table1[[#This Row],[Name of Student]]="","",ROWS($A$1:A1992))</f>
        <v/>
      </c>
      <c r="B1996" s="26" t="str">
        <f>IF('Paste SD Data'!A1993="","",'Paste SD Data'!A1993)</f>
        <v/>
      </c>
      <c r="C1996" s="26" t="str">
        <f>IF('Paste SD Data'!B1993="","",'Paste SD Data'!B1993)</f>
        <v/>
      </c>
      <c r="D1996" s="26" t="str">
        <f>IF('Paste SD Data'!C1993="","",'Paste SD Data'!C1993)</f>
        <v/>
      </c>
      <c r="E1996" s="27" t="str">
        <f>IF('Paste SD Data'!E1993="","",UPPER('Paste SD Data'!E1993))</f>
        <v/>
      </c>
      <c r="F1996" s="27" t="str">
        <f>IF('Paste SD Data'!G1993="","",UPPER('Paste SD Data'!G1993))</f>
        <v/>
      </c>
      <c r="G1996" s="27" t="str">
        <f>IF('Paste SD Data'!H1993="","",UPPER('Paste SD Data'!H1993))</f>
        <v/>
      </c>
      <c r="H1996" s="26" t="str">
        <f>IF('Paste SD Data'!I1993="","",IF('Paste SD Data'!I1993="M","BOY","GIRL"))</f>
        <v/>
      </c>
      <c r="I1996" s="28" t="str">
        <f>IF('Paste SD Data'!J1993="","",'Paste SD Data'!J1993)</f>
        <v/>
      </c>
      <c r="J1996" s="34">
        <f t="shared" si="31"/>
        <v>2422</v>
      </c>
      <c r="K1996" s="29" t="str">
        <f>IF('Paste SD Data'!O1993="","",'Paste SD Data'!O1993)</f>
        <v/>
      </c>
    </row>
    <row r="1997" spans="1:11" ht="30" customHeight="1" x14ac:dyDescent="0.25">
      <c r="A1997" s="25" t="str">
        <f>IF(Table1[[#This Row],[Name of Student]]="","",ROWS($A$1:A1993))</f>
        <v/>
      </c>
      <c r="B1997" s="26" t="str">
        <f>IF('Paste SD Data'!A1994="","",'Paste SD Data'!A1994)</f>
        <v/>
      </c>
      <c r="C1997" s="26" t="str">
        <f>IF('Paste SD Data'!B1994="","",'Paste SD Data'!B1994)</f>
        <v/>
      </c>
      <c r="D1997" s="26" t="str">
        <f>IF('Paste SD Data'!C1994="","",'Paste SD Data'!C1994)</f>
        <v/>
      </c>
      <c r="E1997" s="27" t="str">
        <f>IF('Paste SD Data'!E1994="","",UPPER('Paste SD Data'!E1994))</f>
        <v/>
      </c>
      <c r="F1997" s="27" t="str">
        <f>IF('Paste SD Data'!G1994="","",UPPER('Paste SD Data'!G1994))</f>
        <v/>
      </c>
      <c r="G1997" s="27" t="str">
        <f>IF('Paste SD Data'!H1994="","",UPPER('Paste SD Data'!H1994))</f>
        <v/>
      </c>
      <c r="H1997" s="26" t="str">
        <f>IF('Paste SD Data'!I1994="","",IF('Paste SD Data'!I1994="M","BOY","GIRL"))</f>
        <v/>
      </c>
      <c r="I1997" s="28" t="str">
        <f>IF('Paste SD Data'!J1994="","",'Paste SD Data'!J1994)</f>
        <v/>
      </c>
      <c r="J1997" s="34">
        <f t="shared" si="31"/>
        <v>2423</v>
      </c>
      <c r="K1997" s="29" t="str">
        <f>IF('Paste SD Data'!O1994="","",'Paste SD Data'!O1994)</f>
        <v/>
      </c>
    </row>
    <row r="1998" spans="1:11" ht="30" customHeight="1" x14ac:dyDescent="0.25">
      <c r="A1998" s="25" t="str">
        <f>IF(Table1[[#This Row],[Name of Student]]="","",ROWS($A$1:A1994))</f>
        <v/>
      </c>
      <c r="B1998" s="26" t="str">
        <f>IF('Paste SD Data'!A1995="","",'Paste SD Data'!A1995)</f>
        <v/>
      </c>
      <c r="C1998" s="26" t="str">
        <f>IF('Paste SD Data'!B1995="","",'Paste SD Data'!B1995)</f>
        <v/>
      </c>
      <c r="D1998" s="26" t="str">
        <f>IF('Paste SD Data'!C1995="","",'Paste SD Data'!C1995)</f>
        <v/>
      </c>
      <c r="E1998" s="27" t="str">
        <f>IF('Paste SD Data'!E1995="","",UPPER('Paste SD Data'!E1995))</f>
        <v/>
      </c>
      <c r="F1998" s="27" t="str">
        <f>IF('Paste SD Data'!G1995="","",UPPER('Paste SD Data'!G1995))</f>
        <v/>
      </c>
      <c r="G1998" s="27" t="str">
        <f>IF('Paste SD Data'!H1995="","",UPPER('Paste SD Data'!H1995))</f>
        <v/>
      </c>
      <c r="H1998" s="26" t="str">
        <f>IF('Paste SD Data'!I1995="","",IF('Paste SD Data'!I1995="M","BOY","GIRL"))</f>
        <v/>
      </c>
      <c r="I1998" s="28" t="str">
        <f>IF('Paste SD Data'!J1995="","",'Paste SD Data'!J1995)</f>
        <v/>
      </c>
      <c r="J1998" s="34">
        <f t="shared" si="31"/>
        <v>2424</v>
      </c>
      <c r="K1998" s="29" t="str">
        <f>IF('Paste SD Data'!O1995="","",'Paste SD Data'!O1995)</f>
        <v/>
      </c>
    </row>
    <row r="1999" spans="1:11" ht="30" customHeight="1" x14ac:dyDescent="0.25">
      <c r="A1999" s="25" t="str">
        <f>IF(Table1[[#This Row],[Name of Student]]="","",ROWS($A$1:A1995))</f>
        <v/>
      </c>
      <c r="B1999" s="26" t="str">
        <f>IF('Paste SD Data'!A1996="","",'Paste SD Data'!A1996)</f>
        <v/>
      </c>
      <c r="C1999" s="26" t="str">
        <f>IF('Paste SD Data'!B1996="","",'Paste SD Data'!B1996)</f>
        <v/>
      </c>
      <c r="D1999" s="26" t="str">
        <f>IF('Paste SD Data'!C1996="","",'Paste SD Data'!C1996)</f>
        <v/>
      </c>
      <c r="E1999" s="27" t="str">
        <f>IF('Paste SD Data'!E1996="","",UPPER('Paste SD Data'!E1996))</f>
        <v/>
      </c>
      <c r="F1999" s="27" t="str">
        <f>IF('Paste SD Data'!G1996="","",UPPER('Paste SD Data'!G1996))</f>
        <v/>
      </c>
      <c r="G1999" s="27" t="str">
        <f>IF('Paste SD Data'!H1996="","",UPPER('Paste SD Data'!H1996))</f>
        <v/>
      </c>
      <c r="H1999" s="26" t="str">
        <f>IF('Paste SD Data'!I1996="","",IF('Paste SD Data'!I1996="M","BOY","GIRL"))</f>
        <v/>
      </c>
      <c r="I1999" s="28" t="str">
        <f>IF('Paste SD Data'!J1996="","",'Paste SD Data'!J1996)</f>
        <v/>
      </c>
      <c r="J1999" s="34">
        <f t="shared" si="31"/>
        <v>2425</v>
      </c>
      <c r="K1999" s="29" t="str">
        <f>IF('Paste SD Data'!O1996="","",'Paste SD Data'!O1996)</f>
        <v/>
      </c>
    </row>
    <row r="2000" spans="1:11" ht="30" customHeight="1" x14ac:dyDescent="0.25">
      <c r="A2000" s="25" t="str">
        <f>IF(Table1[[#This Row],[Name of Student]]="","",ROWS($A$1:A1996))</f>
        <v/>
      </c>
      <c r="B2000" s="26" t="str">
        <f>IF('Paste SD Data'!A1997="","",'Paste SD Data'!A1997)</f>
        <v/>
      </c>
      <c r="C2000" s="26" t="str">
        <f>IF('Paste SD Data'!B1997="","",'Paste SD Data'!B1997)</f>
        <v/>
      </c>
      <c r="D2000" s="26" t="str">
        <f>IF('Paste SD Data'!C1997="","",'Paste SD Data'!C1997)</f>
        <v/>
      </c>
      <c r="E2000" s="27" t="str">
        <f>IF('Paste SD Data'!E1997="","",UPPER('Paste SD Data'!E1997))</f>
        <v/>
      </c>
      <c r="F2000" s="27" t="str">
        <f>IF('Paste SD Data'!G1997="","",UPPER('Paste SD Data'!G1997))</f>
        <v/>
      </c>
      <c r="G2000" s="27" t="str">
        <f>IF('Paste SD Data'!H1997="","",UPPER('Paste SD Data'!H1997))</f>
        <v/>
      </c>
      <c r="H2000" s="26" t="str">
        <f>IF('Paste SD Data'!I1997="","",IF('Paste SD Data'!I1997="M","BOY","GIRL"))</f>
        <v/>
      </c>
      <c r="I2000" s="28" t="str">
        <f>IF('Paste SD Data'!J1997="","",'Paste SD Data'!J1997)</f>
        <v/>
      </c>
      <c r="J2000" s="34">
        <f t="shared" si="31"/>
        <v>2426</v>
      </c>
      <c r="K2000" s="29" t="str">
        <f>IF('Paste SD Data'!O1997="","",'Paste SD Data'!O1997)</f>
        <v/>
      </c>
    </row>
    <row r="2001" spans="1:11" ht="30" customHeight="1" x14ac:dyDescent="0.25">
      <c r="A2001" s="25" t="str">
        <f>IF(Table1[[#This Row],[Name of Student]]="","",ROWS($A$1:A1997))</f>
        <v/>
      </c>
      <c r="B2001" s="26" t="str">
        <f>IF('Paste SD Data'!A1998="","",'Paste SD Data'!A1998)</f>
        <v/>
      </c>
      <c r="C2001" s="26" t="str">
        <f>IF('Paste SD Data'!B1998="","",'Paste SD Data'!B1998)</f>
        <v/>
      </c>
      <c r="D2001" s="26" t="str">
        <f>IF('Paste SD Data'!C1998="","",'Paste SD Data'!C1998)</f>
        <v/>
      </c>
      <c r="E2001" s="27" t="str">
        <f>IF('Paste SD Data'!E1998="","",UPPER('Paste SD Data'!E1998))</f>
        <v/>
      </c>
      <c r="F2001" s="27" t="str">
        <f>IF('Paste SD Data'!G1998="","",UPPER('Paste SD Data'!G1998))</f>
        <v/>
      </c>
      <c r="G2001" s="27" t="str">
        <f>IF('Paste SD Data'!H1998="","",UPPER('Paste SD Data'!H1998))</f>
        <v/>
      </c>
      <c r="H2001" s="26" t="str">
        <f>IF('Paste SD Data'!I1998="","",IF('Paste SD Data'!I1998="M","BOY","GIRL"))</f>
        <v/>
      </c>
      <c r="I2001" s="28" t="str">
        <f>IF('Paste SD Data'!J1998="","",'Paste SD Data'!J1998)</f>
        <v/>
      </c>
      <c r="J2001" s="34">
        <f t="shared" si="31"/>
        <v>2427</v>
      </c>
      <c r="K2001" s="29" t="str">
        <f>IF('Paste SD Data'!O1998="","",'Paste SD Data'!O1998)</f>
        <v/>
      </c>
    </row>
    <row r="2002" spans="1:11" ht="30" customHeight="1" x14ac:dyDescent="0.25">
      <c r="A2002" s="25" t="str">
        <f>IF(Table1[[#This Row],[Name of Student]]="","",ROWS($A$1:A1998))</f>
        <v/>
      </c>
      <c r="B2002" s="26" t="str">
        <f>IF('Paste SD Data'!A1999="","",'Paste SD Data'!A1999)</f>
        <v/>
      </c>
      <c r="C2002" s="26" t="str">
        <f>IF('Paste SD Data'!B1999="","",'Paste SD Data'!B1999)</f>
        <v/>
      </c>
      <c r="D2002" s="26" t="str">
        <f>IF('Paste SD Data'!C1999="","",'Paste SD Data'!C1999)</f>
        <v/>
      </c>
      <c r="E2002" s="27" t="str">
        <f>IF('Paste SD Data'!E1999="","",UPPER('Paste SD Data'!E1999))</f>
        <v/>
      </c>
      <c r="F2002" s="27" t="str">
        <f>IF('Paste SD Data'!G1999="","",UPPER('Paste SD Data'!G1999))</f>
        <v/>
      </c>
      <c r="G2002" s="27" t="str">
        <f>IF('Paste SD Data'!H1999="","",UPPER('Paste SD Data'!H1999))</f>
        <v/>
      </c>
      <c r="H2002" s="26" t="str">
        <f>IF('Paste SD Data'!I1999="","",IF('Paste SD Data'!I1999="M","BOY","GIRL"))</f>
        <v/>
      </c>
      <c r="I2002" s="28" t="str">
        <f>IF('Paste SD Data'!J1999="","",'Paste SD Data'!J1999)</f>
        <v/>
      </c>
      <c r="J2002" s="34">
        <f t="shared" si="31"/>
        <v>2428</v>
      </c>
      <c r="K2002" s="29" t="str">
        <f>IF('Paste SD Data'!O1999="","",'Paste SD Data'!O1999)</f>
        <v/>
      </c>
    </row>
    <row r="2003" spans="1:11" ht="30" customHeight="1" x14ac:dyDescent="0.25">
      <c r="A2003" s="25" t="str">
        <f>IF(Table1[[#This Row],[Name of Student]]="","",ROWS($A$1:A1999))</f>
        <v/>
      </c>
      <c r="B2003" s="26" t="str">
        <f>IF('Paste SD Data'!A2000="","",'Paste SD Data'!A2000)</f>
        <v/>
      </c>
      <c r="C2003" s="26" t="str">
        <f>IF('Paste SD Data'!B2000="","",'Paste SD Data'!B2000)</f>
        <v/>
      </c>
      <c r="D2003" s="26" t="str">
        <f>IF('Paste SD Data'!C2000="","",'Paste SD Data'!C2000)</f>
        <v/>
      </c>
      <c r="E2003" s="27" t="str">
        <f>IF('Paste SD Data'!E2000="","",UPPER('Paste SD Data'!E2000))</f>
        <v/>
      </c>
      <c r="F2003" s="27" t="str">
        <f>IF('Paste SD Data'!G2000="","",UPPER('Paste SD Data'!G2000))</f>
        <v/>
      </c>
      <c r="G2003" s="27" t="str">
        <f>IF('Paste SD Data'!H2000="","",UPPER('Paste SD Data'!H2000))</f>
        <v/>
      </c>
      <c r="H2003" s="26" t="str">
        <f>IF('Paste SD Data'!I2000="","",IF('Paste SD Data'!I2000="M","BOY","GIRL"))</f>
        <v/>
      </c>
      <c r="I2003" s="28" t="str">
        <f>IF('Paste SD Data'!J2000="","",'Paste SD Data'!J2000)</f>
        <v/>
      </c>
      <c r="J2003" s="34">
        <f t="shared" si="31"/>
        <v>2429</v>
      </c>
      <c r="K2003" s="29" t="str">
        <f>IF('Paste SD Data'!O2000="","",'Paste SD Data'!O2000)</f>
        <v/>
      </c>
    </row>
    <row r="2004" spans="1:11" ht="30" customHeight="1" x14ac:dyDescent="0.25">
      <c r="A2004" s="25" t="str">
        <f>IF(Table1[[#This Row],[Name of Student]]="","",ROWS($A$1:A2000))</f>
        <v/>
      </c>
      <c r="B2004" s="26" t="str">
        <f>IF('Paste SD Data'!A2001="","",'Paste SD Data'!A2001)</f>
        <v/>
      </c>
      <c r="C2004" s="26" t="str">
        <f>IF('Paste SD Data'!B2001="","",'Paste SD Data'!B2001)</f>
        <v/>
      </c>
      <c r="D2004" s="26" t="str">
        <f>IF('Paste SD Data'!C2001="","",'Paste SD Data'!C2001)</f>
        <v/>
      </c>
      <c r="E2004" s="27" t="str">
        <f>IF('Paste SD Data'!E2001="","",UPPER('Paste SD Data'!E2001))</f>
        <v/>
      </c>
      <c r="F2004" s="27" t="str">
        <f>IF('Paste SD Data'!G2001="","",UPPER('Paste SD Data'!G2001))</f>
        <v/>
      </c>
      <c r="G2004" s="27" t="str">
        <f>IF('Paste SD Data'!H2001="","",UPPER('Paste SD Data'!H2001))</f>
        <v/>
      </c>
      <c r="H2004" s="26" t="str">
        <f>IF('Paste SD Data'!I2001="","",IF('Paste SD Data'!I2001="M","BOY","GIRL"))</f>
        <v/>
      </c>
      <c r="I2004" s="28" t="str">
        <f>IF('Paste SD Data'!J2001="","",'Paste SD Data'!J2001)</f>
        <v/>
      </c>
      <c r="J2004" s="34">
        <f t="shared" si="31"/>
        <v>2430</v>
      </c>
      <c r="K2004" s="29" t="str">
        <f>IF('Paste SD Data'!O2001="","",'Paste SD Data'!O2001)</f>
        <v/>
      </c>
    </row>
    <row r="2005" spans="1:11" ht="30" customHeight="1" x14ac:dyDescent="0.25">
      <c r="A2005" s="25" t="str">
        <f>IF(Table1[[#This Row],[Name of Student]]="","",ROWS($A$1:A2001))</f>
        <v/>
      </c>
      <c r="B2005" s="26" t="str">
        <f>IF('Paste SD Data'!A2002="","",'Paste SD Data'!A2002)</f>
        <v/>
      </c>
      <c r="C2005" s="26" t="str">
        <f>IF('Paste SD Data'!B2002="","",'Paste SD Data'!B2002)</f>
        <v/>
      </c>
      <c r="D2005" s="26" t="str">
        <f>IF('Paste SD Data'!C2002="","",'Paste SD Data'!C2002)</f>
        <v/>
      </c>
      <c r="E2005" s="27" t="str">
        <f>IF('Paste SD Data'!E2002="","",UPPER('Paste SD Data'!E2002))</f>
        <v/>
      </c>
      <c r="F2005" s="27" t="str">
        <f>IF('Paste SD Data'!G2002="","",UPPER('Paste SD Data'!G2002))</f>
        <v/>
      </c>
      <c r="G2005" s="27" t="str">
        <f>IF('Paste SD Data'!H2002="","",UPPER('Paste SD Data'!H2002))</f>
        <v/>
      </c>
      <c r="H2005" s="26" t="str">
        <f>IF('Paste SD Data'!I2002="","",IF('Paste SD Data'!I2002="M","BOY","GIRL"))</f>
        <v/>
      </c>
      <c r="I2005" s="28" t="str">
        <f>IF('Paste SD Data'!J2002="","",'Paste SD Data'!J2002)</f>
        <v/>
      </c>
      <c r="J2005" s="34">
        <f t="shared" si="31"/>
        <v>2431</v>
      </c>
      <c r="K2005" s="29" t="str">
        <f>IF('Paste SD Data'!O2002="","",'Paste SD Data'!O2002)</f>
        <v/>
      </c>
    </row>
    <row r="2006" spans="1:11" ht="30" customHeight="1" x14ac:dyDescent="0.25">
      <c r="A2006" s="25" t="str">
        <f>IF(Table1[[#This Row],[Name of Student]]="","",ROWS($A$1:A2002))</f>
        <v/>
      </c>
      <c r="B2006" s="26" t="str">
        <f>IF('Paste SD Data'!A2003="","",'Paste SD Data'!A2003)</f>
        <v/>
      </c>
      <c r="C2006" s="26" t="str">
        <f>IF('Paste SD Data'!B2003="","",'Paste SD Data'!B2003)</f>
        <v/>
      </c>
      <c r="D2006" s="26" t="str">
        <f>IF('Paste SD Data'!C2003="","",'Paste SD Data'!C2003)</f>
        <v/>
      </c>
      <c r="E2006" s="27" t="str">
        <f>IF('Paste SD Data'!E2003="","",UPPER('Paste SD Data'!E2003))</f>
        <v/>
      </c>
      <c r="F2006" s="27" t="str">
        <f>IF('Paste SD Data'!G2003="","",UPPER('Paste SD Data'!G2003))</f>
        <v/>
      </c>
      <c r="G2006" s="27" t="str">
        <f>IF('Paste SD Data'!H2003="","",UPPER('Paste SD Data'!H2003))</f>
        <v/>
      </c>
      <c r="H2006" s="26" t="str">
        <f>IF('Paste SD Data'!I2003="","",IF('Paste SD Data'!I2003="M","BOY","GIRL"))</f>
        <v/>
      </c>
      <c r="I2006" s="28" t="str">
        <f>IF('Paste SD Data'!J2003="","",'Paste SD Data'!J2003)</f>
        <v/>
      </c>
      <c r="J2006" s="34">
        <f t="shared" si="31"/>
        <v>2432</v>
      </c>
      <c r="K2006" s="29" t="str">
        <f>IF('Paste SD Data'!O2003="","",'Paste SD Data'!O2003)</f>
        <v/>
      </c>
    </row>
    <row r="2007" spans="1:11" ht="30" customHeight="1" x14ac:dyDescent="0.25">
      <c r="A2007" s="25" t="str">
        <f>IF(Table1[[#This Row],[Name of Student]]="","",ROWS($A$1:A2003))</f>
        <v/>
      </c>
      <c r="B2007" s="26" t="str">
        <f>IF('Paste SD Data'!A2004="","",'Paste SD Data'!A2004)</f>
        <v/>
      </c>
      <c r="C2007" s="26" t="str">
        <f>IF('Paste SD Data'!B2004="","",'Paste SD Data'!B2004)</f>
        <v/>
      </c>
      <c r="D2007" s="26" t="str">
        <f>IF('Paste SD Data'!C2004="","",'Paste SD Data'!C2004)</f>
        <v/>
      </c>
      <c r="E2007" s="27" t="str">
        <f>IF('Paste SD Data'!E2004="","",UPPER('Paste SD Data'!E2004))</f>
        <v/>
      </c>
      <c r="F2007" s="27" t="str">
        <f>IF('Paste SD Data'!G2004="","",UPPER('Paste SD Data'!G2004))</f>
        <v/>
      </c>
      <c r="G2007" s="27" t="str">
        <f>IF('Paste SD Data'!H2004="","",UPPER('Paste SD Data'!H2004))</f>
        <v/>
      </c>
      <c r="H2007" s="26" t="str">
        <f>IF('Paste SD Data'!I2004="","",IF('Paste SD Data'!I2004="M","BOY","GIRL"))</f>
        <v/>
      </c>
      <c r="I2007" s="28" t="str">
        <f>IF('Paste SD Data'!J2004="","",'Paste SD Data'!J2004)</f>
        <v/>
      </c>
      <c r="J2007" s="34">
        <f t="shared" si="31"/>
        <v>2433</v>
      </c>
      <c r="K2007" s="29" t="str">
        <f>IF('Paste SD Data'!O2004="","",'Paste SD Data'!O2004)</f>
        <v/>
      </c>
    </row>
    <row r="2008" spans="1:11" ht="30" customHeight="1" x14ac:dyDescent="0.25">
      <c r="A2008" s="25" t="str">
        <f>IF(Table1[[#This Row],[Name of Student]]="","",ROWS($A$1:A2004))</f>
        <v/>
      </c>
      <c r="B2008" s="26" t="str">
        <f>IF('Paste SD Data'!A2005="","",'Paste SD Data'!A2005)</f>
        <v/>
      </c>
      <c r="C2008" s="26" t="str">
        <f>IF('Paste SD Data'!B2005="","",'Paste SD Data'!B2005)</f>
        <v/>
      </c>
      <c r="D2008" s="26" t="str">
        <f>IF('Paste SD Data'!C2005="","",'Paste SD Data'!C2005)</f>
        <v/>
      </c>
      <c r="E2008" s="27" t="str">
        <f>IF('Paste SD Data'!E2005="","",UPPER('Paste SD Data'!E2005))</f>
        <v/>
      </c>
      <c r="F2008" s="27" t="str">
        <f>IF('Paste SD Data'!G2005="","",UPPER('Paste SD Data'!G2005))</f>
        <v/>
      </c>
      <c r="G2008" s="27" t="str">
        <f>IF('Paste SD Data'!H2005="","",UPPER('Paste SD Data'!H2005))</f>
        <v/>
      </c>
      <c r="H2008" s="26" t="str">
        <f>IF('Paste SD Data'!I2005="","",IF('Paste SD Data'!I2005="M","BOY","GIRL"))</f>
        <v/>
      </c>
      <c r="I2008" s="28" t="str">
        <f>IF('Paste SD Data'!J2005="","",'Paste SD Data'!J2005)</f>
        <v/>
      </c>
      <c r="J2008" s="34">
        <f t="shared" si="31"/>
        <v>2434</v>
      </c>
      <c r="K2008" s="29" t="str">
        <f>IF('Paste SD Data'!O2005="","",'Paste SD Data'!O2005)</f>
        <v/>
      </c>
    </row>
    <row r="2009" spans="1:11" ht="30" customHeight="1" x14ac:dyDescent="0.25">
      <c r="A2009" s="25" t="str">
        <f>IF(Table1[[#This Row],[Name of Student]]="","",ROWS($A$1:A2005))</f>
        <v/>
      </c>
      <c r="B2009" s="26" t="str">
        <f>IF('Paste SD Data'!A2006="","",'Paste SD Data'!A2006)</f>
        <v/>
      </c>
      <c r="C2009" s="26" t="str">
        <f>IF('Paste SD Data'!B2006="","",'Paste SD Data'!B2006)</f>
        <v/>
      </c>
      <c r="D2009" s="26" t="str">
        <f>IF('Paste SD Data'!C2006="","",'Paste SD Data'!C2006)</f>
        <v/>
      </c>
      <c r="E2009" s="27" t="str">
        <f>IF('Paste SD Data'!E2006="","",UPPER('Paste SD Data'!E2006))</f>
        <v/>
      </c>
      <c r="F2009" s="27" t="str">
        <f>IF('Paste SD Data'!G2006="","",UPPER('Paste SD Data'!G2006))</f>
        <v/>
      </c>
      <c r="G2009" s="27" t="str">
        <f>IF('Paste SD Data'!H2006="","",UPPER('Paste SD Data'!H2006))</f>
        <v/>
      </c>
      <c r="H2009" s="26" t="str">
        <f>IF('Paste SD Data'!I2006="","",IF('Paste SD Data'!I2006="M","BOY","GIRL"))</f>
        <v/>
      </c>
      <c r="I2009" s="28" t="str">
        <f>IF('Paste SD Data'!J2006="","",'Paste SD Data'!J2006)</f>
        <v/>
      </c>
      <c r="J2009" s="34">
        <f t="shared" si="31"/>
        <v>2435</v>
      </c>
      <c r="K2009" s="29" t="str">
        <f>IF('Paste SD Data'!O2006="","",'Paste SD Data'!O2006)</f>
        <v/>
      </c>
    </row>
    <row r="2010" spans="1:11" ht="30" customHeight="1" x14ac:dyDescent="0.25">
      <c r="A2010" s="25" t="str">
        <f>IF(Table1[[#This Row],[Name of Student]]="","",ROWS($A$1:A2006))</f>
        <v/>
      </c>
      <c r="B2010" s="26" t="str">
        <f>IF('Paste SD Data'!A2007="","",'Paste SD Data'!A2007)</f>
        <v/>
      </c>
      <c r="C2010" s="26" t="str">
        <f>IF('Paste SD Data'!B2007="","",'Paste SD Data'!B2007)</f>
        <v/>
      </c>
      <c r="D2010" s="26" t="str">
        <f>IF('Paste SD Data'!C2007="","",'Paste SD Data'!C2007)</f>
        <v/>
      </c>
      <c r="E2010" s="27" t="str">
        <f>IF('Paste SD Data'!E2007="","",UPPER('Paste SD Data'!E2007))</f>
        <v/>
      </c>
      <c r="F2010" s="27" t="str">
        <f>IF('Paste SD Data'!G2007="","",UPPER('Paste SD Data'!G2007))</f>
        <v/>
      </c>
      <c r="G2010" s="27" t="str">
        <f>IF('Paste SD Data'!H2007="","",UPPER('Paste SD Data'!H2007))</f>
        <v/>
      </c>
      <c r="H2010" s="26" t="str">
        <f>IF('Paste SD Data'!I2007="","",IF('Paste SD Data'!I2007="M","BOY","GIRL"))</f>
        <v/>
      </c>
      <c r="I2010" s="28" t="str">
        <f>IF('Paste SD Data'!J2007="","",'Paste SD Data'!J2007)</f>
        <v/>
      </c>
      <c r="J2010" s="34">
        <f t="shared" si="31"/>
        <v>2436</v>
      </c>
      <c r="K2010" s="29" t="str">
        <f>IF('Paste SD Data'!O2007="","",'Paste SD Data'!O2007)</f>
        <v/>
      </c>
    </row>
    <row r="2011" spans="1:11" ht="30" customHeight="1" x14ac:dyDescent="0.25">
      <c r="A2011" s="25" t="str">
        <f>IF(Table1[[#This Row],[Name of Student]]="","",ROWS($A$1:A2007))</f>
        <v/>
      </c>
      <c r="B2011" s="26" t="str">
        <f>IF('Paste SD Data'!A2008="","",'Paste SD Data'!A2008)</f>
        <v/>
      </c>
      <c r="C2011" s="26" t="str">
        <f>IF('Paste SD Data'!B2008="","",'Paste SD Data'!B2008)</f>
        <v/>
      </c>
      <c r="D2011" s="26" t="str">
        <f>IF('Paste SD Data'!C2008="","",'Paste SD Data'!C2008)</f>
        <v/>
      </c>
      <c r="E2011" s="27" t="str">
        <f>IF('Paste SD Data'!E2008="","",UPPER('Paste SD Data'!E2008))</f>
        <v/>
      </c>
      <c r="F2011" s="27" t="str">
        <f>IF('Paste SD Data'!G2008="","",UPPER('Paste SD Data'!G2008))</f>
        <v/>
      </c>
      <c r="G2011" s="27" t="str">
        <f>IF('Paste SD Data'!H2008="","",UPPER('Paste SD Data'!H2008))</f>
        <v/>
      </c>
      <c r="H2011" s="26" t="str">
        <f>IF('Paste SD Data'!I2008="","",IF('Paste SD Data'!I2008="M","BOY","GIRL"))</f>
        <v/>
      </c>
      <c r="I2011" s="28" t="str">
        <f>IF('Paste SD Data'!J2008="","",'Paste SD Data'!J2008)</f>
        <v/>
      </c>
      <c r="J2011" s="34">
        <f t="shared" si="31"/>
        <v>2437</v>
      </c>
      <c r="K2011" s="29" t="str">
        <f>IF('Paste SD Data'!O2008="","",'Paste SD Data'!O2008)</f>
        <v/>
      </c>
    </row>
    <row r="2012" spans="1:11" ht="30" customHeight="1" x14ac:dyDescent="0.25">
      <c r="A2012" s="25" t="str">
        <f>IF(Table1[[#This Row],[Name of Student]]="","",ROWS($A$1:A2008))</f>
        <v/>
      </c>
      <c r="B2012" s="26" t="str">
        <f>IF('Paste SD Data'!A2009="","",'Paste SD Data'!A2009)</f>
        <v/>
      </c>
      <c r="C2012" s="26" t="str">
        <f>IF('Paste SD Data'!B2009="","",'Paste SD Data'!B2009)</f>
        <v/>
      </c>
      <c r="D2012" s="26" t="str">
        <f>IF('Paste SD Data'!C2009="","",'Paste SD Data'!C2009)</f>
        <v/>
      </c>
      <c r="E2012" s="27" t="str">
        <f>IF('Paste SD Data'!E2009="","",UPPER('Paste SD Data'!E2009))</f>
        <v/>
      </c>
      <c r="F2012" s="27" t="str">
        <f>IF('Paste SD Data'!G2009="","",UPPER('Paste SD Data'!G2009))</f>
        <v/>
      </c>
      <c r="G2012" s="27" t="str">
        <f>IF('Paste SD Data'!H2009="","",UPPER('Paste SD Data'!H2009))</f>
        <v/>
      </c>
      <c r="H2012" s="26" t="str">
        <f>IF('Paste SD Data'!I2009="","",IF('Paste SD Data'!I2009="M","BOY","GIRL"))</f>
        <v/>
      </c>
      <c r="I2012" s="28" t="str">
        <f>IF('Paste SD Data'!J2009="","",'Paste SD Data'!J2009)</f>
        <v/>
      </c>
      <c r="J2012" s="34">
        <f t="shared" si="31"/>
        <v>2438</v>
      </c>
      <c r="K2012" s="29" t="str">
        <f>IF('Paste SD Data'!O2009="","",'Paste SD Data'!O2009)</f>
        <v/>
      </c>
    </row>
    <row r="2013" spans="1:11" ht="30" customHeight="1" x14ac:dyDescent="0.25">
      <c r="A2013" s="25" t="str">
        <f>IF(Table1[[#This Row],[Name of Student]]="","",ROWS($A$1:A2009))</f>
        <v/>
      </c>
      <c r="B2013" s="26" t="str">
        <f>IF('Paste SD Data'!A2010="","",'Paste SD Data'!A2010)</f>
        <v/>
      </c>
      <c r="C2013" s="26" t="str">
        <f>IF('Paste SD Data'!B2010="","",'Paste SD Data'!B2010)</f>
        <v/>
      </c>
      <c r="D2013" s="26" t="str">
        <f>IF('Paste SD Data'!C2010="","",'Paste SD Data'!C2010)</f>
        <v/>
      </c>
      <c r="E2013" s="27" t="str">
        <f>IF('Paste SD Data'!E2010="","",UPPER('Paste SD Data'!E2010))</f>
        <v/>
      </c>
      <c r="F2013" s="27" t="str">
        <f>IF('Paste SD Data'!G2010="","",UPPER('Paste SD Data'!G2010))</f>
        <v/>
      </c>
      <c r="G2013" s="27" t="str">
        <f>IF('Paste SD Data'!H2010="","",UPPER('Paste SD Data'!H2010))</f>
        <v/>
      </c>
      <c r="H2013" s="26" t="str">
        <f>IF('Paste SD Data'!I2010="","",IF('Paste SD Data'!I2010="M","BOY","GIRL"))</f>
        <v/>
      </c>
      <c r="I2013" s="28" t="str">
        <f>IF('Paste SD Data'!J2010="","",'Paste SD Data'!J2010)</f>
        <v/>
      </c>
      <c r="J2013" s="34">
        <f t="shared" si="31"/>
        <v>2439</v>
      </c>
      <c r="K2013" s="29" t="str">
        <f>IF('Paste SD Data'!O2010="","",'Paste SD Data'!O2010)</f>
        <v/>
      </c>
    </row>
    <row r="2014" spans="1:11" ht="30" customHeight="1" x14ac:dyDescent="0.25">
      <c r="A2014" s="25" t="str">
        <f>IF(Table1[[#This Row],[Name of Student]]="","",ROWS($A$1:A2010))</f>
        <v/>
      </c>
      <c r="B2014" s="26" t="str">
        <f>IF('Paste SD Data'!A2011="","",'Paste SD Data'!A2011)</f>
        <v/>
      </c>
      <c r="C2014" s="26" t="str">
        <f>IF('Paste SD Data'!B2011="","",'Paste SD Data'!B2011)</f>
        <v/>
      </c>
      <c r="D2014" s="26" t="str">
        <f>IF('Paste SD Data'!C2011="","",'Paste SD Data'!C2011)</f>
        <v/>
      </c>
      <c r="E2014" s="27" t="str">
        <f>IF('Paste SD Data'!E2011="","",UPPER('Paste SD Data'!E2011))</f>
        <v/>
      </c>
      <c r="F2014" s="27" t="str">
        <f>IF('Paste SD Data'!G2011="","",UPPER('Paste SD Data'!G2011))</f>
        <v/>
      </c>
      <c r="G2014" s="27" t="str">
        <f>IF('Paste SD Data'!H2011="","",UPPER('Paste SD Data'!H2011))</f>
        <v/>
      </c>
      <c r="H2014" s="26" t="str">
        <f>IF('Paste SD Data'!I2011="","",IF('Paste SD Data'!I2011="M","BOY","GIRL"))</f>
        <v/>
      </c>
      <c r="I2014" s="28" t="str">
        <f>IF('Paste SD Data'!J2011="","",'Paste SD Data'!J2011)</f>
        <v/>
      </c>
      <c r="J2014" s="34">
        <f t="shared" si="31"/>
        <v>2440</v>
      </c>
      <c r="K2014" s="29" t="str">
        <f>IF('Paste SD Data'!O2011="","",'Paste SD Data'!O2011)</f>
        <v/>
      </c>
    </row>
    <row r="2015" spans="1:11" ht="30" customHeight="1" x14ac:dyDescent="0.25">
      <c r="A2015" s="25" t="str">
        <f>IF(Table1[[#This Row],[Name of Student]]="","",ROWS($A$1:A2011))</f>
        <v/>
      </c>
      <c r="B2015" s="26" t="str">
        <f>IF('Paste SD Data'!A2012="","",'Paste SD Data'!A2012)</f>
        <v/>
      </c>
      <c r="C2015" s="26" t="str">
        <f>IF('Paste SD Data'!B2012="","",'Paste SD Data'!B2012)</f>
        <v/>
      </c>
      <c r="D2015" s="26" t="str">
        <f>IF('Paste SD Data'!C2012="","",'Paste SD Data'!C2012)</f>
        <v/>
      </c>
      <c r="E2015" s="27" t="str">
        <f>IF('Paste SD Data'!E2012="","",UPPER('Paste SD Data'!E2012))</f>
        <v/>
      </c>
      <c r="F2015" s="27" t="str">
        <f>IF('Paste SD Data'!G2012="","",UPPER('Paste SD Data'!G2012))</f>
        <v/>
      </c>
      <c r="G2015" s="27" t="str">
        <f>IF('Paste SD Data'!H2012="","",UPPER('Paste SD Data'!H2012))</f>
        <v/>
      </c>
      <c r="H2015" s="26" t="str">
        <f>IF('Paste SD Data'!I2012="","",IF('Paste SD Data'!I2012="M","BOY","GIRL"))</f>
        <v/>
      </c>
      <c r="I2015" s="28" t="str">
        <f>IF('Paste SD Data'!J2012="","",'Paste SD Data'!J2012)</f>
        <v/>
      </c>
      <c r="J2015" s="34">
        <f t="shared" si="31"/>
        <v>2441</v>
      </c>
      <c r="K2015" s="29" t="str">
        <f>IF('Paste SD Data'!O2012="","",'Paste SD Data'!O2012)</f>
        <v/>
      </c>
    </row>
    <row r="2016" spans="1:11" ht="30" customHeight="1" x14ac:dyDescent="0.25">
      <c r="A2016" s="25" t="str">
        <f>IF(Table1[[#This Row],[Name of Student]]="","",ROWS($A$1:A2012))</f>
        <v/>
      </c>
      <c r="B2016" s="26" t="str">
        <f>IF('Paste SD Data'!A2013="","",'Paste SD Data'!A2013)</f>
        <v/>
      </c>
      <c r="C2016" s="26" t="str">
        <f>IF('Paste SD Data'!B2013="","",'Paste SD Data'!B2013)</f>
        <v/>
      </c>
      <c r="D2016" s="26" t="str">
        <f>IF('Paste SD Data'!C2013="","",'Paste SD Data'!C2013)</f>
        <v/>
      </c>
      <c r="E2016" s="27" t="str">
        <f>IF('Paste SD Data'!E2013="","",UPPER('Paste SD Data'!E2013))</f>
        <v/>
      </c>
      <c r="F2016" s="27" t="str">
        <f>IF('Paste SD Data'!G2013="","",UPPER('Paste SD Data'!G2013))</f>
        <v/>
      </c>
      <c r="G2016" s="27" t="str">
        <f>IF('Paste SD Data'!H2013="","",UPPER('Paste SD Data'!H2013))</f>
        <v/>
      </c>
      <c r="H2016" s="26" t="str">
        <f>IF('Paste SD Data'!I2013="","",IF('Paste SD Data'!I2013="M","BOY","GIRL"))</f>
        <v/>
      </c>
      <c r="I2016" s="28" t="str">
        <f>IF('Paste SD Data'!J2013="","",'Paste SD Data'!J2013)</f>
        <v/>
      </c>
      <c r="J2016" s="34">
        <f t="shared" si="31"/>
        <v>2442</v>
      </c>
      <c r="K2016" s="29" t="str">
        <f>IF('Paste SD Data'!O2013="","",'Paste SD Data'!O2013)</f>
        <v/>
      </c>
    </row>
    <row r="2017" spans="1:11" ht="30" customHeight="1" x14ac:dyDescent="0.25">
      <c r="A2017" s="25" t="str">
        <f>IF(Table1[[#This Row],[Name of Student]]="","",ROWS($A$1:A2013))</f>
        <v/>
      </c>
      <c r="B2017" s="26" t="str">
        <f>IF('Paste SD Data'!A2014="","",'Paste SD Data'!A2014)</f>
        <v/>
      </c>
      <c r="C2017" s="26" t="str">
        <f>IF('Paste SD Data'!B2014="","",'Paste SD Data'!B2014)</f>
        <v/>
      </c>
      <c r="D2017" s="26" t="str">
        <f>IF('Paste SD Data'!C2014="","",'Paste SD Data'!C2014)</f>
        <v/>
      </c>
      <c r="E2017" s="27" t="str">
        <f>IF('Paste SD Data'!E2014="","",UPPER('Paste SD Data'!E2014))</f>
        <v/>
      </c>
      <c r="F2017" s="27" t="str">
        <f>IF('Paste SD Data'!G2014="","",UPPER('Paste SD Data'!G2014))</f>
        <v/>
      </c>
      <c r="G2017" s="27" t="str">
        <f>IF('Paste SD Data'!H2014="","",UPPER('Paste SD Data'!H2014))</f>
        <v/>
      </c>
      <c r="H2017" s="26" t="str">
        <f>IF('Paste SD Data'!I2014="","",IF('Paste SD Data'!I2014="M","BOY","GIRL"))</f>
        <v/>
      </c>
      <c r="I2017" s="28" t="str">
        <f>IF('Paste SD Data'!J2014="","",'Paste SD Data'!J2014)</f>
        <v/>
      </c>
      <c r="J2017" s="34">
        <f t="shared" si="31"/>
        <v>2443</v>
      </c>
      <c r="K2017" s="29" t="str">
        <f>IF('Paste SD Data'!O2014="","",'Paste SD Data'!O2014)</f>
        <v/>
      </c>
    </row>
    <row r="2018" spans="1:11" ht="30" customHeight="1" x14ac:dyDescent="0.25">
      <c r="A2018" s="25" t="str">
        <f>IF(Table1[[#This Row],[Name of Student]]="","",ROWS($A$1:A2014))</f>
        <v/>
      </c>
      <c r="B2018" s="26" t="str">
        <f>IF('Paste SD Data'!A2015="","",'Paste SD Data'!A2015)</f>
        <v/>
      </c>
      <c r="C2018" s="26" t="str">
        <f>IF('Paste SD Data'!B2015="","",'Paste SD Data'!B2015)</f>
        <v/>
      </c>
      <c r="D2018" s="26" t="str">
        <f>IF('Paste SD Data'!C2015="","",'Paste SD Data'!C2015)</f>
        <v/>
      </c>
      <c r="E2018" s="27" t="str">
        <f>IF('Paste SD Data'!E2015="","",UPPER('Paste SD Data'!E2015))</f>
        <v/>
      </c>
      <c r="F2018" s="27" t="str">
        <f>IF('Paste SD Data'!G2015="","",UPPER('Paste SD Data'!G2015))</f>
        <v/>
      </c>
      <c r="G2018" s="27" t="str">
        <f>IF('Paste SD Data'!H2015="","",UPPER('Paste SD Data'!H2015))</f>
        <v/>
      </c>
      <c r="H2018" s="26" t="str">
        <f>IF('Paste SD Data'!I2015="","",IF('Paste SD Data'!I2015="M","BOY","GIRL"))</f>
        <v/>
      </c>
      <c r="I2018" s="28" t="str">
        <f>IF('Paste SD Data'!J2015="","",'Paste SD Data'!J2015)</f>
        <v/>
      </c>
      <c r="J2018" s="34">
        <f t="shared" si="31"/>
        <v>2444</v>
      </c>
      <c r="K2018" s="29" t="str">
        <f>IF('Paste SD Data'!O2015="","",'Paste SD Data'!O2015)</f>
        <v/>
      </c>
    </row>
    <row r="2019" spans="1:11" ht="30" customHeight="1" x14ac:dyDescent="0.25">
      <c r="A2019" s="25" t="str">
        <f>IF(Table1[[#This Row],[Name of Student]]="","",ROWS($A$1:A2015))</f>
        <v/>
      </c>
      <c r="B2019" s="26" t="str">
        <f>IF('Paste SD Data'!A2016="","",'Paste SD Data'!A2016)</f>
        <v/>
      </c>
      <c r="C2019" s="26" t="str">
        <f>IF('Paste SD Data'!B2016="","",'Paste SD Data'!B2016)</f>
        <v/>
      </c>
      <c r="D2019" s="26" t="str">
        <f>IF('Paste SD Data'!C2016="","",'Paste SD Data'!C2016)</f>
        <v/>
      </c>
      <c r="E2019" s="27" t="str">
        <f>IF('Paste SD Data'!E2016="","",UPPER('Paste SD Data'!E2016))</f>
        <v/>
      </c>
      <c r="F2019" s="27" t="str">
        <f>IF('Paste SD Data'!G2016="","",UPPER('Paste SD Data'!G2016))</f>
        <v/>
      </c>
      <c r="G2019" s="27" t="str">
        <f>IF('Paste SD Data'!H2016="","",UPPER('Paste SD Data'!H2016))</f>
        <v/>
      </c>
      <c r="H2019" s="26" t="str">
        <f>IF('Paste SD Data'!I2016="","",IF('Paste SD Data'!I2016="M","BOY","GIRL"))</f>
        <v/>
      </c>
      <c r="I2019" s="28" t="str">
        <f>IF('Paste SD Data'!J2016="","",'Paste SD Data'!J2016)</f>
        <v/>
      </c>
      <c r="J2019" s="34">
        <f t="shared" si="31"/>
        <v>2445</v>
      </c>
      <c r="K2019" s="29" t="str">
        <f>IF('Paste SD Data'!O2016="","",'Paste SD Data'!O2016)</f>
        <v/>
      </c>
    </row>
    <row r="2020" spans="1:11" ht="30" customHeight="1" x14ac:dyDescent="0.25">
      <c r="A2020" s="25" t="str">
        <f>IF(Table1[[#This Row],[Name of Student]]="","",ROWS($A$1:A2016))</f>
        <v/>
      </c>
      <c r="B2020" s="26" t="str">
        <f>IF('Paste SD Data'!A2017="","",'Paste SD Data'!A2017)</f>
        <v/>
      </c>
      <c r="C2020" s="26" t="str">
        <f>IF('Paste SD Data'!B2017="","",'Paste SD Data'!B2017)</f>
        <v/>
      </c>
      <c r="D2020" s="26" t="str">
        <f>IF('Paste SD Data'!C2017="","",'Paste SD Data'!C2017)</f>
        <v/>
      </c>
      <c r="E2020" s="27" t="str">
        <f>IF('Paste SD Data'!E2017="","",UPPER('Paste SD Data'!E2017))</f>
        <v/>
      </c>
      <c r="F2020" s="27" t="str">
        <f>IF('Paste SD Data'!G2017="","",UPPER('Paste SD Data'!G2017))</f>
        <v/>
      </c>
      <c r="G2020" s="27" t="str">
        <f>IF('Paste SD Data'!H2017="","",UPPER('Paste SD Data'!H2017))</f>
        <v/>
      </c>
      <c r="H2020" s="26" t="str">
        <f>IF('Paste SD Data'!I2017="","",IF('Paste SD Data'!I2017="M","BOY","GIRL"))</f>
        <v/>
      </c>
      <c r="I2020" s="28" t="str">
        <f>IF('Paste SD Data'!J2017="","",'Paste SD Data'!J2017)</f>
        <v/>
      </c>
      <c r="J2020" s="34">
        <f t="shared" si="31"/>
        <v>2446</v>
      </c>
      <c r="K2020" s="29" t="str">
        <f>IF('Paste SD Data'!O2017="","",'Paste SD Data'!O2017)</f>
        <v/>
      </c>
    </row>
    <row r="2021" spans="1:11" ht="30" customHeight="1" x14ac:dyDescent="0.25">
      <c r="A2021" s="25" t="str">
        <f>IF(Table1[[#This Row],[Name of Student]]="","",ROWS($A$1:A2017))</f>
        <v/>
      </c>
      <c r="B2021" s="26" t="str">
        <f>IF('Paste SD Data'!A2018="","",'Paste SD Data'!A2018)</f>
        <v/>
      </c>
      <c r="C2021" s="26" t="str">
        <f>IF('Paste SD Data'!B2018="","",'Paste SD Data'!B2018)</f>
        <v/>
      </c>
      <c r="D2021" s="26" t="str">
        <f>IF('Paste SD Data'!C2018="","",'Paste SD Data'!C2018)</f>
        <v/>
      </c>
      <c r="E2021" s="27" t="str">
        <f>IF('Paste SD Data'!E2018="","",UPPER('Paste SD Data'!E2018))</f>
        <v/>
      </c>
      <c r="F2021" s="27" t="str">
        <f>IF('Paste SD Data'!G2018="","",UPPER('Paste SD Data'!G2018))</f>
        <v/>
      </c>
      <c r="G2021" s="27" t="str">
        <f>IF('Paste SD Data'!H2018="","",UPPER('Paste SD Data'!H2018))</f>
        <v/>
      </c>
      <c r="H2021" s="26" t="str">
        <f>IF('Paste SD Data'!I2018="","",IF('Paste SD Data'!I2018="M","BOY","GIRL"))</f>
        <v/>
      </c>
      <c r="I2021" s="28" t="str">
        <f>IF('Paste SD Data'!J2018="","",'Paste SD Data'!J2018)</f>
        <v/>
      </c>
      <c r="J2021" s="34">
        <f t="shared" si="31"/>
        <v>2447</v>
      </c>
      <c r="K2021" s="29" t="str">
        <f>IF('Paste SD Data'!O2018="","",'Paste SD Data'!O2018)</f>
        <v/>
      </c>
    </row>
    <row r="2022" spans="1:11" ht="30" customHeight="1" x14ac:dyDescent="0.25">
      <c r="A2022" s="25" t="str">
        <f>IF(Table1[[#This Row],[Name of Student]]="","",ROWS($A$1:A2018))</f>
        <v/>
      </c>
      <c r="B2022" s="26" t="str">
        <f>IF('Paste SD Data'!A2019="","",'Paste SD Data'!A2019)</f>
        <v/>
      </c>
      <c r="C2022" s="26" t="str">
        <f>IF('Paste SD Data'!B2019="","",'Paste SD Data'!B2019)</f>
        <v/>
      </c>
      <c r="D2022" s="26" t="str">
        <f>IF('Paste SD Data'!C2019="","",'Paste SD Data'!C2019)</f>
        <v/>
      </c>
      <c r="E2022" s="27" t="str">
        <f>IF('Paste SD Data'!E2019="","",UPPER('Paste SD Data'!E2019))</f>
        <v/>
      </c>
      <c r="F2022" s="27" t="str">
        <f>IF('Paste SD Data'!G2019="","",UPPER('Paste SD Data'!G2019))</f>
        <v/>
      </c>
      <c r="G2022" s="27" t="str">
        <f>IF('Paste SD Data'!H2019="","",UPPER('Paste SD Data'!H2019))</f>
        <v/>
      </c>
      <c r="H2022" s="26" t="str">
        <f>IF('Paste SD Data'!I2019="","",IF('Paste SD Data'!I2019="M","BOY","GIRL"))</f>
        <v/>
      </c>
      <c r="I2022" s="28" t="str">
        <f>IF('Paste SD Data'!J2019="","",'Paste SD Data'!J2019)</f>
        <v/>
      </c>
      <c r="J2022" s="34">
        <f t="shared" si="31"/>
        <v>2448</v>
      </c>
      <c r="K2022" s="29" t="str">
        <f>IF('Paste SD Data'!O2019="","",'Paste SD Data'!O2019)</f>
        <v/>
      </c>
    </row>
    <row r="2023" spans="1:11" ht="30" customHeight="1" x14ac:dyDescent="0.25">
      <c r="A2023" s="25" t="str">
        <f>IF(Table1[[#This Row],[Name of Student]]="","",ROWS($A$1:A2019))</f>
        <v/>
      </c>
      <c r="B2023" s="26" t="str">
        <f>IF('Paste SD Data'!A2020="","",'Paste SD Data'!A2020)</f>
        <v/>
      </c>
      <c r="C2023" s="26" t="str">
        <f>IF('Paste SD Data'!B2020="","",'Paste SD Data'!B2020)</f>
        <v/>
      </c>
      <c r="D2023" s="26" t="str">
        <f>IF('Paste SD Data'!C2020="","",'Paste SD Data'!C2020)</f>
        <v/>
      </c>
      <c r="E2023" s="27" t="str">
        <f>IF('Paste SD Data'!E2020="","",UPPER('Paste SD Data'!E2020))</f>
        <v/>
      </c>
      <c r="F2023" s="27" t="str">
        <f>IF('Paste SD Data'!G2020="","",UPPER('Paste SD Data'!G2020))</f>
        <v/>
      </c>
      <c r="G2023" s="27" t="str">
        <f>IF('Paste SD Data'!H2020="","",UPPER('Paste SD Data'!H2020))</f>
        <v/>
      </c>
      <c r="H2023" s="26" t="str">
        <f>IF('Paste SD Data'!I2020="","",IF('Paste SD Data'!I2020="M","BOY","GIRL"))</f>
        <v/>
      </c>
      <c r="I2023" s="28" t="str">
        <f>IF('Paste SD Data'!J2020="","",'Paste SD Data'!J2020)</f>
        <v/>
      </c>
      <c r="J2023" s="34">
        <f t="shared" si="31"/>
        <v>2449</v>
      </c>
      <c r="K2023" s="29" t="str">
        <f>IF('Paste SD Data'!O2020="","",'Paste SD Data'!O2020)</f>
        <v/>
      </c>
    </row>
    <row r="2024" spans="1:11" ht="30" customHeight="1" x14ac:dyDescent="0.25">
      <c r="A2024" s="25" t="str">
        <f>IF(Table1[[#This Row],[Name of Student]]="","",ROWS($A$1:A2020))</f>
        <v/>
      </c>
      <c r="B2024" s="26" t="str">
        <f>IF('Paste SD Data'!A2021="","",'Paste SD Data'!A2021)</f>
        <v/>
      </c>
      <c r="C2024" s="26" t="str">
        <f>IF('Paste SD Data'!B2021="","",'Paste SD Data'!B2021)</f>
        <v/>
      </c>
      <c r="D2024" s="26" t="str">
        <f>IF('Paste SD Data'!C2021="","",'Paste SD Data'!C2021)</f>
        <v/>
      </c>
      <c r="E2024" s="27" t="str">
        <f>IF('Paste SD Data'!E2021="","",UPPER('Paste SD Data'!E2021))</f>
        <v/>
      </c>
      <c r="F2024" s="27" t="str">
        <f>IF('Paste SD Data'!G2021="","",UPPER('Paste SD Data'!G2021))</f>
        <v/>
      </c>
      <c r="G2024" s="27" t="str">
        <f>IF('Paste SD Data'!H2021="","",UPPER('Paste SD Data'!H2021))</f>
        <v/>
      </c>
      <c r="H2024" s="26" t="str">
        <f>IF('Paste SD Data'!I2021="","",IF('Paste SD Data'!I2021="M","BOY","GIRL"))</f>
        <v/>
      </c>
      <c r="I2024" s="28" t="str">
        <f>IF('Paste SD Data'!J2021="","",'Paste SD Data'!J2021)</f>
        <v/>
      </c>
      <c r="J2024" s="34">
        <f t="shared" si="31"/>
        <v>2450</v>
      </c>
      <c r="K2024" s="29" t="str">
        <f>IF('Paste SD Data'!O2021="","",'Paste SD Data'!O2021)</f>
        <v/>
      </c>
    </row>
    <row r="2025" spans="1:11" ht="30" customHeight="1" x14ac:dyDescent="0.25">
      <c r="A2025" s="25" t="str">
        <f>IF(Table1[[#This Row],[Name of Student]]="","",ROWS($A$1:A2021))</f>
        <v/>
      </c>
      <c r="B2025" s="26" t="str">
        <f>IF('Paste SD Data'!A2022="","",'Paste SD Data'!A2022)</f>
        <v/>
      </c>
      <c r="C2025" s="26" t="str">
        <f>IF('Paste SD Data'!B2022="","",'Paste SD Data'!B2022)</f>
        <v/>
      </c>
      <c r="D2025" s="26" t="str">
        <f>IF('Paste SD Data'!C2022="","",'Paste SD Data'!C2022)</f>
        <v/>
      </c>
      <c r="E2025" s="27" t="str">
        <f>IF('Paste SD Data'!E2022="","",UPPER('Paste SD Data'!E2022))</f>
        <v/>
      </c>
      <c r="F2025" s="27" t="str">
        <f>IF('Paste SD Data'!G2022="","",UPPER('Paste SD Data'!G2022))</f>
        <v/>
      </c>
      <c r="G2025" s="27" t="str">
        <f>IF('Paste SD Data'!H2022="","",UPPER('Paste SD Data'!H2022))</f>
        <v/>
      </c>
      <c r="H2025" s="26" t="str">
        <f>IF('Paste SD Data'!I2022="","",IF('Paste SD Data'!I2022="M","BOY","GIRL"))</f>
        <v/>
      </c>
      <c r="I2025" s="28" t="str">
        <f>IF('Paste SD Data'!J2022="","",'Paste SD Data'!J2022)</f>
        <v/>
      </c>
      <c r="J2025" s="34">
        <f t="shared" si="31"/>
        <v>2451</v>
      </c>
      <c r="K2025" s="29" t="str">
        <f>IF('Paste SD Data'!O2022="","",'Paste SD Data'!O2022)</f>
        <v/>
      </c>
    </row>
    <row r="2026" spans="1:11" ht="30" customHeight="1" x14ac:dyDescent="0.25">
      <c r="A2026" s="25" t="str">
        <f>IF(Table1[[#This Row],[Name of Student]]="","",ROWS($A$1:A2022))</f>
        <v/>
      </c>
      <c r="B2026" s="26" t="str">
        <f>IF('Paste SD Data'!A2023="","",'Paste SD Data'!A2023)</f>
        <v/>
      </c>
      <c r="C2026" s="26" t="str">
        <f>IF('Paste SD Data'!B2023="","",'Paste SD Data'!B2023)</f>
        <v/>
      </c>
      <c r="D2026" s="26" t="str">
        <f>IF('Paste SD Data'!C2023="","",'Paste SD Data'!C2023)</f>
        <v/>
      </c>
      <c r="E2026" s="27" t="str">
        <f>IF('Paste SD Data'!E2023="","",UPPER('Paste SD Data'!E2023))</f>
        <v/>
      </c>
      <c r="F2026" s="27" t="str">
        <f>IF('Paste SD Data'!G2023="","",UPPER('Paste SD Data'!G2023))</f>
        <v/>
      </c>
      <c r="G2026" s="27" t="str">
        <f>IF('Paste SD Data'!H2023="","",UPPER('Paste SD Data'!H2023))</f>
        <v/>
      </c>
      <c r="H2026" s="26" t="str">
        <f>IF('Paste SD Data'!I2023="","",IF('Paste SD Data'!I2023="M","BOY","GIRL"))</f>
        <v/>
      </c>
      <c r="I2026" s="28" t="str">
        <f>IF('Paste SD Data'!J2023="","",'Paste SD Data'!J2023)</f>
        <v/>
      </c>
      <c r="J2026" s="34">
        <f t="shared" si="31"/>
        <v>2452</v>
      </c>
      <c r="K2026" s="29" t="str">
        <f>IF('Paste SD Data'!O2023="","",'Paste SD Data'!O2023)</f>
        <v/>
      </c>
    </row>
    <row r="2027" spans="1:11" ht="30" customHeight="1" x14ac:dyDescent="0.25">
      <c r="A2027" s="25" t="str">
        <f>IF(Table1[[#This Row],[Name of Student]]="","",ROWS($A$1:A2023))</f>
        <v/>
      </c>
      <c r="B2027" s="26" t="str">
        <f>IF('Paste SD Data'!A2024="","",'Paste SD Data'!A2024)</f>
        <v/>
      </c>
      <c r="C2027" s="26" t="str">
        <f>IF('Paste SD Data'!B2024="","",'Paste SD Data'!B2024)</f>
        <v/>
      </c>
      <c r="D2027" s="26" t="str">
        <f>IF('Paste SD Data'!C2024="","",'Paste SD Data'!C2024)</f>
        <v/>
      </c>
      <c r="E2027" s="27" t="str">
        <f>IF('Paste SD Data'!E2024="","",UPPER('Paste SD Data'!E2024))</f>
        <v/>
      </c>
      <c r="F2027" s="27" t="str">
        <f>IF('Paste SD Data'!G2024="","",UPPER('Paste SD Data'!G2024))</f>
        <v/>
      </c>
      <c r="G2027" s="27" t="str">
        <f>IF('Paste SD Data'!H2024="","",UPPER('Paste SD Data'!H2024))</f>
        <v/>
      </c>
      <c r="H2027" s="26" t="str">
        <f>IF('Paste SD Data'!I2024="","",IF('Paste SD Data'!I2024="M","BOY","GIRL"))</f>
        <v/>
      </c>
      <c r="I2027" s="28" t="str">
        <f>IF('Paste SD Data'!J2024="","",'Paste SD Data'!J2024)</f>
        <v/>
      </c>
      <c r="J2027" s="34">
        <f t="shared" si="31"/>
        <v>2453</v>
      </c>
      <c r="K2027" s="29" t="str">
        <f>IF('Paste SD Data'!O2024="","",'Paste SD Data'!O2024)</f>
        <v/>
      </c>
    </row>
    <row r="2028" spans="1:11" ht="30" customHeight="1" x14ac:dyDescent="0.25">
      <c r="A2028" s="25" t="str">
        <f>IF(Table1[[#This Row],[Name of Student]]="","",ROWS($A$1:A2024))</f>
        <v/>
      </c>
      <c r="B2028" s="26" t="str">
        <f>IF('Paste SD Data'!A2025="","",'Paste SD Data'!A2025)</f>
        <v/>
      </c>
      <c r="C2028" s="26" t="str">
        <f>IF('Paste SD Data'!B2025="","",'Paste SD Data'!B2025)</f>
        <v/>
      </c>
      <c r="D2028" s="26" t="str">
        <f>IF('Paste SD Data'!C2025="","",'Paste SD Data'!C2025)</f>
        <v/>
      </c>
      <c r="E2028" s="27" t="str">
        <f>IF('Paste SD Data'!E2025="","",UPPER('Paste SD Data'!E2025))</f>
        <v/>
      </c>
      <c r="F2028" s="27" t="str">
        <f>IF('Paste SD Data'!G2025="","",UPPER('Paste SD Data'!G2025))</f>
        <v/>
      </c>
      <c r="G2028" s="27" t="str">
        <f>IF('Paste SD Data'!H2025="","",UPPER('Paste SD Data'!H2025))</f>
        <v/>
      </c>
      <c r="H2028" s="26" t="str">
        <f>IF('Paste SD Data'!I2025="","",IF('Paste SD Data'!I2025="M","BOY","GIRL"))</f>
        <v/>
      </c>
      <c r="I2028" s="28" t="str">
        <f>IF('Paste SD Data'!J2025="","",'Paste SD Data'!J2025)</f>
        <v/>
      </c>
      <c r="J2028" s="34">
        <f t="shared" si="31"/>
        <v>2454</v>
      </c>
      <c r="K2028" s="29" t="str">
        <f>IF('Paste SD Data'!O2025="","",'Paste SD Data'!O2025)</f>
        <v/>
      </c>
    </row>
    <row r="2029" spans="1:11" ht="30" customHeight="1" x14ac:dyDescent="0.25">
      <c r="A2029" s="25" t="str">
        <f>IF(Table1[[#This Row],[Name of Student]]="","",ROWS($A$1:A2025))</f>
        <v/>
      </c>
      <c r="B2029" s="26" t="str">
        <f>IF('Paste SD Data'!A2026="","",'Paste SD Data'!A2026)</f>
        <v/>
      </c>
      <c r="C2029" s="26" t="str">
        <f>IF('Paste SD Data'!B2026="","",'Paste SD Data'!B2026)</f>
        <v/>
      </c>
      <c r="D2029" s="26" t="str">
        <f>IF('Paste SD Data'!C2026="","",'Paste SD Data'!C2026)</f>
        <v/>
      </c>
      <c r="E2029" s="27" t="str">
        <f>IF('Paste SD Data'!E2026="","",UPPER('Paste SD Data'!E2026))</f>
        <v/>
      </c>
      <c r="F2029" s="27" t="str">
        <f>IF('Paste SD Data'!G2026="","",UPPER('Paste SD Data'!G2026))</f>
        <v/>
      </c>
      <c r="G2029" s="27" t="str">
        <f>IF('Paste SD Data'!H2026="","",UPPER('Paste SD Data'!H2026))</f>
        <v/>
      </c>
      <c r="H2029" s="26" t="str">
        <f>IF('Paste SD Data'!I2026="","",IF('Paste SD Data'!I2026="M","BOY","GIRL"))</f>
        <v/>
      </c>
      <c r="I2029" s="28" t="str">
        <f>IF('Paste SD Data'!J2026="","",'Paste SD Data'!J2026)</f>
        <v/>
      </c>
      <c r="J2029" s="34">
        <f t="shared" si="31"/>
        <v>2455</v>
      </c>
      <c r="K2029" s="29" t="str">
        <f>IF('Paste SD Data'!O2026="","",'Paste SD Data'!O2026)</f>
        <v/>
      </c>
    </row>
    <row r="2030" spans="1:11" ht="30" customHeight="1" x14ac:dyDescent="0.25">
      <c r="A2030" s="25" t="str">
        <f>IF(Table1[[#This Row],[Name of Student]]="","",ROWS($A$1:A2026))</f>
        <v/>
      </c>
      <c r="B2030" s="26" t="str">
        <f>IF('Paste SD Data'!A2027="","",'Paste SD Data'!A2027)</f>
        <v/>
      </c>
      <c r="C2030" s="26" t="str">
        <f>IF('Paste SD Data'!B2027="","",'Paste SD Data'!B2027)</f>
        <v/>
      </c>
      <c r="D2030" s="26" t="str">
        <f>IF('Paste SD Data'!C2027="","",'Paste SD Data'!C2027)</f>
        <v/>
      </c>
      <c r="E2030" s="27" t="str">
        <f>IF('Paste SD Data'!E2027="","",UPPER('Paste SD Data'!E2027))</f>
        <v/>
      </c>
      <c r="F2030" s="27" t="str">
        <f>IF('Paste SD Data'!G2027="","",UPPER('Paste SD Data'!G2027))</f>
        <v/>
      </c>
      <c r="G2030" s="27" t="str">
        <f>IF('Paste SD Data'!H2027="","",UPPER('Paste SD Data'!H2027))</f>
        <v/>
      </c>
      <c r="H2030" s="26" t="str">
        <f>IF('Paste SD Data'!I2027="","",IF('Paste SD Data'!I2027="M","BOY","GIRL"))</f>
        <v/>
      </c>
      <c r="I2030" s="28" t="str">
        <f>IF('Paste SD Data'!J2027="","",'Paste SD Data'!J2027)</f>
        <v/>
      </c>
      <c r="J2030" s="34">
        <f t="shared" si="31"/>
        <v>2456</v>
      </c>
      <c r="K2030" s="29" t="str">
        <f>IF('Paste SD Data'!O2027="","",'Paste SD Data'!O2027)</f>
        <v/>
      </c>
    </row>
    <row r="2031" spans="1:11" ht="30" customHeight="1" x14ac:dyDescent="0.25">
      <c r="A2031" s="25" t="str">
        <f>IF(Table1[[#This Row],[Name of Student]]="","",ROWS($A$1:A2027))</f>
        <v/>
      </c>
      <c r="B2031" s="26" t="str">
        <f>IF('Paste SD Data'!A2028="","",'Paste SD Data'!A2028)</f>
        <v/>
      </c>
      <c r="C2031" s="26" t="str">
        <f>IF('Paste SD Data'!B2028="","",'Paste SD Data'!B2028)</f>
        <v/>
      </c>
      <c r="D2031" s="26" t="str">
        <f>IF('Paste SD Data'!C2028="","",'Paste SD Data'!C2028)</f>
        <v/>
      </c>
      <c r="E2031" s="27" t="str">
        <f>IF('Paste SD Data'!E2028="","",UPPER('Paste SD Data'!E2028))</f>
        <v/>
      </c>
      <c r="F2031" s="27" t="str">
        <f>IF('Paste SD Data'!G2028="","",UPPER('Paste SD Data'!G2028))</f>
        <v/>
      </c>
      <c r="G2031" s="27" t="str">
        <f>IF('Paste SD Data'!H2028="","",UPPER('Paste SD Data'!H2028))</f>
        <v/>
      </c>
      <c r="H2031" s="26" t="str">
        <f>IF('Paste SD Data'!I2028="","",IF('Paste SD Data'!I2028="M","BOY","GIRL"))</f>
        <v/>
      </c>
      <c r="I2031" s="28" t="str">
        <f>IF('Paste SD Data'!J2028="","",'Paste SD Data'!J2028)</f>
        <v/>
      </c>
      <c r="J2031" s="34">
        <f t="shared" si="31"/>
        <v>2457</v>
      </c>
      <c r="K2031" s="29" t="str">
        <f>IF('Paste SD Data'!O2028="","",'Paste SD Data'!O2028)</f>
        <v/>
      </c>
    </row>
    <row r="2032" spans="1:11" ht="30" customHeight="1" x14ac:dyDescent="0.25">
      <c r="A2032" s="25" t="str">
        <f>IF(Table1[[#This Row],[Name of Student]]="","",ROWS($A$1:A2028))</f>
        <v/>
      </c>
      <c r="B2032" s="26" t="str">
        <f>IF('Paste SD Data'!A2029="","",'Paste SD Data'!A2029)</f>
        <v/>
      </c>
      <c r="C2032" s="26" t="str">
        <f>IF('Paste SD Data'!B2029="","",'Paste SD Data'!B2029)</f>
        <v/>
      </c>
      <c r="D2032" s="26" t="str">
        <f>IF('Paste SD Data'!C2029="","",'Paste SD Data'!C2029)</f>
        <v/>
      </c>
      <c r="E2032" s="27" t="str">
        <f>IF('Paste SD Data'!E2029="","",UPPER('Paste SD Data'!E2029))</f>
        <v/>
      </c>
      <c r="F2032" s="27" t="str">
        <f>IF('Paste SD Data'!G2029="","",UPPER('Paste SD Data'!G2029))</f>
        <v/>
      </c>
      <c r="G2032" s="27" t="str">
        <f>IF('Paste SD Data'!H2029="","",UPPER('Paste SD Data'!H2029))</f>
        <v/>
      </c>
      <c r="H2032" s="26" t="str">
        <f>IF('Paste SD Data'!I2029="","",IF('Paste SD Data'!I2029="M","BOY","GIRL"))</f>
        <v/>
      </c>
      <c r="I2032" s="28" t="str">
        <f>IF('Paste SD Data'!J2029="","",'Paste SD Data'!J2029)</f>
        <v/>
      </c>
      <c r="J2032" s="34">
        <f t="shared" si="31"/>
        <v>2458</v>
      </c>
      <c r="K2032" s="29" t="str">
        <f>IF('Paste SD Data'!O2029="","",'Paste SD Data'!O2029)</f>
        <v/>
      </c>
    </row>
    <row r="2033" spans="1:11" ht="30" customHeight="1" x14ac:dyDescent="0.25">
      <c r="A2033" s="25" t="str">
        <f>IF(Table1[[#This Row],[Name of Student]]="","",ROWS($A$1:A2029))</f>
        <v/>
      </c>
      <c r="B2033" s="26" t="str">
        <f>IF('Paste SD Data'!A2030="","",'Paste SD Data'!A2030)</f>
        <v/>
      </c>
      <c r="C2033" s="26" t="str">
        <f>IF('Paste SD Data'!B2030="","",'Paste SD Data'!B2030)</f>
        <v/>
      </c>
      <c r="D2033" s="26" t="str">
        <f>IF('Paste SD Data'!C2030="","",'Paste SD Data'!C2030)</f>
        <v/>
      </c>
      <c r="E2033" s="27" t="str">
        <f>IF('Paste SD Data'!E2030="","",UPPER('Paste SD Data'!E2030))</f>
        <v/>
      </c>
      <c r="F2033" s="27" t="str">
        <f>IF('Paste SD Data'!G2030="","",UPPER('Paste SD Data'!G2030))</f>
        <v/>
      </c>
      <c r="G2033" s="27" t="str">
        <f>IF('Paste SD Data'!H2030="","",UPPER('Paste SD Data'!H2030))</f>
        <v/>
      </c>
      <c r="H2033" s="26" t="str">
        <f>IF('Paste SD Data'!I2030="","",IF('Paste SD Data'!I2030="M","BOY","GIRL"))</f>
        <v/>
      </c>
      <c r="I2033" s="28" t="str">
        <f>IF('Paste SD Data'!J2030="","",'Paste SD Data'!J2030)</f>
        <v/>
      </c>
      <c r="J2033" s="34">
        <f t="shared" si="31"/>
        <v>2459</v>
      </c>
      <c r="K2033" s="29" t="str">
        <f>IF('Paste SD Data'!O2030="","",'Paste SD Data'!O2030)</f>
        <v/>
      </c>
    </row>
    <row r="2034" spans="1:11" ht="30" customHeight="1" x14ac:dyDescent="0.25">
      <c r="A2034" s="25" t="str">
        <f>IF(Table1[[#This Row],[Name of Student]]="","",ROWS($A$1:A2030))</f>
        <v/>
      </c>
      <c r="B2034" s="26" t="str">
        <f>IF('Paste SD Data'!A2031="","",'Paste SD Data'!A2031)</f>
        <v/>
      </c>
      <c r="C2034" s="26" t="str">
        <f>IF('Paste SD Data'!B2031="","",'Paste SD Data'!B2031)</f>
        <v/>
      </c>
      <c r="D2034" s="26" t="str">
        <f>IF('Paste SD Data'!C2031="","",'Paste SD Data'!C2031)</f>
        <v/>
      </c>
      <c r="E2034" s="27" t="str">
        <f>IF('Paste SD Data'!E2031="","",UPPER('Paste SD Data'!E2031))</f>
        <v/>
      </c>
      <c r="F2034" s="27" t="str">
        <f>IF('Paste SD Data'!G2031="","",UPPER('Paste SD Data'!G2031))</f>
        <v/>
      </c>
      <c r="G2034" s="27" t="str">
        <f>IF('Paste SD Data'!H2031="","",UPPER('Paste SD Data'!H2031))</f>
        <v/>
      </c>
      <c r="H2034" s="26" t="str">
        <f>IF('Paste SD Data'!I2031="","",IF('Paste SD Data'!I2031="M","BOY","GIRL"))</f>
        <v/>
      </c>
      <c r="I2034" s="28" t="str">
        <f>IF('Paste SD Data'!J2031="","",'Paste SD Data'!J2031)</f>
        <v/>
      </c>
      <c r="J2034" s="34">
        <f t="shared" si="31"/>
        <v>2460</v>
      </c>
      <c r="K2034" s="29" t="str">
        <f>IF('Paste SD Data'!O2031="","",'Paste SD Data'!O2031)</f>
        <v/>
      </c>
    </row>
    <row r="2035" spans="1:11" ht="30" customHeight="1" x14ac:dyDescent="0.25">
      <c r="A2035" s="25" t="str">
        <f>IF(Table1[[#This Row],[Name of Student]]="","",ROWS($A$1:A2031))</f>
        <v/>
      </c>
      <c r="B2035" s="26" t="str">
        <f>IF('Paste SD Data'!A2032="","",'Paste SD Data'!A2032)</f>
        <v/>
      </c>
      <c r="C2035" s="26" t="str">
        <f>IF('Paste SD Data'!B2032="","",'Paste SD Data'!B2032)</f>
        <v/>
      </c>
      <c r="D2035" s="26" t="str">
        <f>IF('Paste SD Data'!C2032="","",'Paste SD Data'!C2032)</f>
        <v/>
      </c>
      <c r="E2035" s="27" t="str">
        <f>IF('Paste SD Data'!E2032="","",UPPER('Paste SD Data'!E2032))</f>
        <v/>
      </c>
      <c r="F2035" s="27" t="str">
        <f>IF('Paste SD Data'!G2032="","",UPPER('Paste SD Data'!G2032))</f>
        <v/>
      </c>
      <c r="G2035" s="27" t="str">
        <f>IF('Paste SD Data'!H2032="","",UPPER('Paste SD Data'!H2032))</f>
        <v/>
      </c>
      <c r="H2035" s="26" t="str">
        <f>IF('Paste SD Data'!I2032="","",IF('Paste SD Data'!I2032="M","BOY","GIRL"))</f>
        <v/>
      </c>
      <c r="I2035" s="28" t="str">
        <f>IF('Paste SD Data'!J2032="","",'Paste SD Data'!J2032)</f>
        <v/>
      </c>
      <c r="J2035" s="34">
        <f t="shared" si="31"/>
        <v>2461</v>
      </c>
      <c r="K2035" s="29" t="str">
        <f>IF('Paste SD Data'!O2032="","",'Paste SD Data'!O2032)</f>
        <v/>
      </c>
    </row>
    <row r="2036" spans="1:11" ht="30" customHeight="1" x14ac:dyDescent="0.25">
      <c r="A2036" s="25" t="str">
        <f>IF(Table1[[#This Row],[Name of Student]]="","",ROWS($A$1:A2032))</f>
        <v/>
      </c>
      <c r="B2036" s="26" t="str">
        <f>IF('Paste SD Data'!A2033="","",'Paste SD Data'!A2033)</f>
        <v/>
      </c>
      <c r="C2036" s="26" t="str">
        <f>IF('Paste SD Data'!B2033="","",'Paste SD Data'!B2033)</f>
        <v/>
      </c>
      <c r="D2036" s="26" t="str">
        <f>IF('Paste SD Data'!C2033="","",'Paste SD Data'!C2033)</f>
        <v/>
      </c>
      <c r="E2036" s="27" t="str">
        <f>IF('Paste SD Data'!E2033="","",UPPER('Paste SD Data'!E2033))</f>
        <v/>
      </c>
      <c r="F2036" s="27" t="str">
        <f>IF('Paste SD Data'!G2033="","",UPPER('Paste SD Data'!G2033))</f>
        <v/>
      </c>
      <c r="G2036" s="27" t="str">
        <f>IF('Paste SD Data'!H2033="","",UPPER('Paste SD Data'!H2033))</f>
        <v/>
      </c>
      <c r="H2036" s="26" t="str">
        <f>IF('Paste SD Data'!I2033="","",IF('Paste SD Data'!I2033="M","BOY","GIRL"))</f>
        <v/>
      </c>
      <c r="I2036" s="28" t="str">
        <f>IF('Paste SD Data'!J2033="","",'Paste SD Data'!J2033)</f>
        <v/>
      </c>
      <c r="J2036" s="34">
        <f t="shared" si="31"/>
        <v>2462</v>
      </c>
      <c r="K2036" s="29" t="str">
        <f>IF('Paste SD Data'!O2033="","",'Paste SD Data'!O2033)</f>
        <v/>
      </c>
    </row>
    <row r="2037" spans="1:11" ht="30" customHeight="1" x14ac:dyDescent="0.25">
      <c r="A2037" s="25" t="str">
        <f>IF(Table1[[#This Row],[Name of Student]]="","",ROWS($A$1:A2033))</f>
        <v/>
      </c>
      <c r="B2037" s="26" t="str">
        <f>IF('Paste SD Data'!A2034="","",'Paste SD Data'!A2034)</f>
        <v/>
      </c>
      <c r="C2037" s="26" t="str">
        <f>IF('Paste SD Data'!B2034="","",'Paste SD Data'!B2034)</f>
        <v/>
      </c>
      <c r="D2037" s="26" t="str">
        <f>IF('Paste SD Data'!C2034="","",'Paste SD Data'!C2034)</f>
        <v/>
      </c>
      <c r="E2037" s="27" t="str">
        <f>IF('Paste SD Data'!E2034="","",UPPER('Paste SD Data'!E2034))</f>
        <v/>
      </c>
      <c r="F2037" s="27" t="str">
        <f>IF('Paste SD Data'!G2034="","",UPPER('Paste SD Data'!G2034))</f>
        <v/>
      </c>
      <c r="G2037" s="27" t="str">
        <f>IF('Paste SD Data'!H2034="","",UPPER('Paste SD Data'!H2034))</f>
        <v/>
      </c>
      <c r="H2037" s="26" t="str">
        <f>IF('Paste SD Data'!I2034="","",IF('Paste SD Data'!I2034="M","BOY","GIRL"))</f>
        <v/>
      </c>
      <c r="I2037" s="28" t="str">
        <f>IF('Paste SD Data'!J2034="","",'Paste SD Data'!J2034)</f>
        <v/>
      </c>
      <c r="J2037" s="34">
        <f t="shared" si="31"/>
        <v>2463</v>
      </c>
      <c r="K2037" s="29" t="str">
        <f>IF('Paste SD Data'!O2034="","",'Paste SD Data'!O2034)</f>
        <v/>
      </c>
    </row>
    <row r="2038" spans="1:11" ht="30" customHeight="1" x14ac:dyDescent="0.25">
      <c r="A2038" s="25" t="str">
        <f>IF(Table1[[#This Row],[Name of Student]]="","",ROWS($A$1:A2034))</f>
        <v/>
      </c>
      <c r="B2038" s="26" t="str">
        <f>IF('Paste SD Data'!A2035="","",'Paste SD Data'!A2035)</f>
        <v/>
      </c>
      <c r="C2038" s="26" t="str">
        <f>IF('Paste SD Data'!B2035="","",'Paste SD Data'!B2035)</f>
        <v/>
      </c>
      <c r="D2038" s="26" t="str">
        <f>IF('Paste SD Data'!C2035="","",'Paste SD Data'!C2035)</f>
        <v/>
      </c>
      <c r="E2038" s="27" t="str">
        <f>IF('Paste SD Data'!E2035="","",UPPER('Paste SD Data'!E2035))</f>
        <v/>
      </c>
      <c r="F2038" s="27" t="str">
        <f>IF('Paste SD Data'!G2035="","",UPPER('Paste SD Data'!G2035))</f>
        <v/>
      </c>
      <c r="G2038" s="27" t="str">
        <f>IF('Paste SD Data'!H2035="","",UPPER('Paste SD Data'!H2035))</f>
        <v/>
      </c>
      <c r="H2038" s="26" t="str">
        <f>IF('Paste SD Data'!I2035="","",IF('Paste SD Data'!I2035="M","BOY","GIRL"))</f>
        <v/>
      </c>
      <c r="I2038" s="28" t="str">
        <f>IF('Paste SD Data'!J2035="","",'Paste SD Data'!J2035)</f>
        <v/>
      </c>
      <c r="J2038" s="34">
        <f t="shared" si="31"/>
        <v>2464</v>
      </c>
      <c r="K2038" s="29" t="str">
        <f>IF('Paste SD Data'!O2035="","",'Paste SD Data'!O2035)</f>
        <v/>
      </c>
    </row>
    <row r="2039" spans="1:11" ht="30" customHeight="1" x14ac:dyDescent="0.25">
      <c r="A2039" s="25" t="str">
        <f>IF(Table1[[#This Row],[Name of Student]]="","",ROWS($A$1:A2035))</f>
        <v/>
      </c>
      <c r="B2039" s="26" t="str">
        <f>IF('Paste SD Data'!A2036="","",'Paste SD Data'!A2036)</f>
        <v/>
      </c>
      <c r="C2039" s="26" t="str">
        <f>IF('Paste SD Data'!B2036="","",'Paste SD Data'!B2036)</f>
        <v/>
      </c>
      <c r="D2039" s="26" t="str">
        <f>IF('Paste SD Data'!C2036="","",'Paste SD Data'!C2036)</f>
        <v/>
      </c>
      <c r="E2039" s="27" t="str">
        <f>IF('Paste SD Data'!E2036="","",UPPER('Paste SD Data'!E2036))</f>
        <v/>
      </c>
      <c r="F2039" s="27" t="str">
        <f>IF('Paste SD Data'!G2036="","",UPPER('Paste SD Data'!G2036))</f>
        <v/>
      </c>
      <c r="G2039" s="27" t="str">
        <f>IF('Paste SD Data'!H2036="","",UPPER('Paste SD Data'!H2036))</f>
        <v/>
      </c>
      <c r="H2039" s="26" t="str">
        <f>IF('Paste SD Data'!I2036="","",IF('Paste SD Data'!I2036="M","BOY","GIRL"))</f>
        <v/>
      </c>
      <c r="I2039" s="28" t="str">
        <f>IF('Paste SD Data'!J2036="","",'Paste SD Data'!J2036)</f>
        <v/>
      </c>
      <c r="J2039" s="34">
        <f t="shared" si="31"/>
        <v>2465</v>
      </c>
      <c r="K2039" s="29" t="str">
        <f>IF('Paste SD Data'!O2036="","",'Paste SD Data'!O2036)</f>
        <v/>
      </c>
    </row>
    <row r="2040" spans="1:11" ht="30" customHeight="1" x14ac:dyDescent="0.25">
      <c r="A2040" s="25" t="str">
        <f>IF(Table1[[#This Row],[Name of Student]]="","",ROWS($A$1:A2036))</f>
        <v/>
      </c>
      <c r="B2040" s="26" t="str">
        <f>IF('Paste SD Data'!A2037="","",'Paste SD Data'!A2037)</f>
        <v/>
      </c>
      <c r="C2040" s="26" t="str">
        <f>IF('Paste SD Data'!B2037="","",'Paste SD Data'!B2037)</f>
        <v/>
      </c>
      <c r="D2040" s="26" t="str">
        <f>IF('Paste SD Data'!C2037="","",'Paste SD Data'!C2037)</f>
        <v/>
      </c>
      <c r="E2040" s="27" t="str">
        <f>IF('Paste SD Data'!E2037="","",UPPER('Paste SD Data'!E2037))</f>
        <v/>
      </c>
      <c r="F2040" s="27" t="str">
        <f>IF('Paste SD Data'!G2037="","",UPPER('Paste SD Data'!G2037))</f>
        <v/>
      </c>
      <c r="G2040" s="27" t="str">
        <f>IF('Paste SD Data'!H2037="","",UPPER('Paste SD Data'!H2037))</f>
        <v/>
      </c>
      <c r="H2040" s="26" t="str">
        <f>IF('Paste SD Data'!I2037="","",IF('Paste SD Data'!I2037="M","BOY","GIRL"))</f>
        <v/>
      </c>
      <c r="I2040" s="28" t="str">
        <f>IF('Paste SD Data'!J2037="","",'Paste SD Data'!J2037)</f>
        <v/>
      </c>
      <c r="J2040" s="34">
        <f t="shared" si="31"/>
        <v>2466</v>
      </c>
      <c r="K2040" s="29" t="str">
        <f>IF('Paste SD Data'!O2037="","",'Paste SD Data'!O2037)</f>
        <v/>
      </c>
    </row>
    <row r="2041" spans="1:11" ht="30" customHeight="1" x14ac:dyDescent="0.25">
      <c r="A2041" s="25" t="str">
        <f>IF(Table1[[#This Row],[Name of Student]]="","",ROWS($A$1:A2037))</f>
        <v/>
      </c>
      <c r="B2041" s="26" t="str">
        <f>IF('Paste SD Data'!A2038="","",'Paste SD Data'!A2038)</f>
        <v/>
      </c>
      <c r="C2041" s="26" t="str">
        <f>IF('Paste SD Data'!B2038="","",'Paste SD Data'!B2038)</f>
        <v/>
      </c>
      <c r="D2041" s="26" t="str">
        <f>IF('Paste SD Data'!C2038="","",'Paste SD Data'!C2038)</f>
        <v/>
      </c>
      <c r="E2041" s="27" t="str">
        <f>IF('Paste SD Data'!E2038="","",UPPER('Paste SD Data'!E2038))</f>
        <v/>
      </c>
      <c r="F2041" s="27" t="str">
        <f>IF('Paste SD Data'!G2038="","",UPPER('Paste SD Data'!G2038))</f>
        <v/>
      </c>
      <c r="G2041" s="27" t="str">
        <f>IF('Paste SD Data'!H2038="","",UPPER('Paste SD Data'!H2038))</f>
        <v/>
      </c>
      <c r="H2041" s="26" t="str">
        <f>IF('Paste SD Data'!I2038="","",IF('Paste SD Data'!I2038="M","BOY","GIRL"))</f>
        <v/>
      </c>
      <c r="I2041" s="28" t="str">
        <f>IF('Paste SD Data'!J2038="","",'Paste SD Data'!J2038)</f>
        <v/>
      </c>
      <c r="J2041" s="34">
        <f t="shared" si="31"/>
        <v>2467</v>
      </c>
      <c r="K2041" s="29" t="str">
        <f>IF('Paste SD Data'!O2038="","",'Paste SD Data'!O2038)</f>
        <v/>
      </c>
    </row>
    <row r="2042" spans="1:11" ht="30" customHeight="1" x14ac:dyDescent="0.25">
      <c r="A2042" s="25" t="str">
        <f>IF(Table1[[#This Row],[Name of Student]]="","",ROWS($A$1:A2038))</f>
        <v/>
      </c>
      <c r="B2042" s="26" t="str">
        <f>IF('Paste SD Data'!A2039="","",'Paste SD Data'!A2039)</f>
        <v/>
      </c>
      <c r="C2042" s="26" t="str">
        <f>IF('Paste SD Data'!B2039="","",'Paste SD Data'!B2039)</f>
        <v/>
      </c>
      <c r="D2042" s="26" t="str">
        <f>IF('Paste SD Data'!C2039="","",'Paste SD Data'!C2039)</f>
        <v/>
      </c>
      <c r="E2042" s="27" t="str">
        <f>IF('Paste SD Data'!E2039="","",UPPER('Paste SD Data'!E2039))</f>
        <v/>
      </c>
      <c r="F2042" s="27" t="str">
        <f>IF('Paste SD Data'!G2039="","",UPPER('Paste SD Data'!G2039))</f>
        <v/>
      </c>
      <c r="G2042" s="27" t="str">
        <f>IF('Paste SD Data'!H2039="","",UPPER('Paste SD Data'!H2039))</f>
        <v/>
      </c>
      <c r="H2042" s="26" t="str">
        <f>IF('Paste SD Data'!I2039="","",IF('Paste SD Data'!I2039="M","BOY","GIRL"))</f>
        <v/>
      </c>
      <c r="I2042" s="28" t="str">
        <f>IF('Paste SD Data'!J2039="","",'Paste SD Data'!J2039)</f>
        <v/>
      </c>
      <c r="J2042" s="34">
        <f t="shared" si="31"/>
        <v>2468</v>
      </c>
      <c r="K2042" s="29" t="str">
        <f>IF('Paste SD Data'!O2039="","",'Paste SD Data'!O2039)</f>
        <v/>
      </c>
    </row>
    <row r="2043" spans="1:11" ht="30" customHeight="1" x14ac:dyDescent="0.25">
      <c r="A2043" s="25" t="str">
        <f>IF(Table1[[#This Row],[Name of Student]]="","",ROWS($A$1:A2039))</f>
        <v/>
      </c>
      <c r="B2043" s="26" t="str">
        <f>IF('Paste SD Data'!A2040="","",'Paste SD Data'!A2040)</f>
        <v/>
      </c>
      <c r="C2043" s="26" t="str">
        <f>IF('Paste SD Data'!B2040="","",'Paste SD Data'!B2040)</f>
        <v/>
      </c>
      <c r="D2043" s="26" t="str">
        <f>IF('Paste SD Data'!C2040="","",'Paste SD Data'!C2040)</f>
        <v/>
      </c>
      <c r="E2043" s="27" t="str">
        <f>IF('Paste SD Data'!E2040="","",UPPER('Paste SD Data'!E2040))</f>
        <v/>
      </c>
      <c r="F2043" s="27" t="str">
        <f>IF('Paste SD Data'!G2040="","",UPPER('Paste SD Data'!G2040))</f>
        <v/>
      </c>
      <c r="G2043" s="27" t="str">
        <f>IF('Paste SD Data'!H2040="","",UPPER('Paste SD Data'!H2040))</f>
        <v/>
      </c>
      <c r="H2043" s="26" t="str">
        <f>IF('Paste SD Data'!I2040="","",IF('Paste SD Data'!I2040="M","BOY","GIRL"))</f>
        <v/>
      </c>
      <c r="I2043" s="28" t="str">
        <f>IF('Paste SD Data'!J2040="","",'Paste SD Data'!J2040)</f>
        <v/>
      </c>
      <c r="J2043" s="34">
        <f t="shared" si="31"/>
        <v>2469</v>
      </c>
      <c r="K2043" s="29" t="str">
        <f>IF('Paste SD Data'!O2040="","",'Paste SD Data'!O2040)</f>
        <v/>
      </c>
    </row>
    <row r="2044" spans="1:11" ht="30" customHeight="1" x14ac:dyDescent="0.25">
      <c r="A2044" s="25" t="str">
        <f>IF(Table1[[#This Row],[Name of Student]]="","",ROWS($A$1:A2040))</f>
        <v/>
      </c>
      <c r="B2044" s="26" t="str">
        <f>IF('Paste SD Data'!A2041="","",'Paste SD Data'!A2041)</f>
        <v/>
      </c>
      <c r="C2044" s="26" t="str">
        <f>IF('Paste SD Data'!B2041="","",'Paste SD Data'!B2041)</f>
        <v/>
      </c>
      <c r="D2044" s="26" t="str">
        <f>IF('Paste SD Data'!C2041="","",'Paste SD Data'!C2041)</f>
        <v/>
      </c>
      <c r="E2044" s="27" t="str">
        <f>IF('Paste SD Data'!E2041="","",UPPER('Paste SD Data'!E2041))</f>
        <v/>
      </c>
      <c r="F2044" s="27" t="str">
        <f>IF('Paste SD Data'!G2041="","",UPPER('Paste SD Data'!G2041))</f>
        <v/>
      </c>
      <c r="G2044" s="27" t="str">
        <f>IF('Paste SD Data'!H2041="","",UPPER('Paste SD Data'!H2041))</f>
        <v/>
      </c>
      <c r="H2044" s="26" t="str">
        <f>IF('Paste SD Data'!I2041="","",IF('Paste SD Data'!I2041="M","BOY","GIRL"))</f>
        <v/>
      </c>
      <c r="I2044" s="28" t="str">
        <f>IF('Paste SD Data'!J2041="","",'Paste SD Data'!J2041)</f>
        <v/>
      </c>
      <c r="J2044" s="34">
        <f t="shared" si="31"/>
        <v>2470</v>
      </c>
      <c r="K2044" s="29" t="str">
        <f>IF('Paste SD Data'!O2041="","",'Paste SD Data'!O2041)</f>
        <v/>
      </c>
    </row>
    <row r="2045" spans="1:11" ht="30" customHeight="1" x14ac:dyDescent="0.25">
      <c r="A2045" s="25" t="str">
        <f>IF(Table1[[#This Row],[Name of Student]]="","",ROWS($A$1:A2041))</f>
        <v/>
      </c>
      <c r="B2045" s="26" t="str">
        <f>IF('Paste SD Data'!A2042="","",'Paste SD Data'!A2042)</f>
        <v/>
      </c>
      <c r="C2045" s="26" t="str">
        <f>IF('Paste SD Data'!B2042="","",'Paste SD Data'!B2042)</f>
        <v/>
      </c>
      <c r="D2045" s="26" t="str">
        <f>IF('Paste SD Data'!C2042="","",'Paste SD Data'!C2042)</f>
        <v/>
      </c>
      <c r="E2045" s="27" t="str">
        <f>IF('Paste SD Data'!E2042="","",UPPER('Paste SD Data'!E2042))</f>
        <v/>
      </c>
      <c r="F2045" s="27" t="str">
        <f>IF('Paste SD Data'!G2042="","",UPPER('Paste SD Data'!G2042))</f>
        <v/>
      </c>
      <c r="G2045" s="27" t="str">
        <f>IF('Paste SD Data'!H2042="","",UPPER('Paste SD Data'!H2042))</f>
        <v/>
      </c>
      <c r="H2045" s="26" t="str">
        <f>IF('Paste SD Data'!I2042="","",IF('Paste SD Data'!I2042="M","BOY","GIRL"))</f>
        <v/>
      </c>
      <c r="I2045" s="28" t="str">
        <f>IF('Paste SD Data'!J2042="","",'Paste SD Data'!J2042)</f>
        <v/>
      </c>
      <c r="J2045" s="34">
        <f t="shared" si="31"/>
        <v>2471</v>
      </c>
      <c r="K2045" s="29" t="str">
        <f>IF('Paste SD Data'!O2042="","",'Paste SD Data'!O2042)</f>
        <v/>
      </c>
    </row>
    <row r="2046" spans="1:11" ht="30" customHeight="1" x14ac:dyDescent="0.25">
      <c r="A2046" s="25" t="str">
        <f>IF(Table1[[#This Row],[Name of Student]]="","",ROWS($A$1:A2042))</f>
        <v/>
      </c>
      <c r="B2046" s="26" t="str">
        <f>IF('Paste SD Data'!A2043="","",'Paste SD Data'!A2043)</f>
        <v/>
      </c>
      <c r="C2046" s="26" t="str">
        <f>IF('Paste SD Data'!B2043="","",'Paste SD Data'!B2043)</f>
        <v/>
      </c>
      <c r="D2046" s="26" t="str">
        <f>IF('Paste SD Data'!C2043="","",'Paste SD Data'!C2043)</f>
        <v/>
      </c>
      <c r="E2046" s="27" t="str">
        <f>IF('Paste SD Data'!E2043="","",UPPER('Paste SD Data'!E2043))</f>
        <v/>
      </c>
      <c r="F2046" s="27" t="str">
        <f>IF('Paste SD Data'!G2043="","",UPPER('Paste SD Data'!G2043))</f>
        <v/>
      </c>
      <c r="G2046" s="27" t="str">
        <f>IF('Paste SD Data'!H2043="","",UPPER('Paste SD Data'!H2043))</f>
        <v/>
      </c>
      <c r="H2046" s="26" t="str">
        <f>IF('Paste SD Data'!I2043="","",IF('Paste SD Data'!I2043="M","BOY","GIRL"))</f>
        <v/>
      </c>
      <c r="I2046" s="28" t="str">
        <f>IF('Paste SD Data'!J2043="","",'Paste SD Data'!J2043)</f>
        <v/>
      </c>
      <c r="J2046" s="34">
        <f t="shared" si="31"/>
        <v>2472</v>
      </c>
      <c r="K2046" s="29" t="str">
        <f>IF('Paste SD Data'!O2043="","",'Paste SD Data'!O2043)</f>
        <v/>
      </c>
    </row>
    <row r="2047" spans="1:11" ht="30" customHeight="1" x14ac:dyDescent="0.25">
      <c r="A2047" s="25" t="str">
        <f>IF(Table1[[#This Row],[Name of Student]]="","",ROWS($A$1:A2043))</f>
        <v/>
      </c>
      <c r="B2047" s="26" t="str">
        <f>IF('Paste SD Data'!A2044="","",'Paste SD Data'!A2044)</f>
        <v/>
      </c>
      <c r="C2047" s="26" t="str">
        <f>IF('Paste SD Data'!B2044="","",'Paste SD Data'!B2044)</f>
        <v/>
      </c>
      <c r="D2047" s="26" t="str">
        <f>IF('Paste SD Data'!C2044="","",'Paste SD Data'!C2044)</f>
        <v/>
      </c>
      <c r="E2047" s="27" t="str">
        <f>IF('Paste SD Data'!E2044="","",UPPER('Paste SD Data'!E2044))</f>
        <v/>
      </c>
      <c r="F2047" s="27" t="str">
        <f>IF('Paste SD Data'!G2044="","",UPPER('Paste SD Data'!G2044))</f>
        <v/>
      </c>
      <c r="G2047" s="27" t="str">
        <f>IF('Paste SD Data'!H2044="","",UPPER('Paste SD Data'!H2044))</f>
        <v/>
      </c>
      <c r="H2047" s="26" t="str">
        <f>IF('Paste SD Data'!I2044="","",IF('Paste SD Data'!I2044="M","BOY","GIRL"))</f>
        <v/>
      </c>
      <c r="I2047" s="28" t="str">
        <f>IF('Paste SD Data'!J2044="","",'Paste SD Data'!J2044)</f>
        <v/>
      </c>
      <c r="J2047" s="34">
        <f t="shared" si="31"/>
        <v>2473</v>
      </c>
      <c r="K2047" s="29" t="str">
        <f>IF('Paste SD Data'!O2044="","",'Paste SD Data'!O2044)</f>
        <v/>
      </c>
    </row>
    <row r="2048" spans="1:11" ht="30" customHeight="1" x14ac:dyDescent="0.25">
      <c r="A2048" s="25" t="str">
        <f>IF(Table1[[#This Row],[Name of Student]]="","",ROWS($A$1:A2044))</f>
        <v/>
      </c>
      <c r="B2048" s="26" t="str">
        <f>IF('Paste SD Data'!A2045="","",'Paste SD Data'!A2045)</f>
        <v/>
      </c>
      <c r="C2048" s="26" t="str">
        <f>IF('Paste SD Data'!B2045="","",'Paste SD Data'!B2045)</f>
        <v/>
      </c>
      <c r="D2048" s="26" t="str">
        <f>IF('Paste SD Data'!C2045="","",'Paste SD Data'!C2045)</f>
        <v/>
      </c>
      <c r="E2048" s="27" t="str">
        <f>IF('Paste SD Data'!E2045="","",UPPER('Paste SD Data'!E2045))</f>
        <v/>
      </c>
      <c r="F2048" s="27" t="str">
        <f>IF('Paste SD Data'!G2045="","",UPPER('Paste SD Data'!G2045))</f>
        <v/>
      </c>
      <c r="G2048" s="27" t="str">
        <f>IF('Paste SD Data'!H2045="","",UPPER('Paste SD Data'!H2045))</f>
        <v/>
      </c>
      <c r="H2048" s="26" t="str">
        <f>IF('Paste SD Data'!I2045="","",IF('Paste SD Data'!I2045="M","BOY","GIRL"))</f>
        <v/>
      </c>
      <c r="I2048" s="28" t="str">
        <f>IF('Paste SD Data'!J2045="","",'Paste SD Data'!J2045)</f>
        <v/>
      </c>
      <c r="J2048" s="34">
        <f t="shared" si="31"/>
        <v>2474</v>
      </c>
      <c r="K2048" s="29" t="str">
        <f>IF('Paste SD Data'!O2045="","",'Paste SD Data'!O2045)</f>
        <v/>
      </c>
    </row>
    <row r="2049" spans="1:11" ht="30" customHeight="1" x14ac:dyDescent="0.25">
      <c r="A2049" s="25" t="str">
        <f>IF(Table1[[#This Row],[Name of Student]]="","",ROWS($A$1:A2045))</f>
        <v/>
      </c>
      <c r="B2049" s="26" t="str">
        <f>IF('Paste SD Data'!A2046="","",'Paste SD Data'!A2046)</f>
        <v/>
      </c>
      <c r="C2049" s="26" t="str">
        <f>IF('Paste SD Data'!B2046="","",'Paste SD Data'!B2046)</f>
        <v/>
      </c>
      <c r="D2049" s="26" t="str">
        <f>IF('Paste SD Data'!C2046="","",'Paste SD Data'!C2046)</f>
        <v/>
      </c>
      <c r="E2049" s="27" t="str">
        <f>IF('Paste SD Data'!E2046="","",UPPER('Paste SD Data'!E2046))</f>
        <v/>
      </c>
      <c r="F2049" s="27" t="str">
        <f>IF('Paste SD Data'!G2046="","",UPPER('Paste SD Data'!G2046))</f>
        <v/>
      </c>
      <c r="G2049" s="27" t="str">
        <f>IF('Paste SD Data'!H2046="","",UPPER('Paste SD Data'!H2046))</f>
        <v/>
      </c>
      <c r="H2049" s="26" t="str">
        <f>IF('Paste SD Data'!I2046="","",IF('Paste SD Data'!I2046="M","BOY","GIRL"))</f>
        <v/>
      </c>
      <c r="I2049" s="28" t="str">
        <f>IF('Paste SD Data'!J2046="","",'Paste SD Data'!J2046)</f>
        <v/>
      </c>
      <c r="J2049" s="34">
        <f t="shared" si="31"/>
        <v>2475</v>
      </c>
      <c r="K2049" s="29" t="str">
        <f>IF('Paste SD Data'!O2046="","",'Paste SD Data'!O2046)</f>
        <v/>
      </c>
    </row>
    <row r="2050" spans="1:11" ht="30" customHeight="1" x14ac:dyDescent="0.25">
      <c r="A2050" s="25" t="str">
        <f>IF(Table1[[#This Row],[Name of Student]]="","",ROWS($A$1:A2046))</f>
        <v/>
      </c>
      <c r="B2050" s="26" t="str">
        <f>IF('Paste SD Data'!A2047="","",'Paste SD Data'!A2047)</f>
        <v/>
      </c>
      <c r="C2050" s="26" t="str">
        <f>IF('Paste SD Data'!B2047="","",'Paste SD Data'!B2047)</f>
        <v/>
      </c>
      <c r="D2050" s="26" t="str">
        <f>IF('Paste SD Data'!C2047="","",'Paste SD Data'!C2047)</f>
        <v/>
      </c>
      <c r="E2050" s="27" t="str">
        <f>IF('Paste SD Data'!E2047="","",UPPER('Paste SD Data'!E2047))</f>
        <v/>
      </c>
      <c r="F2050" s="27" t="str">
        <f>IF('Paste SD Data'!G2047="","",UPPER('Paste SD Data'!G2047))</f>
        <v/>
      </c>
      <c r="G2050" s="27" t="str">
        <f>IF('Paste SD Data'!H2047="","",UPPER('Paste SD Data'!H2047))</f>
        <v/>
      </c>
      <c r="H2050" s="26" t="str">
        <f>IF('Paste SD Data'!I2047="","",IF('Paste SD Data'!I2047="M","BOY","GIRL"))</f>
        <v/>
      </c>
      <c r="I2050" s="28" t="str">
        <f>IF('Paste SD Data'!J2047="","",'Paste SD Data'!J2047)</f>
        <v/>
      </c>
      <c r="J2050" s="34">
        <f t="shared" si="31"/>
        <v>2476</v>
      </c>
      <c r="K2050" s="29" t="str">
        <f>IF('Paste SD Data'!O2047="","",'Paste SD Data'!O2047)</f>
        <v/>
      </c>
    </row>
    <row r="2051" spans="1:11" ht="30" customHeight="1" x14ac:dyDescent="0.25">
      <c r="A2051" s="25" t="str">
        <f>IF(Table1[[#This Row],[Name of Student]]="","",ROWS($A$1:A2047))</f>
        <v/>
      </c>
      <c r="B2051" s="26" t="str">
        <f>IF('Paste SD Data'!A2048="","",'Paste SD Data'!A2048)</f>
        <v/>
      </c>
      <c r="C2051" s="26" t="str">
        <f>IF('Paste SD Data'!B2048="","",'Paste SD Data'!B2048)</f>
        <v/>
      </c>
      <c r="D2051" s="26" t="str">
        <f>IF('Paste SD Data'!C2048="","",'Paste SD Data'!C2048)</f>
        <v/>
      </c>
      <c r="E2051" s="27" t="str">
        <f>IF('Paste SD Data'!E2048="","",UPPER('Paste SD Data'!E2048))</f>
        <v/>
      </c>
      <c r="F2051" s="27" t="str">
        <f>IF('Paste SD Data'!G2048="","",UPPER('Paste SD Data'!G2048))</f>
        <v/>
      </c>
      <c r="G2051" s="27" t="str">
        <f>IF('Paste SD Data'!H2048="","",UPPER('Paste SD Data'!H2048))</f>
        <v/>
      </c>
      <c r="H2051" s="26" t="str">
        <f>IF('Paste SD Data'!I2048="","",IF('Paste SD Data'!I2048="M","BOY","GIRL"))</f>
        <v/>
      </c>
      <c r="I2051" s="28" t="str">
        <f>IF('Paste SD Data'!J2048="","",'Paste SD Data'!J2048)</f>
        <v/>
      </c>
      <c r="J2051" s="34">
        <f t="shared" si="31"/>
        <v>2477</v>
      </c>
      <c r="K2051" s="29" t="str">
        <f>IF('Paste SD Data'!O2048="","",'Paste SD Data'!O2048)</f>
        <v/>
      </c>
    </row>
    <row r="2052" spans="1:11" ht="30" customHeight="1" x14ac:dyDescent="0.25">
      <c r="A2052" s="25" t="str">
        <f>IF(Table1[[#This Row],[Name of Student]]="","",ROWS($A$1:A2048))</f>
        <v/>
      </c>
      <c r="B2052" s="26" t="str">
        <f>IF('Paste SD Data'!A2049="","",'Paste SD Data'!A2049)</f>
        <v/>
      </c>
      <c r="C2052" s="26" t="str">
        <f>IF('Paste SD Data'!B2049="","",'Paste SD Data'!B2049)</f>
        <v/>
      </c>
      <c r="D2052" s="26" t="str">
        <f>IF('Paste SD Data'!C2049="","",'Paste SD Data'!C2049)</f>
        <v/>
      </c>
      <c r="E2052" s="27" t="str">
        <f>IF('Paste SD Data'!E2049="","",UPPER('Paste SD Data'!E2049))</f>
        <v/>
      </c>
      <c r="F2052" s="27" t="str">
        <f>IF('Paste SD Data'!G2049="","",UPPER('Paste SD Data'!G2049))</f>
        <v/>
      </c>
      <c r="G2052" s="27" t="str">
        <f>IF('Paste SD Data'!H2049="","",UPPER('Paste SD Data'!H2049))</f>
        <v/>
      </c>
      <c r="H2052" s="26" t="str">
        <f>IF('Paste SD Data'!I2049="","",IF('Paste SD Data'!I2049="M","BOY","GIRL"))</f>
        <v/>
      </c>
      <c r="I2052" s="28" t="str">
        <f>IF('Paste SD Data'!J2049="","",'Paste SD Data'!J2049)</f>
        <v/>
      </c>
      <c r="J2052" s="34">
        <f t="shared" si="31"/>
        <v>2478</v>
      </c>
      <c r="K2052" s="29" t="str">
        <f>IF('Paste SD Data'!O2049="","",'Paste SD Data'!O2049)</f>
        <v/>
      </c>
    </row>
    <row r="2053" spans="1:11" ht="30" customHeight="1" x14ac:dyDescent="0.25">
      <c r="A2053" s="25" t="str">
        <f>IF(Table1[[#This Row],[Name of Student]]="","",ROWS($A$1:A2049))</f>
        <v/>
      </c>
      <c r="B2053" s="26" t="str">
        <f>IF('Paste SD Data'!A2050="","",'Paste SD Data'!A2050)</f>
        <v/>
      </c>
      <c r="C2053" s="26" t="str">
        <f>IF('Paste SD Data'!B2050="","",'Paste SD Data'!B2050)</f>
        <v/>
      </c>
      <c r="D2053" s="26" t="str">
        <f>IF('Paste SD Data'!C2050="","",'Paste SD Data'!C2050)</f>
        <v/>
      </c>
      <c r="E2053" s="27" t="str">
        <f>IF('Paste SD Data'!E2050="","",UPPER('Paste SD Data'!E2050))</f>
        <v/>
      </c>
      <c r="F2053" s="27" t="str">
        <f>IF('Paste SD Data'!G2050="","",UPPER('Paste SD Data'!G2050))</f>
        <v/>
      </c>
      <c r="G2053" s="27" t="str">
        <f>IF('Paste SD Data'!H2050="","",UPPER('Paste SD Data'!H2050))</f>
        <v/>
      </c>
      <c r="H2053" s="26" t="str">
        <f>IF('Paste SD Data'!I2050="","",IF('Paste SD Data'!I2050="M","BOY","GIRL"))</f>
        <v/>
      </c>
      <c r="I2053" s="28" t="str">
        <f>IF('Paste SD Data'!J2050="","",'Paste SD Data'!J2050)</f>
        <v/>
      </c>
      <c r="J2053" s="34">
        <f t="shared" si="31"/>
        <v>2479</v>
      </c>
      <c r="K2053" s="29" t="str">
        <f>IF('Paste SD Data'!O2050="","",'Paste SD Data'!O2050)</f>
        <v/>
      </c>
    </row>
    <row r="2054" spans="1:11" ht="30" customHeight="1" x14ac:dyDescent="0.25">
      <c r="A2054" s="25" t="str">
        <f>IF(Table1[[#This Row],[Name of Student]]="","",ROWS($A$1:A2050))</f>
        <v/>
      </c>
      <c r="B2054" s="26" t="str">
        <f>IF('Paste SD Data'!A2051="","",'Paste SD Data'!A2051)</f>
        <v/>
      </c>
      <c r="C2054" s="26" t="str">
        <f>IF('Paste SD Data'!B2051="","",'Paste SD Data'!B2051)</f>
        <v/>
      </c>
      <c r="D2054" s="26" t="str">
        <f>IF('Paste SD Data'!C2051="","",'Paste SD Data'!C2051)</f>
        <v/>
      </c>
      <c r="E2054" s="27" t="str">
        <f>IF('Paste SD Data'!E2051="","",UPPER('Paste SD Data'!E2051))</f>
        <v/>
      </c>
      <c r="F2054" s="27" t="str">
        <f>IF('Paste SD Data'!G2051="","",UPPER('Paste SD Data'!G2051))</f>
        <v/>
      </c>
      <c r="G2054" s="27" t="str">
        <f>IF('Paste SD Data'!H2051="","",UPPER('Paste SD Data'!H2051))</f>
        <v/>
      </c>
      <c r="H2054" s="26" t="str">
        <f>IF('Paste SD Data'!I2051="","",IF('Paste SD Data'!I2051="M","BOY","GIRL"))</f>
        <v/>
      </c>
      <c r="I2054" s="28" t="str">
        <f>IF('Paste SD Data'!J2051="","",'Paste SD Data'!J2051)</f>
        <v/>
      </c>
      <c r="J2054" s="34">
        <f t="shared" si="31"/>
        <v>2480</v>
      </c>
      <c r="K2054" s="29" t="str">
        <f>IF('Paste SD Data'!O2051="","",'Paste SD Data'!O2051)</f>
        <v/>
      </c>
    </row>
    <row r="2055" spans="1:11" ht="30" customHeight="1" x14ac:dyDescent="0.25">
      <c r="A2055" s="25" t="str">
        <f>IF(Table1[[#This Row],[Name of Student]]="","",ROWS($A$1:A2051))</f>
        <v/>
      </c>
      <c r="B2055" s="26" t="str">
        <f>IF('Paste SD Data'!A2052="","",'Paste SD Data'!A2052)</f>
        <v/>
      </c>
      <c r="C2055" s="26" t="str">
        <f>IF('Paste SD Data'!B2052="","",'Paste SD Data'!B2052)</f>
        <v/>
      </c>
      <c r="D2055" s="26" t="str">
        <f>IF('Paste SD Data'!C2052="","",'Paste SD Data'!C2052)</f>
        <v/>
      </c>
      <c r="E2055" s="27" t="str">
        <f>IF('Paste SD Data'!E2052="","",UPPER('Paste SD Data'!E2052))</f>
        <v/>
      </c>
      <c r="F2055" s="27" t="str">
        <f>IF('Paste SD Data'!G2052="","",UPPER('Paste SD Data'!G2052))</f>
        <v/>
      </c>
      <c r="G2055" s="27" t="str">
        <f>IF('Paste SD Data'!H2052="","",UPPER('Paste SD Data'!H2052))</f>
        <v/>
      </c>
      <c r="H2055" s="26" t="str">
        <f>IF('Paste SD Data'!I2052="","",IF('Paste SD Data'!I2052="M","BOY","GIRL"))</f>
        <v/>
      </c>
      <c r="I2055" s="28" t="str">
        <f>IF('Paste SD Data'!J2052="","",'Paste SD Data'!J2052)</f>
        <v/>
      </c>
      <c r="J2055" s="34">
        <f t="shared" ref="J2055:J2118" si="32">J2054+1</f>
        <v>2481</v>
      </c>
      <c r="K2055" s="29" t="str">
        <f>IF('Paste SD Data'!O2052="","",'Paste SD Data'!O2052)</f>
        <v/>
      </c>
    </row>
    <row r="2056" spans="1:11" ht="30" customHeight="1" x14ac:dyDescent="0.25">
      <c r="A2056" s="25" t="str">
        <f>IF(Table1[[#This Row],[Name of Student]]="","",ROWS($A$1:A2052))</f>
        <v/>
      </c>
      <c r="B2056" s="26" t="str">
        <f>IF('Paste SD Data'!A2053="","",'Paste SD Data'!A2053)</f>
        <v/>
      </c>
      <c r="C2056" s="26" t="str">
        <f>IF('Paste SD Data'!B2053="","",'Paste SD Data'!B2053)</f>
        <v/>
      </c>
      <c r="D2056" s="26" t="str">
        <f>IF('Paste SD Data'!C2053="","",'Paste SD Data'!C2053)</f>
        <v/>
      </c>
      <c r="E2056" s="27" t="str">
        <f>IF('Paste SD Data'!E2053="","",UPPER('Paste SD Data'!E2053))</f>
        <v/>
      </c>
      <c r="F2056" s="27" t="str">
        <f>IF('Paste SD Data'!G2053="","",UPPER('Paste SD Data'!G2053))</f>
        <v/>
      </c>
      <c r="G2056" s="27" t="str">
        <f>IF('Paste SD Data'!H2053="","",UPPER('Paste SD Data'!H2053))</f>
        <v/>
      </c>
      <c r="H2056" s="26" t="str">
        <f>IF('Paste SD Data'!I2053="","",IF('Paste SD Data'!I2053="M","BOY","GIRL"))</f>
        <v/>
      </c>
      <c r="I2056" s="28" t="str">
        <f>IF('Paste SD Data'!J2053="","",'Paste SD Data'!J2053)</f>
        <v/>
      </c>
      <c r="J2056" s="34">
        <f t="shared" si="32"/>
        <v>2482</v>
      </c>
      <c r="K2056" s="29" t="str">
        <f>IF('Paste SD Data'!O2053="","",'Paste SD Data'!O2053)</f>
        <v/>
      </c>
    </row>
    <row r="2057" spans="1:11" ht="30" customHeight="1" x14ac:dyDescent="0.25">
      <c r="A2057" s="25" t="str">
        <f>IF(Table1[[#This Row],[Name of Student]]="","",ROWS($A$1:A2053))</f>
        <v/>
      </c>
      <c r="B2057" s="26" t="str">
        <f>IF('Paste SD Data'!A2054="","",'Paste SD Data'!A2054)</f>
        <v/>
      </c>
      <c r="C2057" s="26" t="str">
        <f>IF('Paste SD Data'!B2054="","",'Paste SD Data'!B2054)</f>
        <v/>
      </c>
      <c r="D2057" s="26" t="str">
        <f>IF('Paste SD Data'!C2054="","",'Paste SD Data'!C2054)</f>
        <v/>
      </c>
      <c r="E2057" s="27" t="str">
        <f>IF('Paste SD Data'!E2054="","",UPPER('Paste SD Data'!E2054))</f>
        <v/>
      </c>
      <c r="F2057" s="27" t="str">
        <f>IF('Paste SD Data'!G2054="","",UPPER('Paste SD Data'!G2054))</f>
        <v/>
      </c>
      <c r="G2057" s="27" t="str">
        <f>IF('Paste SD Data'!H2054="","",UPPER('Paste SD Data'!H2054))</f>
        <v/>
      </c>
      <c r="H2057" s="26" t="str">
        <f>IF('Paste SD Data'!I2054="","",IF('Paste SD Data'!I2054="M","BOY","GIRL"))</f>
        <v/>
      </c>
      <c r="I2057" s="28" t="str">
        <f>IF('Paste SD Data'!J2054="","",'Paste SD Data'!J2054)</f>
        <v/>
      </c>
      <c r="J2057" s="34">
        <f t="shared" si="32"/>
        <v>2483</v>
      </c>
      <c r="K2057" s="29" t="str">
        <f>IF('Paste SD Data'!O2054="","",'Paste SD Data'!O2054)</f>
        <v/>
      </c>
    </row>
    <row r="2058" spans="1:11" ht="30" customHeight="1" x14ac:dyDescent="0.25">
      <c r="A2058" s="25" t="str">
        <f>IF(Table1[[#This Row],[Name of Student]]="","",ROWS($A$1:A2054))</f>
        <v/>
      </c>
      <c r="B2058" s="26" t="str">
        <f>IF('Paste SD Data'!A2055="","",'Paste SD Data'!A2055)</f>
        <v/>
      </c>
      <c r="C2058" s="26" t="str">
        <f>IF('Paste SD Data'!B2055="","",'Paste SD Data'!B2055)</f>
        <v/>
      </c>
      <c r="D2058" s="26" t="str">
        <f>IF('Paste SD Data'!C2055="","",'Paste SD Data'!C2055)</f>
        <v/>
      </c>
      <c r="E2058" s="27" t="str">
        <f>IF('Paste SD Data'!E2055="","",UPPER('Paste SD Data'!E2055))</f>
        <v/>
      </c>
      <c r="F2058" s="27" t="str">
        <f>IF('Paste SD Data'!G2055="","",UPPER('Paste SD Data'!G2055))</f>
        <v/>
      </c>
      <c r="G2058" s="27" t="str">
        <f>IF('Paste SD Data'!H2055="","",UPPER('Paste SD Data'!H2055))</f>
        <v/>
      </c>
      <c r="H2058" s="26" t="str">
        <f>IF('Paste SD Data'!I2055="","",IF('Paste SD Data'!I2055="M","BOY","GIRL"))</f>
        <v/>
      </c>
      <c r="I2058" s="28" t="str">
        <f>IF('Paste SD Data'!J2055="","",'Paste SD Data'!J2055)</f>
        <v/>
      </c>
      <c r="J2058" s="34">
        <f t="shared" si="32"/>
        <v>2484</v>
      </c>
      <c r="K2058" s="29" t="str">
        <f>IF('Paste SD Data'!O2055="","",'Paste SD Data'!O2055)</f>
        <v/>
      </c>
    </row>
    <row r="2059" spans="1:11" ht="30" customHeight="1" x14ac:dyDescent="0.25">
      <c r="A2059" s="25" t="str">
        <f>IF(Table1[[#This Row],[Name of Student]]="","",ROWS($A$1:A2055))</f>
        <v/>
      </c>
      <c r="B2059" s="26" t="str">
        <f>IF('Paste SD Data'!A2056="","",'Paste SD Data'!A2056)</f>
        <v/>
      </c>
      <c r="C2059" s="26" t="str">
        <f>IF('Paste SD Data'!B2056="","",'Paste SD Data'!B2056)</f>
        <v/>
      </c>
      <c r="D2059" s="26" t="str">
        <f>IF('Paste SD Data'!C2056="","",'Paste SD Data'!C2056)</f>
        <v/>
      </c>
      <c r="E2059" s="27" t="str">
        <f>IF('Paste SD Data'!E2056="","",UPPER('Paste SD Data'!E2056))</f>
        <v/>
      </c>
      <c r="F2059" s="27" t="str">
        <f>IF('Paste SD Data'!G2056="","",UPPER('Paste SD Data'!G2056))</f>
        <v/>
      </c>
      <c r="G2059" s="27" t="str">
        <f>IF('Paste SD Data'!H2056="","",UPPER('Paste SD Data'!H2056))</f>
        <v/>
      </c>
      <c r="H2059" s="26" t="str">
        <f>IF('Paste SD Data'!I2056="","",IF('Paste SD Data'!I2056="M","BOY","GIRL"))</f>
        <v/>
      </c>
      <c r="I2059" s="28" t="str">
        <f>IF('Paste SD Data'!J2056="","",'Paste SD Data'!J2056)</f>
        <v/>
      </c>
      <c r="J2059" s="34">
        <f t="shared" si="32"/>
        <v>2485</v>
      </c>
      <c r="K2059" s="29" t="str">
        <f>IF('Paste SD Data'!O2056="","",'Paste SD Data'!O2056)</f>
        <v/>
      </c>
    </row>
    <row r="2060" spans="1:11" ht="30" customHeight="1" x14ac:dyDescent="0.25">
      <c r="A2060" s="25" t="str">
        <f>IF(Table1[[#This Row],[Name of Student]]="","",ROWS($A$1:A2056))</f>
        <v/>
      </c>
      <c r="B2060" s="26" t="str">
        <f>IF('Paste SD Data'!A2057="","",'Paste SD Data'!A2057)</f>
        <v/>
      </c>
      <c r="C2060" s="26" t="str">
        <f>IF('Paste SD Data'!B2057="","",'Paste SD Data'!B2057)</f>
        <v/>
      </c>
      <c r="D2060" s="26" t="str">
        <f>IF('Paste SD Data'!C2057="","",'Paste SD Data'!C2057)</f>
        <v/>
      </c>
      <c r="E2060" s="27" t="str">
        <f>IF('Paste SD Data'!E2057="","",UPPER('Paste SD Data'!E2057))</f>
        <v/>
      </c>
      <c r="F2060" s="27" t="str">
        <f>IF('Paste SD Data'!G2057="","",UPPER('Paste SD Data'!G2057))</f>
        <v/>
      </c>
      <c r="G2060" s="27" t="str">
        <f>IF('Paste SD Data'!H2057="","",UPPER('Paste SD Data'!H2057))</f>
        <v/>
      </c>
      <c r="H2060" s="26" t="str">
        <f>IF('Paste SD Data'!I2057="","",IF('Paste SD Data'!I2057="M","BOY","GIRL"))</f>
        <v/>
      </c>
      <c r="I2060" s="28" t="str">
        <f>IF('Paste SD Data'!J2057="","",'Paste SD Data'!J2057)</f>
        <v/>
      </c>
      <c r="J2060" s="34">
        <f t="shared" si="32"/>
        <v>2486</v>
      </c>
      <c r="K2060" s="29" t="str">
        <f>IF('Paste SD Data'!O2057="","",'Paste SD Data'!O2057)</f>
        <v/>
      </c>
    </row>
    <row r="2061" spans="1:11" ht="30" customHeight="1" x14ac:dyDescent="0.25">
      <c r="A2061" s="25" t="str">
        <f>IF(Table1[[#This Row],[Name of Student]]="","",ROWS($A$1:A2057))</f>
        <v/>
      </c>
      <c r="B2061" s="26" t="str">
        <f>IF('Paste SD Data'!A2058="","",'Paste SD Data'!A2058)</f>
        <v/>
      </c>
      <c r="C2061" s="26" t="str">
        <f>IF('Paste SD Data'!B2058="","",'Paste SD Data'!B2058)</f>
        <v/>
      </c>
      <c r="D2061" s="26" t="str">
        <f>IF('Paste SD Data'!C2058="","",'Paste SD Data'!C2058)</f>
        <v/>
      </c>
      <c r="E2061" s="27" t="str">
        <f>IF('Paste SD Data'!E2058="","",UPPER('Paste SD Data'!E2058))</f>
        <v/>
      </c>
      <c r="F2061" s="27" t="str">
        <f>IF('Paste SD Data'!G2058="","",UPPER('Paste SD Data'!G2058))</f>
        <v/>
      </c>
      <c r="G2061" s="27" t="str">
        <f>IF('Paste SD Data'!H2058="","",UPPER('Paste SD Data'!H2058))</f>
        <v/>
      </c>
      <c r="H2061" s="26" t="str">
        <f>IF('Paste SD Data'!I2058="","",IF('Paste SD Data'!I2058="M","BOY","GIRL"))</f>
        <v/>
      </c>
      <c r="I2061" s="28" t="str">
        <f>IF('Paste SD Data'!J2058="","",'Paste SD Data'!J2058)</f>
        <v/>
      </c>
      <c r="J2061" s="34">
        <f t="shared" si="32"/>
        <v>2487</v>
      </c>
      <c r="K2061" s="29" t="str">
        <f>IF('Paste SD Data'!O2058="","",'Paste SD Data'!O2058)</f>
        <v/>
      </c>
    </row>
    <row r="2062" spans="1:11" ht="30" customHeight="1" x14ac:dyDescent="0.25">
      <c r="A2062" s="25" t="str">
        <f>IF(Table1[[#This Row],[Name of Student]]="","",ROWS($A$1:A2058))</f>
        <v/>
      </c>
      <c r="B2062" s="26" t="str">
        <f>IF('Paste SD Data'!A2059="","",'Paste SD Data'!A2059)</f>
        <v/>
      </c>
      <c r="C2062" s="26" t="str">
        <f>IF('Paste SD Data'!B2059="","",'Paste SD Data'!B2059)</f>
        <v/>
      </c>
      <c r="D2062" s="26" t="str">
        <f>IF('Paste SD Data'!C2059="","",'Paste SD Data'!C2059)</f>
        <v/>
      </c>
      <c r="E2062" s="27" t="str">
        <f>IF('Paste SD Data'!E2059="","",UPPER('Paste SD Data'!E2059))</f>
        <v/>
      </c>
      <c r="F2062" s="27" t="str">
        <f>IF('Paste SD Data'!G2059="","",UPPER('Paste SD Data'!G2059))</f>
        <v/>
      </c>
      <c r="G2062" s="27" t="str">
        <f>IF('Paste SD Data'!H2059="","",UPPER('Paste SD Data'!H2059))</f>
        <v/>
      </c>
      <c r="H2062" s="26" t="str">
        <f>IF('Paste SD Data'!I2059="","",IF('Paste SD Data'!I2059="M","BOY","GIRL"))</f>
        <v/>
      </c>
      <c r="I2062" s="28" t="str">
        <f>IF('Paste SD Data'!J2059="","",'Paste SD Data'!J2059)</f>
        <v/>
      </c>
      <c r="J2062" s="34">
        <f t="shared" si="32"/>
        <v>2488</v>
      </c>
      <c r="K2062" s="29" t="str">
        <f>IF('Paste SD Data'!O2059="","",'Paste SD Data'!O2059)</f>
        <v/>
      </c>
    </row>
    <row r="2063" spans="1:11" ht="30" customHeight="1" x14ac:dyDescent="0.25">
      <c r="A2063" s="25" t="str">
        <f>IF(Table1[[#This Row],[Name of Student]]="","",ROWS($A$1:A2059))</f>
        <v/>
      </c>
      <c r="B2063" s="26" t="str">
        <f>IF('Paste SD Data'!A2060="","",'Paste SD Data'!A2060)</f>
        <v/>
      </c>
      <c r="C2063" s="26" t="str">
        <f>IF('Paste SD Data'!B2060="","",'Paste SD Data'!B2060)</f>
        <v/>
      </c>
      <c r="D2063" s="26" t="str">
        <f>IF('Paste SD Data'!C2060="","",'Paste SD Data'!C2060)</f>
        <v/>
      </c>
      <c r="E2063" s="27" t="str">
        <f>IF('Paste SD Data'!E2060="","",UPPER('Paste SD Data'!E2060))</f>
        <v/>
      </c>
      <c r="F2063" s="27" t="str">
        <f>IF('Paste SD Data'!G2060="","",UPPER('Paste SD Data'!G2060))</f>
        <v/>
      </c>
      <c r="G2063" s="27" t="str">
        <f>IF('Paste SD Data'!H2060="","",UPPER('Paste SD Data'!H2060))</f>
        <v/>
      </c>
      <c r="H2063" s="26" t="str">
        <f>IF('Paste SD Data'!I2060="","",IF('Paste SD Data'!I2060="M","BOY","GIRL"))</f>
        <v/>
      </c>
      <c r="I2063" s="28" t="str">
        <f>IF('Paste SD Data'!J2060="","",'Paste SD Data'!J2060)</f>
        <v/>
      </c>
      <c r="J2063" s="34">
        <f t="shared" si="32"/>
        <v>2489</v>
      </c>
      <c r="K2063" s="29" t="str">
        <f>IF('Paste SD Data'!O2060="","",'Paste SD Data'!O2060)</f>
        <v/>
      </c>
    </row>
    <row r="2064" spans="1:11" ht="30" customHeight="1" x14ac:dyDescent="0.25">
      <c r="A2064" s="25" t="str">
        <f>IF(Table1[[#This Row],[Name of Student]]="","",ROWS($A$1:A2060))</f>
        <v/>
      </c>
      <c r="B2064" s="26" t="str">
        <f>IF('Paste SD Data'!A2061="","",'Paste SD Data'!A2061)</f>
        <v/>
      </c>
      <c r="C2064" s="26" t="str">
        <f>IF('Paste SD Data'!B2061="","",'Paste SD Data'!B2061)</f>
        <v/>
      </c>
      <c r="D2064" s="26" t="str">
        <f>IF('Paste SD Data'!C2061="","",'Paste SD Data'!C2061)</f>
        <v/>
      </c>
      <c r="E2064" s="27" t="str">
        <f>IF('Paste SD Data'!E2061="","",UPPER('Paste SD Data'!E2061))</f>
        <v/>
      </c>
      <c r="F2064" s="27" t="str">
        <f>IF('Paste SD Data'!G2061="","",UPPER('Paste SD Data'!G2061))</f>
        <v/>
      </c>
      <c r="G2064" s="27" t="str">
        <f>IF('Paste SD Data'!H2061="","",UPPER('Paste SD Data'!H2061))</f>
        <v/>
      </c>
      <c r="H2064" s="26" t="str">
        <f>IF('Paste SD Data'!I2061="","",IF('Paste SD Data'!I2061="M","BOY","GIRL"))</f>
        <v/>
      </c>
      <c r="I2064" s="28" t="str">
        <f>IF('Paste SD Data'!J2061="","",'Paste SD Data'!J2061)</f>
        <v/>
      </c>
      <c r="J2064" s="34">
        <f t="shared" si="32"/>
        <v>2490</v>
      </c>
      <c r="K2064" s="29" t="str">
        <f>IF('Paste SD Data'!O2061="","",'Paste SD Data'!O2061)</f>
        <v/>
      </c>
    </row>
    <row r="2065" spans="1:11" ht="30" customHeight="1" x14ac:dyDescent="0.25">
      <c r="A2065" s="25" t="str">
        <f>IF(Table1[[#This Row],[Name of Student]]="","",ROWS($A$1:A2061))</f>
        <v/>
      </c>
      <c r="B2065" s="26" t="str">
        <f>IF('Paste SD Data'!A2062="","",'Paste SD Data'!A2062)</f>
        <v/>
      </c>
      <c r="C2065" s="26" t="str">
        <f>IF('Paste SD Data'!B2062="","",'Paste SD Data'!B2062)</f>
        <v/>
      </c>
      <c r="D2065" s="26" t="str">
        <f>IF('Paste SD Data'!C2062="","",'Paste SD Data'!C2062)</f>
        <v/>
      </c>
      <c r="E2065" s="27" t="str">
        <f>IF('Paste SD Data'!E2062="","",UPPER('Paste SD Data'!E2062))</f>
        <v/>
      </c>
      <c r="F2065" s="27" t="str">
        <f>IF('Paste SD Data'!G2062="","",UPPER('Paste SD Data'!G2062))</f>
        <v/>
      </c>
      <c r="G2065" s="27" t="str">
        <f>IF('Paste SD Data'!H2062="","",UPPER('Paste SD Data'!H2062))</f>
        <v/>
      </c>
      <c r="H2065" s="26" t="str">
        <f>IF('Paste SD Data'!I2062="","",IF('Paste SD Data'!I2062="M","BOY","GIRL"))</f>
        <v/>
      </c>
      <c r="I2065" s="28" t="str">
        <f>IF('Paste SD Data'!J2062="","",'Paste SD Data'!J2062)</f>
        <v/>
      </c>
      <c r="J2065" s="34">
        <f t="shared" si="32"/>
        <v>2491</v>
      </c>
      <c r="K2065" s="29" t="str">
        <f>IF('Paste SD Data'!O2062="","",'Paste SD Data'!O2062)</f>
        <v/>
      </c>
    </row>
    <row r="2066" spans="1:11" ht="30" customHeight="1" x14ac:dyDescent="0.25">
      <c r="A2066" s="25" t="str">
        <f>IF(Table1[[#This Row],[Name of Student]]="","",ROWS($A$1:A2062))</f>
        <v/>
      </c>
      <c r="B2066" s="26" t="str">
        <f>IF('Paste SD Data'!A2063="","",'Paste SD Data'!A2063)</f>
        <v/>
      </c>
      <c r="C2066" s="26" t="str">
        <f>IF('Paste SD Data'!B2063="","",'Paste SD Data'!B2063)</f>
        <v/>
      </c>
      <c r="D2066" s="26" t="str">
        <f>IF('Paste SD Data'!C2063="","",'Paste SD Data'!C2063)</f>
        <v/>
      </c>
      <c r="E2066" s="27" t="str">
        <f>IF('Paste SD Data'!E2063="","",UPPER('Paste SD Data'!E2063))</f>
        <v/>
      </c>
      <c r="F2066" s="27" t="str">
        <f>IF('Paste SD Data'!G2063="","",UPPER('Paste SD Data'!G2063))</f>
        <v/>
      </c>
      <c r="G2066" s="27" t="str">
        <f>IF('Paste SD Data'!H2063="","",UPPER('Paste SD Data'!H2063))</f>
        <v/>
      </c>
      <c r="H2066" s="26" t="str">
        <f>IF('Paste SD Data'!I2063="","",IF('Paste SD Data'!I2063="M","BOY","GIRL"))</f>
        <v/>
      </c>
      <c r="I2066" s="28" t="str">
        <f>IF('Paste SD Data'!J2063="","",'Paste SD Data'!J2063)</f>
        <v/>
      </c>
      <c r="J2066" s="34">
        <f t="shared" si="32"/>
        <v>2492</v>
      </c>
      <c r="K2066" s="29" t="str">
        <f>IF('Paste SD Data'!O2063="","",'Paste SD Data'!O2063)</f>
        <v/>
      </c>
    </row>
    <row r="2067" spans="1:11" ht="30" customHeight="1" x14ac:dyDescent="0.25">
      <c r="A2067" s="25" t="str">
        <f>IF(Table1[[#This Row],[Name of Student]]="","",ROWS($A$1:A2063))</f>
        <v/>
      </c>
      <c r="B2067" s="26" t="str">
        <f>IF('Paste SD Data'!A2064="","",'Paste SD Data'!A2064)</f>
        <v/>
      </c>
      <c r="C2067" s="26" t="str">
        <f>IF('Paste SD Data'!B2064="","",'Paste SD Data'!B2064)</f>
        <v/>
      </c>
      <c r="D2067" s="26" t="str">
        <f>IF('Paste SD Data'!C2064="","",'Paste SD Data'!C2064)</f>
        <v/>
      </c>
      <c r="E2067" s="27" t="str">
        <f>IF('Paste SD Data'!E2064="","",UPPER('Paste SD Data'!E2064))</f>
        <v/>
      </c>
      <c r="F2067" s="27" t="str">
        <f>IF('Paste SD Data'!G2064="","",UPPER('Paste SD Data'!G2064))</f>
        <v/>
      </c>
      <c r="G2067" s="27" t="str">
        <f>IF('Paste SD Data'!H2064="","",UPPER('Paste SD Data'!H2064))</f>
        <v/>
      </c>
      <c r="H2067" s="26" t="str">
        <f>IF('Paste SD Data'!I2064="","",IF('Paste SD Data'!I2064="M","BOY","GIRL"))</f>
        <v/>
      </c>
      <c r="I2067" s="28" t="str">
        <f>IF('Paste SD Data'!J2064="","",'Paste SD Data'!J2064)</f>
        <v/>
      </c>
      <c r="J2067" s="34">
        <f t="shared" si="32"/>
        <v>2493</v>
      </c>
      <c r="K2067" s="29" t="str">
        <f>IF('Paste SD Data'!O2064="","",'Paste SD Data'!O2064)</f>
        <v/>
      </c>
    </row>
    <row r="2068" spans="1:11" ht="30" customHeight="1" x14ac:dyDescent="0.25">
      <c r="A2068" s="25" t="str">
        <f>IF(Table1[[#This Row],[Name of Student]]="","",ROWS($A$1:A2064))</f>
        <v/>
      </c>
      <c r="B2068" s="26" t="str">
        <f>IF('Paste SD Data'!A2065="","",'Paste SD Data'!A2065)</f>
        <v/>
      </c>
      <c r="C2068" s="26" t="str">
        <f>IF('Paste SD Data'!B2065="","",'Paste SD Data'!B2065)</f>
        <v/>
      </c>
      <c r="D2068" s="26" t="str">
        <f>IF('Paste SD Data'!C2065="","",'Paste SD Data'!C2065)</f>
        <v/>
      </c>
      <c r="E2068" s="27" t="str">
        <f>IF('Paste SD Data'!E2065="","",UPPER('Paste SD Data'!E2065))</f>
        <v/>
      </c>
      <c r="F2068" s="27" t="str">
        <f>IF('Paste SD Data'!G2065="","",UPPER('Paste SD Data'!G2065))</f>
        <v/>
      </c>
      <c r="G2068" s="27" t="str">
        <f>IF('Paste SD Data'!H2065="","",UPPER('Paste SD Data'!H2065))</f>
        <v/>
      </c>
      <c r="H2068" s="26" t="str">
        <f>IF('Paste SD Data'!I2065="","",IF('Paste SD Data'!I2065="M","BOY","GIRL"))</f>
        <v/>
      </c>
      <c r="I2068" s="28" t="str">
        <f>IF('Paste SD Data'!J2065="","",'Paste SD Data'!J2065)</f>
        <v/>
      </c>
      <c r="J2068" s="34">
        <f t="shared" si="32"/>
        <v>2494</v>
      </c>
      <c r="K2068" s="29" t="str">
        <f>IF('Paste SD Data'!O2065="","",'Paste SD Data'!O2065)</f>
        <v/>
      </c>
    </row>
    <row r="2069" spans="1:11" ht="30" customHeight="1" x14ac:dyDescent="0.25">
      <c r="A2069" s="25" t="str">
        <f>IF(Table1[[#This Row],[Name of Student]]="","",ROWS($A$1:A2065))</f>
        <v/>
      </c>
      <c r="B2069" s="26" t="str">
        <f>IF('Paste SD Data'!A2066="","",'Paste SD Data'!A2066)</f>
        <v/>
      </c>
      <c r="C2069" s="26" t="str">
        <f>IF('Paste SD Data'!B2066="","",'Paste SD Data'!B2066)</f>
        <v/>
      </c>
      <c r="D2069" s="26" t="str">
        <f>IF('Paste SD Data'!C2066="","",'Paste SD Data'!C2066)</f>
        <v/>
      </c>
      <c r="E2069" s="27" t="str">
        <f>IF('Paste SD Data'!E2066="","",UPPER('Paste SD Data'!E2066))</f>
        <v/>
      </c>
      <c r="F2069" s="27" t="str">
        <f>IF('Paste SD Data'!G2066="","",UPPER('Paste SD Data'!G2066))</f>
        <v/>
      </c>
      <c r="G2069" s="27" t="str">
        <f>IF('Paste SD Data'!H2066="","",UPPER('Paste SD Data'!H2066))</f>
        <v/>
      </c>
      <c r="H2069" s="26" t="str">
        <f>IF('Paste SD Data'!I2066="","",IF('Paste SD Data'!I2066="M","BOY","GIRL"))</f>
        <v/>
      </c>
      <c r="I2069" s="28" t="str">
        <f>IF('Paste SD Data'!J2066="","",'Paste SD Data'!J2066)</f>
        <v/>
      </c>
      <c r="J2069" s="34">
        <f t="shared" si="32"/>
        <v>2495</v>
      </c>
      <c r="K2069" s="29" t="str">
        <f>IF('Paste SD Data'!O2066="","",'Paste SD Data'!O2066)</f>
        <v/>
      </c>
    </row>
    <row r="2070" spans="1:11" ht="30" customHeight="1" x14ac:dyDescent="0.25">
      <c r="A2070" s="25" t="str">
        <f>IF(Table1[[#This Row],[Name of Student]]="","",ROWS($A$1:A2066))</f>
        <v/>
      </c>
      <c r="B2070" s="26" t="str">
        <f>IF('Paste SD Data'!A2067="","",'Paste SD Data'!A2067)</f>
        <v/>
      </c>
      <c r="C2070" s="26" t="str">
        <f>IF('Paste SD Data'!B2067="","",'Paste SD Data'!B2067)</f>
        <v/>
      </c>
      <c r="D2070" s="26" t="str">
        <f>IF('Paste SD Data'!C2067="","",'Paste SD Data'!C2067)</f>
        <v/>
      </c>
      <c r="E2070" s="27" t="str">
        <f>IF('Paste SD Data'!E2067="","",UPPER('Paste SD Data'!E2067))</f>
        <v/>
      </c>
      <c r="F2070" s="27" t="str">
        <f>IF('Paste SD Data'!G2067="","",UPPER('Paste SD Data'!G2067))</f>
        <v/>
      </c>
      <c r="G2070" s="27" t="str">
        <f>IF('Paste SD Data'!H2067="","",UPPER('Paste SD Data'!H2067))</f>
        <v/>
      </c>
      <c r="H2070" s="26" t="str">
        <f>IF('Paste SD Data'!I2067="","",IF('Paste SD Data'!I2067="M","BOY","GIRL"))</f>
        <v/>
      </c>
      <c r="I2070" s="28" t="str">
        <f>IF('Paste SD Data'!J2067="","",'Paste SD Data'!J2067)</f>
        <v/>
      </c>
      <c r="J2070" s="34">
        <f t="shared" si="32"/>
        <v>2496</v>
      </c>
      <c r="K2070" s="29" t="str">
        <f>IF('Paste SD Data'!O2067="","",'Paste SD Data'!O2067)</f>
        <v/>
      </c>
    </row>
    <row r="2071" spans="1:11" ht="30" customHeight="1" x14ac:dyDescent="0.25">
      <c r="A2071" s="25" t="str">
        <f>IF(Table1[[#This Row],[Name of Student]]="","",ROWS($A$1:A2067))</f>
        <v/>
      </c>
      <c r="B2071" s="26" t="str">
        <f>IF('Paste SD Data'!A2068="","",'Paste SD Data'!A2068)</f>
        <v/>
      </c>
      <c r="C2071" s="26" t="str">
        <f>IF('Paste SD Data'!B2068="","",'Paste SD Data'!B2068)</f>
        <v/>
      </c>
      <c r="D2071" s="26" t="str">
        <f>IF('Paste SD Data'!C2068="","",'Paste SD Data'!C2068)</f>
        <v/>
      </c>
      <c r="E2071" s="27" t="str">
        <f>IF('Paste SD Data'!E2068="","",UPPER('Paste SD Data'!E2068))</f>
        <v/>
      </c>
      <c r="F2071" s="27" t="str">
        <f>IF('Paste SD Data'!G2068="","",UPPER('Paste SD Data'!G2068))</f>
        <v/>
      </c>
      <c r="G2071" s="27" t="str">
        <f>IF('Paste SD Data'!H2068="","",UPPER('Paste SD Data'!H2068))</f>
        <v/>
      </c>
      <c r="H2071" s="26" t="str">
        <f>IF('Paste SD Data'!I2068="","",IF('Paste SD Data'!I2068="M","BOY","GIRL"))</f>
        <v/>
      </c>
      <c r="I2071" s="28" t="str">
        <f>IF('Paste SD Data'!J2068="","",'Paste SD Data'!J2068)</f>
        <v/>
      </c>
      <c r="J2071" s="34">
        <f t="shared" si="32"/>
        <v>2497</v>
      </c>
      <c r="K2071" s="29" t="str">
        <f>IF('Paste SD Data'!O2068="","",'Paste SD Data'!O2068)</f>
        <v/>
      </c>
    </row>
    <row r="2072" spans="1:11" ht="30" customHeight="1" x14ac:dyDescent="0.25">
      <c r="A2072" s="25" t="str">
        <f>IF(Table1[[#This Row],[Name of Student]]="","",ROWS($A$1:A2068))</f>
        <v/>
      </c>
      <c r="B2072" s="26" t="str">
        <f>IF('Paste SD Data'!A2069="","",'Paste SD Data'!A2069)</f>
        <v/>
      </c>
      <c r="C2072" s="26" t="str">
        <f>IF('Paste SD Data'!B2069="","",'Paste SD Data'!B2069)</f>
        <v/>
      </c>
      <c r="D2072" s="26" t="str">
        <f>IF('Paste SD Data'!C2069="","",'Paste SD Data'!C2069)</f>
        <v/>
      </c>
      <c r="E2072" s="27" t="str">
        <f>IF('Paste SD Data'!E2069="","",UPPER('Paste SD Data'!E2069))</f>
        <v/>
      </c>
      <c r="F2072" s="27" t="str">
        <f>IF('Paste SD Data'!G2069="","",UPPER('Paste SD Data'!G2069))</f>
        <v/>
      </c>
      <c r="G2072" s="27" t="str">
        <f>IF('Paste SD Data'!H2069="","",UPPER('Paste SD Data'!H2069))</f>
        <v/>
      </c>
      <c r="H2072" s="26" t="str">
        <f>IF('Paste SD Data'!I2069="","",IF('Paste SD Data'!I2069="M","BOY","GIRL"))</f>
        <v/>
      </c>
      <c r="I2072" s="28" t="str">
        <f>IF('Paste SD Data'!J2069="","",'Paste SD Data'!J2069)</f>
        <v/>
      </c>
      <c r="J2072" s="34">
        <f t="shared" si="32"/>
        <v>2498</v>
      </c>
      <c r="K2072" s="29" t="str">
        <f>IF('Paste SD Data'!O2069="","",'Paste SD Data'!O2069)</f>
        <v/>
      </c>
    </row>
    <row r="2073" spans="1:11" ht="30" customHeight="1" x14ac:dyDescent="0.25">
      <c r="A2073" s="25" t="str">
        <f>IF(Table1[[#This Row],[Name of Student]]="","",ROWS($A$1:A2069))</f>
        <v/>
      </c>
      <c r="B2073" s="26" t="str">
        <f>IF('Paste SD Data'!A2070="","",'Paste SD Data'!A2070)</f>
        <v/>
      </c>
      <c r="C2073" s="26" t="str">
        <f>IF('Paste SD Data'!B2070="","",'Paste SD Data'!B2070)</f>
        <v/>
      </c>
      <c r="D2073" s="26" t="str">
        <f>IF('Paste SD Data'!C2070="","",'Paste SD Data'!C2070)</f>
        <v/>
      </c>
      <c r="E2073" s="27" t="str">
        <f>IF('Paste SD Data'!E2070="","",UPPER('Paste SD Data'!E2070))</f>
        <v/>
      </c>
      <c r="F2073" s="27" t="str">
        <f>IF('Paste SD Data'!G2070="","",UPPER('Paste SD Data'!G2070))</f>
        <v/>
      </c>
      <c r="G2073" s="27" t="str">
        <f>IF('Paste SD Data'!H2070="","",UPPER('Paste SD Data'!H2070))</f>
        <v/>
      </c>
      <c r="H2073" s="26" t="str">
        <f>IF('Paste SD Data'!I2070="","",IF('Paste SD Data'!I2070="M","BOY","GIRL"))</f>
        <v/>
      </c>
      <c r="I2073" s="28" t="str">
        <f>IF('Paste SD Data'!J2070="","",'Paste SD Data'!J2070)</f>
        <v/>
      </c>
      <c r="J2073" s="34">
        <f t="shared" si="32"/>
        <v>2499</v>
      </c>
      <c r="K2073" s="29" t="str">
        <f>IF('Paste SD Data'!O2070="","",'Paste SD Data'!O2070)</f>
        <v/>
      </c>
    </row>
    <row r="2074" spans="1:11" ht="30" customHeight="1" x14ac:dyDescent="0.25">
      <c r="A2074" s="25" t="str">
        <f>IF(Table1[[#This Row],[Name of Student]]="","",ROWS($A$1:A2070))</f>
        <v/>
      </c>
      <c r="B2074" s="26" t="str">
        <f>IF('Paste SD Data'!A2071="","",'Paste SD Data'!A2071)</f>
        <v/>
      </c>
      <c r="C2074" s="26" t="str">
        <f>IF('Paste SD Data'!B2071="","",'Paste SD Data'!B2071)</f>
        <v/>
      </c>
      <c r="D2074" s="26" t="str">
        <f>IF('Paste SD Data'!C2071="","",'Paste SD Data'!C2071)</f>
        <v/>
      </c>
      <c r="E2074" s="27" t="str">
        <f>IF('Paste SD Data'!E2071="","",UPPER('Paste SD Data'!E2071))</f>
        <v/>
      </c>
      <c r="F2074" s="27" t="str">
        <f>IF('Paste SD Data'!G2071="","",UPPER('Paste SD Data'!G2071))</f>
        <v/>
      </c>
      <c r="G2074" s="27" t="str">
        <f>IF('Paste SD Data'!H2071="","",UPPER('Paste SD Data'!H2071))</f>
        <v/>
      </c>
      <c r="H2074" s="26" t="str">
        <f>IF('Paste SD Data'!I2071="","",IF('Paste SD Data'!I2071="M","BOY","GIRL"))</f>
        <v/>
      </c>
      <c r="I2074" s="28" t="str">
        <f>IF('Paste SD Data'!J2071="","",'Paste SD Data'!J2071)</f>
        <v/>
      </c>
      <c r="J2074" s="34">
        <f t="shared" si="32"/>
        <v>2500</v>
      </c>
      <c r="K2074" s="29" t="str">
        <f>IF('Paste SD Data'!O2071="","",'Paste SD Data'!O2071)</f>
        <v/>
      </c>
    </row>
    <row r="2075" spans="1:11" ht="30" customHeight="1" x14ac:dyDescent="0.25">
      <c r="A2075" s="25" t="str">
        <f>IF(Table1[[#This Row],[Name of Student]]="","",ROWS($A$1:A2071))</f>
        <v/>
      </c>
      <c r="B2075" s="26" t="str">
        <f>IF('Paste SD Data'!A2072="","",'Paste SD Data'!A2072)</f>
        <v/>
      </c>
      <c r="C2075" s="26" t="str">
        <f>IF('Paste SD Data'!B2072="","",'Paste SD Data'!B2072)</f>
        <v/>
      </c>
      <c r="D2075" s="26" t="str">
        <f>IF('Paste SD Data'!C2072="","",'Paste SD Data'!C2072)</f>
        <v/>
      </c>
      <c r="E2075" s="27" t="str">
        <f>IF('Paste SD Data'!E2072="","",UPPER('Paste SD Data'!E2072))</f>
        <v/>
      </c>
      <c r="F2075" s="27" t="str">
        <f>IF('Paste SD Data'!G2072="","",UPPER('Paste SD Data'!G2072))</f>
        <v/>
      </c>
      <c r="G2075" s="27" t="str">
        <f>IF('Paste SD Data'!H2072="","",UPPER('Paste SD Data'!H2072))</f>
        <v/>
      </c>
      <c r="H2075" s="26" t="str">
        <f>IF('Paste SD Data'!I2072="","",IF('Paste SD Data'!I2072="M","BOY","GIRL"))</f>
        <v/>
      </c>
      <c r="I2075" s="28" t="str">
        <f>IF('Paste SD Data'!J2072="","",'Paste SD Data'!J2072)</f>
        <v/>
      </c>
      <c r="J2075" s="34">
        <f t="shared" si="32"/>
        <v>2501</v>
      </c>
      <c r="K2075" s="29" t="str">
        <f>IF('Paste SD Data'!O2072="","",'Paste SD Data'!O2072)</f>
        <v/>
      </c>
    </row>
    <row r="2076" spans="1:11" ht="30" customHeight="1" x14ac:dyDescent="0.25">
      <c r="A2076" s="25" t="str">
        <f>IF(Table1[[#This Row],[Name of Student]]="","",ROWS($A$1:A2072))</f>
        <v/>
      </c>
      <c r="B2076" s="26" t="str">
        <f>IF('Paste SD Data'!A2073="","",'Paste SD Data'!A2073)</f>
        <v/>
      </c>
      <c r="C2076" s="26" t="str">
        <f>IF('Paste SD Data'!B2073="","",'Paste SD Data'!B2073)</f>
        <v/>
      </c>
      <c r="D2076" s="26" t="str">
        <f>IF('Paste SD Data'!C2073="","",'Paste SD Data'!C2073)</f>
        <v/>
      </c>
      <c r="E2076" s="27" t="str">
        <f>IF('Paste SD Data'!E2073="","",UPPER('Paste SD Data'!E2073))</f>
        <v/>
      </c>
      <c r="F2076" s="27" t="str">
        <f>IF('Paste SD Data'!G2073="","",UPPER('Paste SD Data'!G2073))</f>
        <v/>
      </c>
      <c r="G2076" s="27" t="str">
        <f>IF('Paste SD Data'!H2073="","",UPPER('Paste SD Data'!H2073))</f>
        <v/>
      </c>
      <c r="H2076" s="26" t="str">
        <f>IF('Paste SD Data'!I2073="","",IF('Paste SD Data'!I2073="M","BOY","GIRL"))</f>
        <v/>
      </c>
      <c r="I2076" s="28" t="str">
        <f>IF('Paste SD Data'!J2073="","",'Paste SD Data'!J2073)</f>
        <v/>
      </c>
      <c r="J2076" s="34">
        <f t="shared" si="32"/>
        <v>2502</v>
      </c>
      <c r="K2076" s="29" t="str">
        <f>IF('Paste SD Data'!O2073="","",'Paste SD Data'!O2073)</f>
        <v/>
      </c>
    </row>
    <row r="2077" spans="1:11" ht="30" customHeight="1" x14ac:dyDescent="0.25">
      <c r="A2077" s="25" t="str">
        <f>IF(Table1[[#This Row],[Name of Student]]="","",ROWS($A$1:A2073))</f>
        <v/>
      </c>
      <c r="B2077" s="26" t="str">
        <f>IF('Paste SD Data'!A2074="","",'Paste SD Data'!A2074)</f>
        <v/>
      </c>
      <c r="C2077" s="26" t="str">
        <f>IF('Paste SD Data'!B2074="","",'Paste SD Data'!B2074)</f>
        <v/>
      </c>
      <c r="D2077" s="26" t="str">
        <f>IF('Paste SD Data'!C2074="","",'Paste SD Data'!C2074)</f>
        <v/>
      </c>
      <c r="E2077" s="27" t="str">
        <f>IF('Paste SD Data'!E2074="","",UPPER('Paste SD Data'!E2074))</f>
        <v/>
      </c>
      <c r="F2077" s="27" t="str">
        <f>IF('Paste SD Data'!G2074="","",UPPER('Paste SD Data'!G2074))</f>
        <v/>
      </c>
      <c r="G2077" s="27" t="str">
        <f>IF('Paste SD Data'!H2074="","",UPPER('Paste SD Data'!H2074))</f>
        <v/>
      </c>
      <c r="H2077" s="26" t="str">
        <f>IF('Paste SD Data'!I2074="","",IF('Paste SD Data'!I2074="M","BOY","GIRL"))</f>
        <v/>
      </c>
      <c r="I2077" s="28" t="str">
        <f>IF('Paste SD Data'!J2074="","",'Paste SD Data'!J2074)</f>
        <v/>
      </c>
      <c r="J2077" s="34">
        <f t="shared" si="32"/>
        <v>2503</v>
      </c>
      <c r="K2077" s="29" t="str">
        <f>IF('Paste SD Data'!O2074="","",'Paste SD Data'!O2074)</f>
        <v/>
      </c>
    </row>
    <row r="2078" spans="1:11" ht="30" customHeight="1" x14ac:dyDescent="0.25">
      <c r="A2078" s="25" t="str">
        <f>IF(Table1[[#This Row],[Name of Student]]="","",ROWS($A$1:A2074))</f>
        <v/>
      </c>
      <c r="B2078" s="26" t="str">
        <f>IF('Paste SD Data'!A2075="","",'Paste SD Data'!A2075)</f>
        <v/>
      </c>
      <c r="C2078" s="26" t="str">
        <f>IF('Paste SD Data'!B2075="","",'Paste SD Data'!B2075)</f>
        <v/>
      </c>
      <c r="D2078" s="26" t="str">
        <f>IF('Paste SD Data'!C2075="","",'Paste SD Data'!C2075)</f>
        <v/>
      </c>
      <c r="E2078" s="27" t="str">
        <f>IF('Paste SD Data'!E2075="","",UPPER('Paste SD Data'!E2075))</f>
        <v/>
      </c>
      <c r="F2078" s="27" t="str">
        <f>IF('Paste SD Data'!G2075="","",UPPER('Paste SD Data'!G2075))</f>
        <v/>
      </c>
      <c r="G2078" s="27" t="str">
        <f>IF('Paste SD Data'!H2075="","",UPPER('Paste SD Data'!H2075))</f>
        <v/>
      </c>
      <c r="H2078" s="26" t="str">
        <f>IF('Paste SD Data'!I2075="","",IF('Paste SD Data'!I2075="M","BOY","GIRL"))</f>
        <v/>
      </c>
      <c r="I2078" s="28" t="str">
        <f>IF('Paste SD Data'!J2075="","",'Paste SD Data'!J2075)</f>
        <v/>
      </c>
      <c r="J2078" s="34">
        <f t="shared" si="32"/>
        <v>2504</v>
      </c>
      <c r="K2078" s="29" t="str">
        <f>IF('Paste SD Data'!O2075="","",'Paste SD Data'!O2075)</f>
        <v/>
      </c>
    </row>
    <row r="2079" spans="1:11" ht="30" customHeight="1" x14ac:dyDescent="0.25">
      <c r="A2079" s="25" t="str">
        <f>IF(Table1[[#This Row],[Name of Student]]="","",ROWS($A$1:A2075))</f>
        <v/>
      </c>
      <c r="B2079" s="26" t="str">
        <f>IF('Paste SD Data'!A2076="","",'Paste SD Data'!A2076)</f>
        <v/>
      </c>
      <c r="C2079" s="26" t="str">
        <f>IF('Paste SD Data'!B2076="","",'Paste SD Data'!B2076)</f>
        <v/>
      </c>
      <c r="D2079" s="26" t="str">
        <f>IF('Paste SD Data'!C2076="","",'Paste SD Data'!C2076)</f>
        <v/>
      </c>
      <c r="E2079" s="27" t="str">
        <f>IF('Paste SD Data'!E2076="","",UPPER('Paste SD Data'!E2076))</f>
        <v/>
      </c>
      <c r="F2079" s="27" t="str">
        <f>IF('Paste SD Data'!G2076="","",UPPER('Paste SD Data'!G2076))</f>
        <v/>
      </c>
      <c r="G2079" s="27" t="str">
        <f>IF('Paste SD Data'!H2076="","",UPPER('Paste SD Data'!H2076))</f>
        <v/>
      </c>
      <c r="H2079" s="26" t="str">
        <f>IF('Paste SD Data'!I2076="","",IF('Paste SD Data'!I2076="M","BOY","GIRL"))</f>
        <v/>
      </c>
      <c r="I2079" s="28" t="str">
        <f>IF('Paste SD Data'!J2076="","",'Paste SD Data'!J2076)</f>
        <v/>
      </c>
      <c r="J2079" s="34">
        <f t="shared" si="32"/>
        <v>2505</v>
      </c>
      <c r="K2079" s="29" t="str">
        <f>IF('Paste SD Data'!O2076="","",'Paste SD Data'!O2076)</f>
        <v/>
      </c>
    </row>
    <row r="2080" spans="1:11" ht="30" customHeight="1" x14ac:dyDescent="0.25">
      <c r="A2080" s="25" t="str">
        <f>IF(Table1[[#This Row],[Name of Student]]="","",ROWS($A$1:A2076))</f>
        <v/>
      </c>
      <c r="B2080" s="26" t="str">
        <f>IF('Paste SD Data'!A2077="","",'Paste SD Data'!A2077)</f>
        <v/>
      </c>
      <c r="C2080" s="26" t="str">
        <f>IF('Paste SD Data'!B2077="","",'Paste SD Data'!B2077)</f>
        <v/>
      </c>
      <c r="D2080" s="26" t="str">
        <f>IF('Paste SD Data'!C2077="","",'Paste SD Data'!C2077)</f>
        <v/>
      </c>
      <c r="E2080" s="27" t="str">
        <f>IF('Paste SD Data'!E2077="","",UPPER('Paste SD Data'!E2077))</f>
        <v/>
      </c>
      <c r="F2080" s="27" t="str">
        <f>IF('Paste SD Data'!G2077="","",UPPER('Paste SD Data'!G2077))</f>
        <v/>
      </c>
      <c r="G2080" s="27" t="str">
        <f>IF('Paste SD Data'!H2077="","",UPPER('Paste SD Data'!H2077))</f>
        <v/>
      </c>
      <c r="H2080" s="26" t="str">
        <f>IF('Paste SD Data'!I2077="","",IF('Paste SD Data'!I2077="M","BOY","GIRL"))</f>
        <v/>
      </c>
      <c r="I2080" s="28" t="str">
        <f>IF('Paste SD Data'!J2077="","",'Paste SD Data'!J2077)</f>
        <v/>
      </c>
      <c r="J2080" s="34">
        <f t="shared" si="32"/>
        <v>2506</v>
      </c>
      <c r="K2080" s="29" t="str">
        <f>IF('Paste SD Data'!O2077="","",'Paste SD Data'!O2077)</f>
        <v/>
      </c>
    </row>
    <row r="2081" spans="1:11" ht="30" customHeight="1" x14ac:dyDescent="0.25">
      <c r="A2081" s="25" t="str">
        <f>IF(Table1[[#This Row],[Name of Student]]="","",ROWS($A$1:A2077))</f>
        <v/>
      </c>
      <c r="B2081" s="26" t="str">
        <f>IF('Paste SD Data'!A2078="","",'Paste SD Data'!A2078)</f>
        <v/>
      </c>
      <c r="C2081" s="26" t="str">
        <f>IF('Paste SD Data'!B2078="","",'Paste SD Data'!B2078)</f>
        <v/>
      </c>
      <c r="D2081" s="26" t="str">
        <f>IF('Paste SD Data'!C2078="","",'Paste SD Data'!C2078)</f>
        <v/>
      </c>
      <c r="E2081" s="27" t="str">
        <f>IF('Paste SD Data'!E2078="","",UPPER('Paste SD Data'!E2078))</f>
        <v/>
      </c>
      <c r="F2081" s="27" t="str">
        <f>IF('Paste SD Data'!G2078="","",UPPER('Paste SD Data'!G2078))</f>
        <v/>
      </c>
      <c r="G2081" s="27" t="str">
        <f>IF('Paste SD Data'!H2078="","",UPPER('Paste SD Data'!H2078))</f>
        <v/>
      </c>
      <c r="H2081" s="26" t="str">
        <f>IF('Paste SD Data'!I2078="","",IF('Paste SD Data'!I2078="M","BOY","GIRL"))</f>
        <v/>
      </c>
      <c r="I2081" s="28" t="str">
        <f>IF('Paste SD Data'!J2078="","",'Paste SD Data'!J2078)</f>
        <v/>
      </c>
      <c r="J2081" s="34">
        <f t="shared" si="32"/>
        <v>2507</v>
      </c>
      <c r="K2081" s="29" t="str">
        <f>IF('Paste SD Data'!O2078="","",'Paste SD Data'!O2078)</f>
        <v/>
      </c>
    </row>
    <row r="2082" spans="1:11" ht="30" customHeight="1" x14ac:dyDescent="0.25">
      <c r="A2082" s="25" t="str">
        <f>IF(Table1[[#This Row],[Name of Student]]="","",ROWS($A$1:A2078))</f>
        <v/>
      </c>
      <c r="B2082" s="26" t="str">
        <f>IF('Paste SD Data'!A2079="","",'Paste SD Data'!A2079)</f>
        <v/>
      </c>
      <c r="C2082" s="26" t="str">
        <f>IF('Paste SD Data'!B2079="","",'Paste SD Data'!B2079)</f>
        <v/>
      </c>
      <c r="D2082" s="26" t="str">
        <f>IF('Paste SD Data'!C2079="","",'Paste SD Data'!C2079)</f>
        <v/>
      </c>
      <c r="E2082" s="27" t="str">
        <f>IF('Paste SD Data'!E2079="","",UPPER('Paste SD Data'!E2079))</f>
        <v/>
      </c>
      <c r="F2082" s="27" t="str">
        <f>IF('Paste SD Data'!G2079="","",UPPER('Paste SD Data'!G2079))</f>
        <v/>
      </c>
      <c r="G2082" s="27" t="str">
        <f>IF('Paste SD Data'!H2079="","",UPPER('Paste SD Data'!H2079))</f>
        <v/>
      </c>
      <c r="H2082" s="26" t="str">
        <f>IF('Paste SD Data'!I2079="","",IF('Paste SD Data'!I2079="M","BOY","GIRL"))</f>
        <v/>
      </c>
      <c r="I2082" s="28" t="str">
        <f>IF('Paste SD Data'!J2079="","",'Paste SD Data'!J2079)</f>
        <v/>
      </c>
      <c r="J2082" s="34">
        <f t="shared" si="32"/>
        <v>2508</v>
      </c>
      <c r="K2082" s="29" t="str">
        <f>IF('Paste SD Data'!O2079="","",'Paste SD Data'!O2079)</f>
        <v/>
      </c>
    </row>
    <row r="2083" spans="1:11" ht="30" customHeight="1" x14ac:dyDescent="0.25">
      <c r="A2083" s="25" t="str">
        <f>IF(Table1[[#This Row],[Name of Student]]="","",ROWS($A$1:A2079))</f>
        <v/>
      </c>
      <c r="B2083" s="26" t="str">
        <f>IF('Paste SD Data'!A2080="","",'Paste SD Data'!A2080)</f>
        <v/>
      </c>
      <c r="C2083" s="26" t="str">
        <f>IF('Paste SD Data'!B2080="","",'Paste SD Data'!B2080)</f>
        <v/>
      </c>
      <c r="D2083" s="26" t="str">
        <f>IF('Paste SD Data'!C2080="","",'Paste SD Data'!C2080)</f>
        <v/>
      </c>
      <c r="E2083" s="27" t="str">
        <f>IF('Paste SD Data'!E2080="","",UPPER('Paste SD Data'!E2080))</f>
        <v/>
      </c>
      <c r="F2083" s="27" t="str">
        <f>IF('Paste SD Data'!G2080="","",UPPER('Paste SD Data'!G2080))</f>
        <v/>
      </c>
      <c r="G2083" s="27" t="str">
        <f>IF('Paste SD Data'!H2080="","",UPPER('Paste SD Data'!H2080))</f>
        <v/>
      </c>
      <c r="H2083" s="26" t="str">
        <f>IF('Paste SD Data'!I2080="","",IF('Paste SD Data'!I2080="M","BOY","GIRL"))</f>
        <v/>
      </c>
      <c r="I2083" s="28" t="str">
        <f>IF('Paste SD Data'!J2080="","",'Paste SD Data'!J2080)</f>
        <v/>
      </c>
      <c r="J2083" s="34">
        <f t="shared" si="32"/>
        <v>2509</v>
      </c>
      <c r="K2083" s="29" t="str">
        <f>IF('Paste SD Data'!O2080="","",'Paste SD Data'!O2080)</f>
        <v/>
      </c>
    </row>
    <row r="2084" spans="1:11" ht="30" customHeight="1" x14ac:dyDescent="0.25">
      <c r="A2084" s="25" t="str">
        <f>IF(Table1[[#This Row],[Name of Student]]="","",ROWS($A$1:A2080))</f>
        <v/>
      </c>
      <c r="B2084" s="26" t="str">
        <f>IF('Paste SD Data'!A2081="","",'Paste SD Data'!A2081)</f>
        <v/>
      </c>
      <c r="C2084" s="26" t="str">
        <f>IF('Paste SD Data'!B2081="","",'Paste SD Data'!B2081)</f>
        <v/>
      </c>
      <c r="D2084" s="26" t="str">
        <f>IF('Paste SD Data'!C2081="","",'Paste SD Data'!C2081)</f>
        <v/>
      </c>
      <c r="E2084" s="27" t="str">
        <f>IF('Paste SD Data'!E2081="","",UPPER('Paste SD Data'!E2081))</f>
        <v/>
      </c>
      <c r="F2084" s="27" t="str">
        <f>IF('Paste SD Data'!G2081="","",UPPER('Paste SD Data'!G2081))</f>
        <v/>
      </c>
      <c r="G2084" s="27" t="str">
        <f>IF('Paste SD Data'!H2081="","",UPPER('Paste SD Data'!H2081))</f>
        <v/>
      </c>
      <c r="H2084" s="26" t="str">
        <f>IF('Paste SD Data'!I2081="","",IF('Paste SD Data'!I2081="M","BOY","GIRL"))</f>
        <v/>
      </c>
      <c r="I2084" s="28" t="str">
        <f>IF('Paste SD Data'!J2081="","",'Paste SD Data'!J2081)</f>
        <v/>
      </c>
      <c r="J2084" s="34">
        <f t="shared" si="32"/>
        <v>2510</v>
      </c>
      <c r="K2084" s="29" t="str">
        <f>IF('Paste SD Data'!O2081="","",'Paste SD Data'!O2081)</f>
        <v/>
      </c>
    </row>
    <row r="2085" spans="1:11" ht="30" customHeight="1" x14ac:dyDescent="0.25">
      <c r="A2085" s="25" t="str">
        <f>IF(Table1[[#This Row],[Name of Student]]="","",ROWS($A$1:A2081))</f>
        <v/>
      </c>
      <c r="B2085" s="26" t="str">
        <f>IF('Paste SD Data'!A2082="","",'Paste SD Data'!A2082)</f>
        <v/>
      </c>
      <c r="C2085" s="26" t="str">
        <f>IF('Paste SD Data'!B2082="","",'Paste SD Data'!B2082)</f>
        <v/>
      </c>
      <c r="D2085" s="26" t="str">
        <f>IF('Paste SD Data'!C2082="","",'Paste SD Data'!C2082)</f>
        <v/>
      </c>
      <c r="E2085" s="27" t="str">
        <f>IF('Paste SD Data'!E2082="","",UPPER('Paste SD Data'!E2082))</f>
        <v/>
      </c>
      <c r="F2085" s="27" t="str">
        <f>IF('Paste SD Data'!G2082="","",UPPER('Paste SD Data'!G2082))</f>
        <v/>
      </c>
      <c r="G2085" s="27" t="str">
        <f>IF('Paste SD Data'!H2082="","",UPPER('Paste SD Data'!H2082))</f>
        <v/>
      </c>
      <c r="H2085" s="26" t="str">
        <f>IF('Paste SD Data'!I2082="","",IF('Paste SD Data'!I2082="M","BOY","GIRL"))</f>
        <v/>
      </c>
      <c r="I2085" s="28" t="str">
        <f>IF('Paste SD Data'!J2082="","",'Paste SD Data'!J2082)</f>
        <v/>
      </c>
      <c r="J2085" s="34">
        <f t="shared" si="32"/>
        <v>2511</v>
      </c>
      <c r="K2085" s="29" t="str">
        <f>IF('Paste SD Data'!O2082="","",'Paste SD Data'!O2082)</f>
        <v/>
      </c>
    </row>
    <row r="2086" spans="1:11" ht="30" customHeight="1" x14ac:dyDescent="0.25">
      <c r="A2086" s="25" t="str">
        <f>IF(Table1[[#This Row],[Name of Student]]="","",ROWS($A$1:A2082))</f>
        <v/>
      </c>
      <c r="B2086" s="26" t="str">
        <f>IF('Paste SD Data'!A2083="","",'Paste SD Data'!A2083)</f>
        <v/>
      </c>
      <c r="C2086" s="26" t="str">
        <f>IF('Paste SD Data'!B2083="","",'Paste SD Data'!B2083)</f>
        <v/>
      </c>
      <c r="D2086" s="26" t="str">
        <f>IF('Paste SD Data'!C2083="","",'Paste SD Data'!C2083)</f>
        <v/>
      </c>
      <c r="E2086" s="27" t="str">
        <f>IF('Paste SD Data'!E2083="","",UPPER('Paste SD Data'!E2083))</f>
        <v/>
      </c>
      <c r="F2086" s="27" t="str">
        <f>IF('Paste SD Data'!G2083="","",UPPER('Paste SD Data'!G2083))</f>
        <v/>
      </c>
      <c r="G2086" s="27" t="str">
        <f>IF('Paste SD Data'!H2083="","",UPPER('Paste SD Data'!H2083))</f>
        <v/>
      </c>
      <c r="H2086" s="26" t="str">
        <f>IF('Paste SD Data'!I2083="","",IF('Paste SD Data'!I2083="M","BOY","GIRL"))</f>
        <v/>
      </c>
      <c r="I2086" s="28" t="str">
        <f>IF('Paste SD Data'!J2083="","",'Paste SD Data'!J2083)</f>
        <v/>
      </c>
      <c r="J2086" s="34">
        <f t="shared" si="32"/>
        <v>2512</v>
      </c>
      <c r="K2086" s="29" t="str">
        <f>IF('Paste SD Data'!O2083="","",'Paste SD Data'!O2083)</f>
        <v/>
      </c>
    </row>
    <row r="2087" spans="1:11" ht="30" customHeight="1" x14ac:dyDescent="0.25">
      <c r="A2087" s="25" t="str">
        <f>IF(Table1[[#This Row],[Name of Student]]="","",ROWS($A$1:A2083))</f>
        <v/>
      </c>
      <c r="B2087" s="26" t="str">
        <f>IF('Paste SD Data'!A2084="","",'Paste SD Data'!A2084)</f>
        <v/>
      </c>
      <c r="C2087" s="26" t="str">
        <f>IF('Paste SD Data'!B2084="","",'Paste SD Data'!B2084)</f>
        <v/>
      </c>
      <c r="D2087" s="26" t="str">
        <f>IF('Paste SD Data'!C2084="","",'Paste SD Data'!C2084)</f>
        <v/>
      </c>
      <c r="E2087" s="27" t="str">
        <f>IF('Paste SD Data'!E2084="","",UPPER('Paste SD Data'!E2084))</f>
        <v/>
      </c>
      <c r="F2087" s="27" t="str">
        <f>IF('Paste SD Data'!G2084="","",UPPER('Paste SD Data'!G2084))</f>
        <v/>
      </c>
      <c r="G2087" s="27" t="str">
        <f>IF('Paste SD Data'!H2084="","",UPPER('Paste SD Data'!H2084))</f>
        <v/>
      </c>
      <c r="H2087" s="26" t="str">
        <f>IF('Paste SD Data'!I2084="","",IF('Paste SD Data'!I2084="M","BOY","GIRL"))</f>
        <v/>
      </c>
      <c r="I2087" s="28" t="str">
        <f>IF('Paste SD Data'!J2084="","",'Paste SD Data'!J2084)</f>
        <v/>
      </c>
      <c r="J2087" s="34">
        <f t="shared" si="32"/>
        <v>2513</v>
      </c>
      <c r="K2087" s="29" t="str">
        <f>IF('Paste SD Data'!O2084="","",'Paste SD Data'!O2084)</f>
        <v/>
      </c>
    </row>
    <row r="2088" spans="1:11" ht="30" customHeight="1" x14ac:dyDescent="0.25">
      <c r="A2088" s="25" t="str">
        <f>IF(Table1[[#This Row],[Name of Student]]="","",ROWS($A$1:A2084))</f>
        <v/>
      </c>
      <c r="B2088" s="26" t="str">
        <f>IF('Paste SD Data'!A2085="","",'Paste SD Data'!A2085)</f>
        <v/>
      </c>
      <c r="C2088" s="26" t="str">
        <f>IF('Paste SD Data'!B2085="","",'Paste SD Data'!B2085)</f>
        <v/>
      </c>
      <c r="D2088" s="26" t="str">
        <f>IF('Paste SD Data'!C2085="","",'Paste SD Data'!C2085)</f>
        <v/>
      </c>
      <c r="E2088" s="27" t="str">
        <f>IF('Paste SD Data'!E2085="","",UPPER('Paste SD Data'!E2085))</f>
        <v/>
      </c>
      <c r="F2088" s="27" t="str">
        <f>IF('Paste SD Data'!G2085="","",UPPER('Paste SD Data'!G2085))</f>
        <v/>
      </c>
      <c r="G2088" s="27" t="str">
        <f>IF('Paste SD Data'!H2085="","",UPPER('Paste SD Data'!H2085))</f>
        <v/>
      </c>
      <c r="H2088" s="26" t="str">
        <f>IF('Paste SD Data'!I2085="","",IF('Paste SD Data'!I2085="M","BOY","GIRL"))</f>
        <v/>
      </c>
      <c r="I2088" s="28" t="str">
        <f>IF('Paste SD Data'!J2085="","",'Paste SD Data'!J2085)</f>
        <v/>
      </c>
      <c r="J2088" s="34">
        <f t="shared" si="32"/>
        <v>2514</v>
      </c>
      <c r="K2088" s="29" t="str">
        <f>IF('Paste SD Data'!O2085="","",'Paste SD Data'!O2085)</f>
        <v/>
      </c>
    </row>
    <row r="2089" spans="1:11" ht="30" customHeight="1" x14ac:dyDescent="0.25">
      <c r="A2089" s="25" t="str">
        <f>IF(Table1[[#This Row],[Name of Student]]="","",ROWS($A$1:A2085))</f>
        <v/>
      </c>
      <c r="B2089" s="26" t="str">
        <f>IF('Paste SD Data'!A2086="","",'Paste SD Data'!A2086)</f>
        <v/>
      </c>
      <c r="C2089" s="26" t="str">
        <f>IF('Paste SD Data'!B2086="","",'Paste SD Data'!B2086)</f>
        <v/>
      </c>
      <c r="D2089" s="26" t="str">
        <f>IF('Paste SD Data'!C2086="","",'Paste SD Data'!C2086)</f>
        <v/>
      </c>
      <c r="E2089" s="27" t="str">
        <f>IF('Paste SD Data'!E2086="","",UPPER('Paste SD Data'!E2086))</f>
        <v/>
      </c>
      <c r="F2089" s="27" t="str">
        <f>IF('Paste SD Data'!G2086="","",UPPER('Paste SD Data'!G2086))</f>
        <v/>
      </c>
      <c r="G2089" s="27" t="str">
        <f>IF('Paste SD Data'!H2086="","",UPPER('Paste SD Data'!H2086))</f>
        <v/>
      </c>
      <c r="H2089" s="26" t="str">
        <f>IF('Paste SD Data'!I2086="","",IF('Paste SD Data'!I2086="M","BOY","GIRL"))</f>
        <v/>
      </c>
      <c r="I2089" s="28" t="str">
        <f>IF('Paste SD Data'!J2086="","",'Paste SD Data'!J2086)</f>
        <v/>
      </c>
      <c r="J2089" s="34">
        <f t="shared" si="32"/>
        <v>2515</v>
      </c>
      <c r="K2089" s="29" t="str">
        <f>IF('Paste SD Data'!O2086="","",'Paste SD Data'!O2086)</f>
        <v/>
      </c>
    </row>
    <row r="2090" spans="1:11" ht="30" customHeight="1" x14ac:dyDescent="0.25">
      <c r="A2090" s="25" t="str">
        <f>IF(Table1[[#This Row],[Name of Student]]="","",ROWS($A$1:A2086))</f>
        <v/>
      </c>
      <c r="B2090" s="26" t="str">
        <f>IF('Paste SD Data'!A2087="","",'Paste SD Data'!A2087)</f>
        <v/>
      </c>
      <c r="C2090" s="26" t="str">
        <f>IF('Paste SD Data'!B2087="","",'Paste SD Data'!B2087)</f>
        <v/>
      </c>
      <c r="D2090" s="26" t="str">
        <f>IF('Paste SD Data'!C2087="","",'Paste SD Data'!C2087)</f>
        <v/>
      </c>
      <c r="E2090" s="27" t="str">
        <f>IF('Paste SD Data'!E2087="","",UPPER('Paste SD Data'!E2087))</f>
        <v/>
      </c>
      <c r="F2090" s="27" t="str">
        <f>IF('Paste SD Data'!G2087="","",UPPER('Paste SD Data'!G2087))</f>
        <v/>
      </c>
      <c r="G2090" s="27" t="str">
        <f>IF('Paste SD Data'!H2087="","",UPPER('Paste SD Data'!H2087))</f>
        <v/>
      </c>
      <c r="H2090" s="26" t="str">
        <f>IF('Paste SD Data'!I2087="","",IF('Paste SD Data'!I2087="M","BOY","GIRL"))</f>
        <v/>
      </c>
      <c r="I2090" s="28" t="str">
        <f>IF('Paste SD Data'!J2087="","",'Paste SD Data'!J2087)</f>
        <v/>
      </c>
      <c r="J2090" s="34">
        <f t="shared" si="32"/>
        <v>2516</v>
      </c>
      <c r="K2090" s="29" t="str">
        <f>IF('Paste SD Data'!O2087="","",'Paste SD Data'!O2087)</f>
        <v/>
      </c>
    </row>
    <row r="2091" spans="1:11" ht="30" customHeight="1" x14ac:dyDescent="0.25">
      <c r="A2091" s="25" t="str">
        <f>IF(Table1[[#This Row],[Name of Student]]="","",ROWS($A$1:A2087))</f>
        <v/>
      </c>
      <c r="B2091" s="26" t="str">
        <f>IF('Paste SD Data'!A2088="","",'Paste SD Data'!A2088)</f>
        <v/>
      </c>
      <c r="C2091" s="26" t="str">
        <f>IF('Paste SD Data'!B2088="","",'Paste SD Data'!B2088)</f>
        <v/>
      </c>
      <c r="D2091" s="26" t="str">
        <f>IF('Paste SD Data'!C2088="","",'Paste SD Data'!C2088)</f>
        <v/>
      </c>
      <c r="E2091" s="27" t="str">
        <f>IF('Paste SD Data'!E2088="","",UPPER('Paste SD Data'!E2088))</f>
        <v/>
      </c>
      <c r="F2091" s="27" t="str">
        <f>IF('Paste SD Data'!G2088="","",UPPER('Paste SD Data'!G2088))</f>
        <v/>
      </c>
      <c r="G2091" s="27" t="str">
        <f>IF('Paste SD Data'!H2088="","",UPPER('Paste SD Data'!H2088))</f>
        <v/>
      </c>
      <c r="H2091" s="26" t="str">
        <f>IF('Paste SD Data'!I2088="","",IF('Paste SD Data'!I2088="M","BOY","GIRL"))</f>
        <v/>
      </c>
      <c r="I2091" s="28" t="str">
        <f>IF('Paste SD Data'!J2088="","",'Paste SD Data'!J2088)</f>
        <v/>
      </c>
      <c r="J2091" s="34">
        <f t="shared" si="32"/>
        <v>2517</v>
      </c>
      <c r="K2091" s="29" t="str">
        <f>IF('Paste SD Data'!O2088="","",'Paste SD Data'!O2088)</f>
        <v/>
      </c>
    </row>
    <row r="2092" spans="1:11" ht="30" customHeight="1" x14ac:dyDescent="0.25">
      <c r="A2092" s="25" t="str">
        <f>IF(Table1[[#This Row],[Name of Student]]="","",ROWS($A$1:A2088))</f>
        <v/>
      </c>
      <c r="B2092" s="26" t="str">
        <f>IF('Paste SD Data'!A2089="","",'Paste SD Data'!A2089)</f>
        <v/>
      </c>
      <c r="C2092" s="26" t="str">
        <f>IF('Paste SD Data'!B2089="","",'Paste SD Data'!B2089)</f>
        <v/>
      </c>
      <c r="D2092" s="26" t="str">
        <f>IF('Paste SD Data'!C2089="","",'Paste SD Data'!C2089)</f>
        <v/>
      </c>
      <c r="E2092" s="27" t="str">
        <f>IF('Paste SD Data'!E2089="","",UPPER('Paste SD Data'!E2089))</f>
        <v/>
      </c>
      <c r="F2092" s="27" t="str">
        <f>IF('Paste SD Data'!G2089="","",UPPER('Paste SD Data'!G2089))</f>
        <v/>
      </c>
      <c r="G2092" s="27" t="str">
        <f>IF('Paste SD Data'!H2089="","",UPPER('Paste SD Data'!H2089))</f>
        <v/>
      </c>
      <c r="H2092" s="26" t="str">
        <f>IF('Paste SD Data'!I2089="","",IF('Paste SD Data'!I2089="M","BOY","GIRL"))</f>
        <v/>
      </c>
      <c r="I2092" s="28" t="str">
        <f>IF('Paste SD Data'!J2089="","",'Paste SD Data'!J2089)</f>
        <v/>
      </c>
      <c r="J2092" s="34">
        <f t="shared" si="32"/>
        <v>2518</v>
      </c>
      <c r="K2092" s="29" t="str">
        <f>IF('Paste SD Data'!O2089="","",'Paste SD Data'!O2089)</f>
        <v/>
      </c>
    </row>
    <row r="2093" spans="1:11" ht="30" customHeight="1" x14ac:dyDescent="0.25">
      <c r="A2093" s="25" t="str">
        <f>IF(Table1[[#This Row],[Name of Student]]="","",ROWS($A$1:A2089))</f>
        <v/>
      </c>
      <c r="B2093" s="26" t="str">
        <f>IF('Paste SD Data'!A2090="","",'Paste SD Data'!A2090)</f>
        <v/>
      </c>
      <c r="C2093" s="26" t="str">
        <f>IF('Paste SD Data'!B2090="","",'Paste SD Data'!B2090)</f>
        <v/>
      </c>
      <c r="D2093" s="26" t="str">
        <f>IF('Paste SD Data'!C2090="","",'Paste SD Data'!C2090)</f>
        <v/>
      </c>
      <c r="E2093" s="27" t="str">
        <f>IF('Paste SD Data'!E2090="","",UPPER('Paste SD Data'!E2090))</f>
        <v/>
      </c>
      <c r="F2093" s="27" t="str">
        <f>IF('Paste SD Data'!G2090="","",UPPER('Paste SD Data'!G2090))</f>
        <v/>
      </c>
      <c r="G2093" s="27" t="str">
        <f>IF('Paste SD Data'!H2090="","",UPPER('Paste SD Data'!H2090))</f>
        <v/>
      </c>
      <c r="H2093" s="26" t="str">
        <f>IF('Paste SD Data'!I2090="","",IF('Paste SD Data'!I2090="M","BOY","GIRL"))</f>
        <v/>
      </c>
      <c r="I2093" s="28" t="str">
        <f>IF('Paste SD Data'!J2090="","",'Paste SD Data'!J2090)</f>
        <v/>
      </c>
      <c r="J2093" s="34">
        <f t="shared" si="32"/>
        <v>2519</v>
      </c>
      <c r="K2093" s="29" t="str">
        <f>IF('Paste SD Data'!O2090="","",'Paste SD Data'!O2090)</f>
        <v/>
      </c>
    </row>
    <row r="2094" spans="1:11" ht="30" customHeight="1" x14ac:dyDescent="0.25">
      <c r="A2094" s="25" t="str">
        <f>IF(Table1[[#This Row],[Name of Student]]="","",ROWS($A$1:A2090))</f>
        <v/>
      </c>
      <c r="B2094" s="26" t="str">
        <f>IF('Paste SD Data'!A2091="","",'Paste SD Data'!A2091)</f>
        <v/>
      </c>
      <c r="C2094" s="26" t="str">
        <f>IF('Paste SD Data'!B2091="","",'Paste SD Data'!B2091)</f>
        <v/>
      </c>
      <c r="D2094" s="26" t="str">
        <f>IF('Paste SD Data'!C2091="","",'Paste SD Data'!C2091)</f>
        <v/>
      </c>
      <c r="E2094" s="27" t="str">
        <f>IF('Paste SD Data'!E2091="","",UPPER('Paste SD Data'!E2091))</f>
        <v/>
      </c>
      <c r="F2094" s="27" t="str">
        <f>IF('Paste SD Data'!G2091="","",UPPER('Paste SD Data'!G2091))</f>
        <v/>
      </c>
      <c r="G2094" s="27" t="str">
        <f>IF('Paste SD Data'!H2091="","",UPPER('Paste SD Data'!H2091))</f>
        <v/>
      </c>
      <c r="H2094" s="26" t="str">
        <f>IF('Paste SD Data'!I2091="","",IF('Paste SD Data'!I2091="M","BOY","GIRL"))</f>
        <v/>
      </c>
      <c r="I2094" s="28" t="str">
        <f>IF('Paste SD Data'!J2091="","",'Paste SD Data'!J2091)</f>
        <v/>
      </c>
      <c r="J2094" s="34">
        <f t="shared" si="32"/>
        <v>2520</v>
      </c>
      <c r="K2094" s="29" t="str">
        <f>IF('Paste SD Data'!O2091="","",'Paste SD Data'!O2091)</f>
        <v/>
      </c>
    </row>
    <row r="2095" spans="1:11" ht="30" customHeight="1" x14ac:dyDescent="0.25">
      <c r="A2095" s="25" t="str">
        <f>IF(Table1[[#This Row],[Name of Student]]="","",ROWS($A$1:A2091))</f>
        <v/>
      </c>
      <c r="B2095" s="26" t="str">
        <f>IF('Paste SD Data'!A2092="","",'Paste SD Data'!A2092)</f>
        <v/>
      </c>
      <c r="C2095" s="26" t="str">
        <f>IF('Paste SD Data'!B2092="","",'Paste SD Data'!B2092)</f>
        <v/>
      </c>
      <c r="D2095" s="26" t="str">
        <f>IF('Paste SD Data'!C2092="","",'Paste SD Data'!C2092)</f>
        <v/>
      </c>
      <c r="E2095" s="27" t="str">
        <f>IF('Paste SD Data'!E2092="","",UPPER('Paste SD Data'!E2092))</f>
        <v/>
      </c>
      <c r="F2095" s="27" t="str">
        <f>IF('Paste SD Data'!G2092="","",UPPER('Paste SD Data'!G2092))</f>
        <v/>
      </c>
      <c r="G2095" s="27" t="str">
        <f>IF('Paste SD Data'!H2092="","",UPPER('Paste SD Data'!H2092))</f>
        <v/>
      </c>
      <c r="H2095" s="26" t="str">
        <f>IF('Paste SD Data'!I2092="","",IF('Paste SD Data'!I2092="M","BOY","GIRL"))</f>
        <v/>
      </c>
      <c r="I2095" s="28" t="str">
        <f>IF('Paste SD Data'!J2092="","",'Paste SD Data'!J2092)</f>
        <v/>
      </c>
      <c r="J2095" s="34">
        <f t="shared" si="32"/>
        <v>2521</v>
      </c>
      <c r="K2095" s="29" t="str">
        <f>IF('Paste SD Data'!O2092="","",'Paste SD Data'!O2092)</f>
        <v/>
      </c>
    </row>
    <row r="2096" spans="1:11" ht="30" customHeight="1" x14ac:dyDescent="0.25">
      <c r="A2096" s="25" t="str">
        <f>IF(Table1[[#This Row],[Name of Student]]="","",ROWS($A$1:A2092))</f>
        <v/>
      </c>
      <c r="B2096" s="26" t="str">
        <f>IF('Paste SD Data'!A2093="","",'Paste SD Data'!A2093)</f>
        <v/>
      </c>
      <c r="C2096" s="26" t="str">
        <f>IF('Paste SD Data'!B2093="","",'Paste SD Data'!B2093)</f>
        <v/>
      </c>
      <c r="D2096" s="26" t="str">
        <f>IF('Paste SD Data'!C2093="","",'Paste SD Data'!C2093)</f>
        <v/>
      </c>
      <c r="E2096" s="27" t="str">
        <f>IF('Paste SD Data'!E2093="","",UPPER('Paste SD Data'!E2093))</f>
        <v/>
      </c>
      <c r="F2096" s="27" t="str">
        <f>IF('Paste SD Data'!G2093="","",UPPER('Paste SD Data'!G2093))</f>
        <v/>
      </c>
      <c r="G2096" s="27" t="str">
        <f>IF('Paste SD Data'!H2093="","",UPPER('Paste SD Data'!H2093))</f>
        <v/>
      </c>
      <c r="H2096" s="26" t="str">
        <f>IF('Paste SD Data'!I2093="","",IF('Paste SD Data'!I2093="M","BOY","GIRL"))</f>
        <v/>
      </c>
      <c r="I2096" s="28" t="str">
        <f>IF('Paste SD Data'!J2093="","",'Paste SD Data'!J2093)</f>
        <v/>
      </c>
      <c r="J2096" s="34">
        <f t="shared" si="32"/>
        <v>2522</v>
      </c>
      <c r="K2096" s="29" t="str">
        <f>IF('Paste SD Data'!O2093="","",'Paste SD Data'!O2093)</f>
        <v/>
      </c>
    </row>
    <row r="2097" spans="1:11" ht="30" customHeight="1" x14ac:dyDescent="0.25">
      <c r="A2097" s="25" t="str">
        <f>IF(Table1[[#This Row],[Name of Student]]="","",ROWS($A$1:A2093))</f>
        <v/>
      </c>
      <c r="B2097" s="26" t="str">
        <f>IF('Paste SD Data'!A2094="","",'Paste SD Data'!A2094)</f>
        <v/>
      </c>
      <c r="C2097" s="26" t="str">
        <f>IF('Paste SD Data'!B2094="","",'Paste SD Data'!B2094)</f>
        <v/>
      </c>
      <c r="D2097" s="26" t="str">
        <f>IF('Paste SD Data'!C2094="","",'Paste SD Data'!C2094)</f>
        <v/>
      </c>
      <c r="E2097" s="27" t="str">
        <f>IF('Paste SD Data'!E2094="","",UPPER('Paste SD Data'!E2094))</f>
        <v/>
      </c>
      <c r="F2097" s="27" t="str">
        <f>IF('Paste SD Data'!G2094="","",UPPER('Paste SD Data'!G2094))</f>
        <v/>
      </c>
      <c r="G2097" s="27" t="str">
        <f>IF('Paste SD Data'!H2094="","",UPPER('Paste SD Data'!H2094))</f>
        <v/>
      </c>
      <c r="H2097" s="26" t="str">
        <f>IF('Paste SD Data'!I2094="","",IF('Paste SD Data'!I2094="M","BOY","GIRL"))</f>
        <v/>
      </c>
      <c r="I2097" s="28" t="str">
        <f>IF('Paste SD Data'!J2094="","",'Paste SD Data'!J2094)</f>
        <v/>
      </c>
      <c r="J2097" s="34">
        <f t="shared" si="32"/>
        <v>2523</v>
      </c>
      <c r="K2097" s="29" t="str">
        <f>IF('Paste SD Data'!O2094="","",'Paste SD Data'!O2094)</f>
        <v/>
      </c>
    </row>
    <row r="2098" spans="1:11" ht="30" customHeight="1" x14ac:dyDescent="0.25">
      <c r="A2098" s="25" t="str">
        <f>IF(Table1[[#This Row],[Name of Student]]="","",ROWS($A$1:A2094))</f>
        <v/>
      </c>
      <c r="B2098" s="26" t="str">
        <f>IF('Paste SD Data'!A2095="","",'Paste SD Data'!A2095)</f>
        <v/>
      </c>
      <c r="C2098" s="26" t="str">
        <f>IF('Paste SD Data'!B2095="","",'Paste SD Data'!B2095)</f>
        <v/>
      </c>
      <c r="D2098" s="26" t="str">
        <f>IF('Paste SD Data'!C2095="","",'Paste SD Data'!C2095)</f>
        <v/>
      </c>
      <c r="E2098" s="27" t="str">
        <f>IF('Paste SD Data'!E2095="","",UPPER('Paste SD Data'!E2095))</f>
        <v/>
      </c>
      <c r="F2098" s="27" t="str">
        <f>IF('Paste SD Data'!G2095="","",UPPER('Paste SD Data'!G2095))</f>
        <v/>
      </c>
      <c r="G2098" s="27" t="str">
        <f>IF('Paste SD Data'!H2095="","",UPPER('Paste SD Data'!H2095))</f>
        <v/>
      </c>
      <c r="H2098" s="26" t="str">
        <f>IF('Paste SD Data'!I2095="","",IF('Paste SD Data'!I2095="M","BOY","GIRL"))</f>
        <v/>
      </c>
      <c r="I2098" s="28" t="str">
        <f>IF('Paste SD Data'!J2095="","",'Paste SD Data'!J2095)</f>
        <v/>
      </c>
      <c r="J2098" s="34">
        <f t="shared" si="32"/>
        <v>2524</v>
      </c>
      <c r="K2098" s="29" t="str">
        <f>IF('Paste SD Data'!O2095="","",'Paste SD Data'!O2095)</f>
        <v/>
      </c>
    </row>
    <row r="2099" spans="1:11" ht="30" customHeight="1" x14ac:dyDescent="0.25">
      <c r="A2099" s="25" t="str">
        <f>IF(Table1[[#This Row],[Name of Student]]="","",ROWS($A$1:A2095))</f>
        <v/>
      </c>
      <c r="B2099" s="26" t="str">
        <f>IF('Paste SD Data'!A2096="","",'Paste SD Data'!A2096)</f>
        <v/>
      </c>
      <c r="C2099" s="26" t="str">
        <f>IF('Paste SD Data'!B2096="","",'Paste SD Data'!B2096)</f>
        <v/>
      </c>
      <c r="D2099" s="26" t="str">
        <f>IF('Paste SD Data'!C2096="","",'Paste SD Data'!C2096)</f>
        <v/>
      </c>
      <c r="E2099" s="27" t="str">
        <f>IF('Paste SD Data'!E2096="","",UPPER('Paste SD Data'!E2096))</f>
        <v/>
      </c>
      <c r="F2099" s="27" t="str">
        <f>IF('Paste SD Data'!G2096="","",UPPER('Paste SD Data'!G2096))</f>
        <v/>
      </c>
      <c r="G2099" s="27" t="str">
        <f>IF('Paste SD Data'!H2096="","",UPPER('Paste SD Data'!H2096))</f>
        <v/>
      </c>
      <c r="H2099" s="26" t="str">
        <f>IF('Paste SD Data'!I2096="","",IF('Paste SD Data'!I2096="M","BOY","GIRL"))</f>
        <v/>
      </c>
      <c r="I2099" s="28" t="str">
        <f>IF('Paste SD Data'!J2096="","",'Paste SD Data'!J2096)</f>
        <v/>
      </c>
      <c r="J2099" s="34">
        <f t="shared" si="32"/>
        <v>2525</v>
      </c>
      <c r="K2099" s="29" t="str">
        <f>IF('Paste SD Data'!O2096="","",'Paste SD Data'!O2096)</f>
        <v/>
      </c>
    </row>
    <row r="2100" spans="1:11" ht="30" customHeight="1" x14ac:dyDescent="0.25">
      <c r="A2100" s="25" t="str">
        <f>IF(Table1[[#This Row],[Name of Student]]="","",ROWS($A$1:A2096))</f>
        <v/>
      </c>
      <c r="B2100" s="26" t="str">
        <f>IF('Paste SD Data'!A2097="","",'Paste SD Data'!A2097)</f>
        <v/>
      </c>
      <c r="C2100" s="26" t="str">
        <f>IF('Paste SD Data'!B2097="","",'Paste SD Data'!B2097)</f>
        <v/>
      </c>
      <c r="D2100" s="26" t="str">
        <f>IF('Paste SD Data'!C2097="","",'Paste SD Data'!C2097)</f>
        <v/>
      </c>
      <c r="E2100" s="27" t="str">
        <f>IF('Paste SD Data'!E2097="","",UPPER('Paste SD Data'!E2097))</f>
        <v/>
      </c>
      <c r="F2100" s="27" t="str">
        <f>IF('Paste SD Data'!G2097="","",UPPER('Paste SD Data'!G2097))</f>
        <v/>
      </c>
      <c r="G2100" s="27" t="str">
        <f>IF('Paste SD Data'!H2097="","",UPPER('Paste SD Data'!H2097))</f>
        <v/>
      </c>
      <c r="H2100" s="26" t="str">
        <f>IF('Paste SD Data'!I2097="","",IF('Paste SD Data'!I2097="M","BOY","GIRL"))</f>
        <v/>
      </c>
      <c r="I2100" s="28" t="str">
        <f>IF('Paste SD Data'!J2097="","",'Paste SD Data'!J2097)</f>
        <v/>
      </c>
      <c r="J2100" s="34">
        <f t="shared" si="32"/>
        <v>2526</v>
      </c>
      <c r="K2100" s="29" t="str">
        <f>IF('Paste SD Data'!O2097="","",'Paste SD Data'!O2097)</f>
        <v/>
      </c>
    </row>
    <row r="2101" spans="1:11" ht="30" customHeight="1" x14ac:dyDescent="0.25">
      <c r="A2101" s="25" t="str">
        <f>IF(Table1[[#This Row],[Name of Student]]="","",ROWS($A$1:A2097))</f>
        <v/>
      </c>
      <c r="B2101" s="26" t="str">
        <f>IF('Paste SD Data'!A2098="","",'Paste SD Data'!A2098)</f>
        <v/>
      </c>
      <c r="C2101" s="26" t="str">
        <f>IF('Paste SD Data'!B2098="","",'Paste SD Data'!B2098)</f>
        <v/>
      </c>
      <c r="D2101" s="26" t="str">
        <f>IF('Paste SD Data'!C2098="","",'Paste SD Data'!C2098)</f>
        <v/>
      </c>
      <c r="E2101" s="27" t="str">
        <f>IF('Paste SD Data'!E2098="","",UPPER('Paste SD Data'!E2098))</f>
        <v/>
      </c>
      <c r="F2101" s="27" t="str">
        <f>IF('Paste SD Data'!G2098="","",UPPER('Paste SD Data'!G2098))</f>
        <v/>
      </c>
      <c r="G2101" s="27" t="str">
        <f>IF('Paste SD Data'!H2098="","",UPPER('Paste SD Data'!H2098))</f>
        <v/>
      </c>
      <c r="H2101" s="26" t="str">
        <f>IF('Paste SD Data'!I2098="","",IF('Paste SD Data'!I2098="M","BOY","GIRL"))</f>
        <v/>
      </c>
      <c r="I2101" s="28" t="str">
        <f>IF('Paste SD Data'!J2098="","",'Paste SD Data'!J2098)</f>
        <v/>
      </c>
      <c r="J2101" s="34">
        <f t="shared" si="32"/>
        <v>2527</v>
      </c>
      <c r="K2101" s="29" t="str">
        <f>IF('Paste SD Data'!O2098="","",'Paste SD Data'!O2098)</f>
        <v/>
      </c>
    </row>
    <row r="2102" spans="1:11" ht="30" customHeight="1" x14ac:dyDescent="0.25">
      <c r="A2102" s="25" t="str">
        <f>IF(Table1[[#This Row],[Name of Student]]="","",ROWS($A$1:A2098))</f>
        <v/>
      </c>
      <c r="B2102" s="26" t="str">
        <f>IF('Paste SD Data'!A2099="","",'Paste SD Data'!A2099)</f>
        <v/>
      </c>
      <c r="C2102" s="26" t="str">
        <f>IF('Paste SD Data'!B2099="","",'Paste SD Data'!B2099)</f>
        <v/>
      </c>
      <c r="D2102" s="26" t="str">
        <f>IF('Paste SD Data'!C2099="","",'Paste SD Data'!C2099)</f>
        <v/>
      </c>
      <c r="E2102" s="27" t="str">
        <f>IF('Paste SD Data'!E2099="","",UPPER('Paste SD Data'!E2099))</f>
        <v/>
      </c>
      <c r="F2102" s="27" t="str">
        <f>IF('Paste SD Data'!G2099="","",UPPER('Paste SD Data'!G2099))</f>
        <v/>
      </c>
      <c r="G2102" s="27" t="str">
        <f>IF('Paste SD Data'!H2099="","",UPPER('Paste SD Data'!H2099))</f>
        <v/>
      </c>
      <c r="H2102" s="26" t="str">
        <f>IF('Paste SD Data'!I2099="","",IF('Paste SD Data'!I2099="M","BOY","GIRL"))</f>
        <v/>
      </c>
      <c r="I2102" s="28" t="str">
        <f>IF('Paste SD Data'!J2099="","",'Paste SD Data'!J2099)</f>
        <v/>
      </c>
      <c r="J2102" s="34">
        <f t="shared" si="32"/>
        <v>2528</v>
      </c>
      <c r="K2102" s="29" t="str">
        <f>IF('Paste SD Data'!O2099="","",'Paste SD Data'!O2099)</f>
        <v/>
      </c>
    </row>
    <row r="2103" spans="1:11" ht="30" customHeight="1" x14ac:dyDescent="0.25">
      <c r="A2103" s="25" t="str">
        <f>IF(Table1[[#This Row],[Name of Student]]="","",ROWS($A$1:A2099))</f>
        <v/>
      </c>
      <c r="B2103" s="26" t="str">
        <f>IF('Paste SD Data'!A2100="","",'Paste SD Data'!A2100)</f>
        <v/>
      </c>
      <c r="C2103" s="26" t="str">
        <f>IF('Paste SD Data'!B2100="","",'Paste SD Data'!B2100)</f>
        <v/>
      </c>
      <c r="D2103" s="26" t="str">
        <f>IF('Paste SD Data'!C2100="","",'Paste SD Data'!C2100)</f>
        <v/>
      </c>
      <c r="E2103" s="27" t="str">
        <f>IF('Paste SD Data'!E2100="","",UPPER('Paste SD Data'!E2100))</f>
        <v/>
      </c>
      <c r="F2103" s="27" t="str">
        <f>IF('Paste SD Data'!G2100="","",UPPER('Paste SD Data'!G2100))</f>
        <v/>
      </c>
      <c r="G2103" s="27" t="str">
        <f>IF('Paste SD Data'!H2100="","",UPPER('Paste SD Data'!H2100))</f>
        <v/>
      </c>
      <c r="H2103" s="26" t="str">
        <f>IF('Paste SD Data'!I2100="","",IF('Paste SD Data'!I2100="M","BOY","GIRL"))</f>
        <v/>
      </c>
      <c r="I2103" s="28" t="str">
        <f>IF('Paste SD Data'!J2100="","",'Paste SD Data'!J2100)</f>
        <v/>
      </c>
      <c r="J2103" s="34">
        <f t="shared" si="32"/>
        <v>2529</v>
      </c>
      <c r="K2103" s="29" t="str">
        <f>IF('Paste SD Data'!O2100="","",'Paste SD Data'!O2100)</f>
        <v/>
      </c>
    </row>
    <row r="2104" spans="1:11" ht="30" customHeight="1" x14ac:dyDescent="0.25">
      <c r="A2104" s="25" t="str">
        <f>IF(Table1[[#This Row],[Name of Student]]="","",ROWS($A$1:A2100))</f>
        <v/>
      </c>
      <c r="B2104" s="26" t="str">
        <f>IF('Paste SD Data'!A2101="","",'Paste SD Data'!A2101)</f>
        <v/>
      </c>
      <c r="C2104" s="26" t="str">
        <f>IF('Paste SD Data'!B2101="","",'Paste SD Data'!B2101)</f>
        <v/>
      </c>
      <c r="D2104" s="26" t="str">
        <f>IF('Paste SD Data'!C2101="","",'Paste SD Data'!C2101)</f>
        <v/>
      </c>
      <c r="E2104" s="27" t="str">
        <f>IF('Paste SD Data'!E2101="","",UPPER('Paste SD Data'!E2101))</f>
        <v/>
      </c>
      <c r="F2104" s="27" t="str">
        <f>IF('Paste SD Data'!G2101="","",UPPER('Paste SD Data'!G2101))</f>
        <v/>
      </c>
      <c r="G2104" s="27" t="str">
        <f>IF('Paste SD Data'!H2101="","",UPPER('Paste SD Data'!H2101))</f>
        <v/>
      </c>
      <c r="H2104" s="26" t="str">
        <f>IF('Paste SD Data'!I2101="","",IF('Paste SD Data'!I2101="M","BOY","GIRL"))</f>
        <v/>
      </c>
      <c r="I2104" s="28" t="str">
        <f>IF('Paste SD Data'!J2101="","",'Paste SD Data'!J2101)</f>
        <v/>
      </c>
      <c r="J2104" s="34">
        <f t="shared" si="32"/>
        <v>2530</v>
      </c>
      <c r="K2104" s="29" t="str">
        <f>IF('Paste SD Data'!O2101="","",'Paste SD Data'!O2101)</f>
        <v/>
      </c>
    </row>
    <row r="2105" spans="1:11" ht="30" customHeight="1" x14ac:dyDescent="0.25">
      <c r="A2105" s="25" t="str">
        <f>IF(Table1[[#This Row],[Name of Student]]="","",ROWS($A$1:A2101))</f>
        <v/>
      </c>
      <c r="B2105" s="26" t="str">
        <f>IF('Paste SD Data'!A2102="","",'Paste SD Data'!A2102)</f>
        <v/>
      </c>
      <c r="C2105" s="26" t="str">
        <f>IF('Paste SD Data'!B2102="","",'Paste SD Data'!B2102)</f>
        <v/>
      </c>
      <c r="D2105" s="26" t="str">
        <f>IF('Paste SD Data'!C2102="","",'Paste SD Data'!C2102)</f>
        <v/>
      </c>
      <c r="E2105" s="27" t="str">
        <f>IF('Paste SD Data'!E2102="","",UPPER('Paste SD Data'!E2102))</f>
        <v/>
      </c>
      <c r="F2105" s="27" t="str">
        <f>IF('Paste SD Data'!G2102="","",UPPER('Paste SD Data'!G2102))</f>
        <v/>
      </c>
      <c r="G2105" s="27" t="str">
        <f>IF('Paste SD Data'!H2102="","",UPPER('Paste SD Data'!H2102))</f>
        <v/>
      </c>
      <c r="H2105" s="26" t="str">
        <f>IF('Paste SD Data'!I2102="","",IF('Paste SD Data'!I2102="M","BOY","GIRL"))</f>
        <v/>
      </c>
      <c r="I2105" s="28" t="str">
        <f>IF('Paste SD Data'!J2102="","",'Paste SD Data'!J2102)</f>
        <v/>
      </c>
      <c r="J2105" s="34">
        <f t="shared" si="32"/>
        <v>2531</v>
      </c>
      <c r="K2105" s="29" t="str">
        <f>IF('Paste SD Data'!O2102="","",'Paste SD Data'!O2102)</f>
        <v/>
      </c>
    </row>
    <row r="2106" spans="1:11" ht="30" customHeight="1" x14ac:dyDescent="0.25">
      <c r="A2106" s="25" t="str">
        <f>IF(Table1[[#This Row],[Name of Student]]="","",ROWS($A$1:A2102))</f>
        <v/>
      </c>
      <c r="B2106" s="26" t="str">
        <f>IF('Paste SD Data'!A2103="","",'Paste SD Data'!A2103)</f>
        <v/>
      </c>
      <c r="C2106" s="26" t="str">
        <f>IF('Paste SD Data'!B2103="","",'Paste SD Data'!B2103)</f>
        <v/>
      </c>
      <c r="D2106" s="26" t="str">
        <f>IF('Paste SD Data'!C2103="","",'Paste SD Data'!C2103)</f>
        <v/>
      </c>
      <c r="E2106" s="27" t="str">
        <f>IF('Paste SD Data'!E2103="","",UPPER('Paste SD Data'!E2103))</f>
        <v/>
      </c>
      <c r="F2106" s="27" t="str">
        <f>IF('Paste SD Data'!G2103="","",UPPER('Paste SD Data'!G2103))</f>
        <v/>
      </c>
      <c r="G2106" s="27" t="str">
        <f>IF('Paste SD Data'!H2103="","",UPPER('Paste SD Data'!H2103))</f>
        <v/>
      </c>
      <c r="H2106" s="26" t="str">
        <f>IF('Paste SD Data'!I2103="","",IF('Paste SD Data'!I2103="M","BOY","GIRL"))</f>
        <v/>
      </c>
      <c r="I2106" s="28" t="str">
        <f>IF('Paste SD Data'!J2103="","",'Paste SD Data'!J2103)</f>
        <v/>
      </c>
      <c r="J2106" s="34">
        <f t="shared" si="32"/>
        <v>2532</v>
      </c>
      <c r="K2106" s="29" t="str">
        <f>IF('Paste SD Data'!O2103="","",'Paste SD Data'!O2103)</f>
        <v/>
      </c>
    </row>
    <row r="2107" spans="1:11" ht="30" customHeight="1" x14ac:dyDescent="0.25">
      <c r="A2107" s="25" t="str">
        <f>IF(Table1[[#This Row],[Name of Student]]="","",ROWS($A$1:A2103))</f>
        <v/>
      </c>
      <c r="B2107" s="26" t="str">
        <f>IF('Paste SD Data'!A2104="","",'Paste SD Data'!A2104)</f>
        <v/>
      </c>
      <c r="C2107" s="26" t="str">
        <f>IF('Paste SD Data'!B2104="","",'Paste SD Data'!B2104)</f>
        <v/>
      </c>
      <c r="D2107" s="26" t="str">
        <f>IF('Paste SD Data'!C2104="","",'Paste SD Data'!C2104)</f>
        <v/>
      </c>
      <c r="E2107" s="27" t="str">
        <f>IF('Paste SD Data'!E2104="","",UPPER('Paste SD Data'!E2104))</f>
        <v/>
      </c>
      <c r="F2107" s="27" t="str">
        <f>IF('Paste SD Data'!G2104="","",UPPER('Paste SD Data'!G2104))</f>
        <v/>
      </c>
      <c r="G2107" s="27" t="str">
        <f>IF('Paste SD Data'!H2104="","",UPPER('Paste SD Data'!H2104))</f>
        <v/>
      </c>
      <c r="H2107" s="26" t="str">
        <f>IF('Paste SD Data'!I2104="","",IF('Paste SD Data'!I2104="M","BOY","GIRL"))</f>
        <v/>
      </c>
      <c r="I2107" s="28" t="str">
        <f>IF('Paste SD Data'!J2104="","",'Paste SD Data'!J2104)</f>
        <v/>
      </c>
      <c r="J2107" s="34">
        <f t="shared" si="32"/>
        <v>2533</v>
      </c>
      <c r="K2107" s="29" t="str">
        <f>IF('Paste SD Data'!O2104="","",'Paste SD Data'!O2104)</f>
        <v/>
      </c>
    </row>
    <row r="2108" spans="1:11" ht="30" customHeight="1" x14ac:dyDescent="0.25">
      <c r="A2108" s="25" t="str">
        <f>IF(Table1[[#This Row],[Name of Student]]="","",ROWS($A$1:A2104))</f>
        <v/>
      </c>
      <c r="B2108" s="26" t="str">
        <f>IF('Paste SD Data'!A2105="","",'Paste SD Data'!A2105)</f>
        <v/>
      </c>
      <c r="C2108" s="26" t="str">
        <f>IF('Paste SD Data'!B2105="","",'Paste SD Data'!B2105)</f>
        <v/>
      </c>
      <c r="D2108" s="26" t="str">
        <f>IF('Paste SD Data'!C2105="","",'Paste SD Data'!C2105)</f>
        <v/>
      </c>
      <c r="E2108" s="27" t="str">
        <f>IF('Paste SD Data'!E2105="","",UPPER('Paste SD Data'!E2105))</f>
        <v/>
      </c>
      <c r="F2108" s="27" t="str">
        <f>IF('Paste SD Data'!G2105="","",UPPER('Paste SD Data'!G2105))</f>
        <v/>
      </c>
      <c r="G2108" s="27" t="str">
        <f>IF('Paste SD Data'!H2105="","",UPPER('Paste SD Data'!H2105))</f>
        <v/>
      </c>
      <c r="H2108" s="26" t="str">
        <f>IF('Paste SD Data'!I2105="","",IF('Paste SD Data'!I2105="M","BOY","GIRL"))</f>
        <v/>
      </c>
      <c r="I2108" s="28" t="str">
        <f>IF('Paste SD Data'!J2105="","",'Paste SD Data'!J2105)</f>
        <v/>
      </c>
      <c r="J2108" s="34">
        <f t="shared" si="32"/>
        <v>2534</v>
      </c>
      <c r="K2108" s="29" t="str">
        <f>IF('Paste SD Data'!O2105="","",'Paste SD Data'!O2105)</f>
        <v/>
      </c>
    </row>
    <row r="2109" spans="1:11" ht="30" customHeight="1" x14ac:dyDescent="0.25">
      <c r="A2109" s="25" t="str">
        <f>IF(Table1[[#This Row],[Name of Student]]="","",ROWS($A$1:A2105))</f>
        <v/>
      </c>
      <c r="B2109" s="26" t="str">
        <f>IF('Paste SD Data'!A2106="","",'Paste SD Data'!A2106)</f>
        <v/>
      </c>
      <c r="C2109" s="26" t="str">
        <f>IF('Paste SD Data'!B2106="","",'Paste SD Data'!B2106)</f>
        <v/>
      </c>
      <c r="D2109" s="26" t="str">
        <f>IF('Paste SD Data'!C2106="","",'Paste SD Data'!C2106)</f>
        <v/>
      </c>
      <c r="E2109" s="27" t="str">
        <f>IF('Paste SD Data'!E2106="","",UPPER('Paste SD Data'!E2106))</f>
        <v/>
      </c>
      <c r="F2109" s="27" t="str">
        <f>IF('Paste SD Data'!G2106="","",UPPER('Paste SD Data'!G2106))</f>
        <v/>
      </c>
      <c r="G2109" s="27" t="str">
        <f>IF('Paste SD Data'!H2106="","",UPPER('Paste SD Data'!H2106))</f>
        <v/>
      </c>
      <c r="H2109" s="26" t="str">
        <f>IF('Paste SD Data'!I2106="","",IF('Paste SD Data'!I2106="M","BOY","GIRL"))</f>
        <v/>
      </c>
      <c r="I2109" s="28" t="str">
        <f>IF('Paste SD Data'!J2106="","",'Paste SD Data'!J2106)</f>
        <v/>
      </c>
      <c r="J2109" s="34">
        <f t="shared" si="32"/>
        <v>2535</v>
      </c>
      <c r="K2109" s="29" t="str">
        <f>IF('Paste SD Data'!O2106="","",'Paste SD Data'!O2106)</f>
        <v/>
      </c>
    </row>
    <row r="2110" spans="1:11" ht="30" customHeight="1" x14ac:dyDescent="0.25">
      <c r="A2110" s="25" t="str">
        <f>IF(Table1[[#This Row],[Name of Student]]="","",ROWS($A$1:A2106))</f>
        <v/>
      </c>
      <c r="B2110" s="26" t="str">
        <f>IF('Paste SD Data'!A2107="","",'Paste SD Data'!A2107)</f>
        <v/>
      </c>
      <c r="C2110" s="26" t="str">
        <f>IF('Paste SD Data'!B2107="","",'Paste SD Data'!B2107)</f>
        <v/>
      </c>
      <c r="D2110" s="26" t="str">
        <f>IF('Paste SD Data'!C2107="","",'Paste SD Data'!C2107)</f>
        <v/>
      </c>
      <c r="E2110" s="27" t="str">
        <f>IF('Paste SD Data'!E2107="","",UPPER('Paste SD Data'!E2107))</f>
        <v/>
      </c>
      <c r="F2110" s="27" t="str">
        <f>IF('Paste SD Data'!G2107="","",UPPER('Paste SD Data'!G2107))</f>
        <v/>
      </c>
      <c r="G2110" s="27" t="str">
        <f>IF('Paste SD Data'!H2107="","",UPPER('Paste SD Data'!H2107))</f>
        <v/>
      </c>
      <c r="H2110" s="26" t="str">
        <f>IF('Paste SD Data'!I2107="","",IF('Paste SD Data'!I2107="M","BOY","GIRL"))</f>
        <v/>
      </c>
      <c r="I2110" s="28" t="str">
        <f>IF('Paste SD Data'!J2107="","",'Paste SD Data'!J2107)</f>
        <v/>
      </c>
      <c r="J2110" s="34">
        <f t="shared" si="32"/>
        <v>2536</v>
      </c>
      <c r="K2110" s="29" t="str">
        <f>IF('Paste SD Data'!O2107="","",'Paste SD Data'!O2107)</f>
        <v/>
      </c>
    </row>
    <row r="2111" spans="1:11" ht="30" customHeight="1" x14ac:dyDescent="0.25">
      <c r="A2111" s="25" t="str">
        <f>IF(Table1[[#This Row],[Name of Student]]="","",ROWS($A$1:A2107))</f>
        <v/>
      </c>
      <c r="B2111" s="26" t="str">
        <f>IF('Paste SD Data'!A2108="","",'Paste SD Data'!A2108)</f>
        <v/>
      </c>
      <c r="C2111" s="26" t="str">
        <f>IF('Paste SD Data'!B2108="","",'Paste SD Data'!B2108)</f>
        <v/>
      </c>
      <c r="D2111" s="26" t="str">
        <f>IF('Paste SD Data'!C2108="","",'Paste SD Data'!C2108)</f>
        <v/>
      </c>
      <c r="E2111" s="27" t="str">
        <f>IF('Paste SD Data'!E2108="","",UPPER('Paste SD Data'!E2108))</f>
        <v/>
      </c>
      <c r="F2111" s="27" t="str">
        <f>IF('Paste SD Data'!G2108="","",UPPER('Paste SD Data'!G2108))</f>
        <v/>
      </c>
      <c r="G2111" s="27" t="str">
        <f>IF('Paste SD Data'!H2108="","",UPPER('Paste SD Data'!H2108))</f>
        <v/>
      </c>
      <c r="H2111" s="26" t="str">
        <f>IF('Paste SD Data'!I2108="","",IF('Paste SD Data'!I2108="M","BOY","GIRL"))</f>
        <v/>
      </c>
      <c r="I2111" s="28" t="str">
        <f>IF('Paste SD Data'!J2108="","",'Paste SD Data'!J2108)</f>
        <v/>
      </c>
      <c r="J2111" s="34">
        <f t="shared" si="32"/>
        <v>2537</v>
      </c>
      <c r="K2111" s="29" t="str">
        <f>IF('Paste SD Data'!O2108="","",'Paste SD Data'!O2108)</f>
        <v/>
      </c>
    </row>
    <row r="2112" spans="1:11" ht="30" customHeight="1" x14ac:dyDescent="0.25">
      <c r="A2112" s="25" t="str">
        <f>IF(Table1[[#This Row],[Name of Student]]="","",ROWS($A$1:A2108))</f>
        <v/>
      </c>
      <c r="B2112" s="26" t="str">
        <f>IF('Paste SD Data'!A2109="","",'Paste SD Data'!A2109)</f>
        <v/>
      </c>
      <c r="C2112" s="26" t="str">
        <f>IF('Paste SD Data'!B2109="","",'Paste SD Data'!B2109)</f>
        <v/>
      </c>
      <c r="D2112" s="26" t="str">
        <f>IF('Paste SD Data'!C2109="","",'Paste SD Data'!C2109)</f>
        <v/>
      </c>
      <c r="E2112" s="27" t="str">
        <f>IF('Paste SD Data'!E2109="","",UPPER('Paste SD Data'!E2109))</f>
        <v/>
      </c>
      <c r="F2112" s="27" t="str">
        <f>IF('Paste SD Data'!G2109="","",UPPER('Paste SD Data'!G2109))</f>
        <v/>
      </c>
      <c r="G2112" s="27" t="str">
        <f>IF('Paste SD Data'!H2109="","",UPPER('Paste SD Data'!H2109))</f>
        <v/>
      </c>
      <c r="H2112" s="26" t="str">
        <f>IF('Paste SD Data'!I2109="","",IF('Paste SD Data'!I2109="M","BOY","GIRL"))</f>
        <v/>
      </c>
      <c r="I2112" s="28" t="str">
        <f>IF('Paste SD Data'!J2109="","",'Paste SD Data'!J2109)</f>
        <v/>
      </c>
      <c r="J2112" s="34">
        <f t="shared" si="32"/>
        <v>2538</v>
      </c>
      <c r="K2112" s="29" t="str">
        <f>IF('Paste SD Data'!O2109="","",'Paste SD Data'!O2109)</f>
        <v/>
      </c>
    </row>
    <row r="2113" spans="1:11" ht="30" customHeight="1" x14ac:dyDescent="0.25">
      <c r="A2113" s="25" t="str">
        <f>IF(Table1[[#This Row],[Name of Student]]="","",ROWS($A$1:A2109))</f>
        <v/>
      </c>
      <c r="B2113" s="26" t="str">
        <f>IF('Paste SD Data'!A2110="","",'Paste SD Data'!A2110)</f>
        <v/>
      </c>
      <c r="C2113" s="26" t="str">
        <f>IF('Paste SD Data'!B2110="","",'Paste SD Data'!B2110)</f>
        <v/>
      </c>
      <c r="D2113" s="26" t="str">
        <f>IF('Paste SD Data'!C2110="","",'Paste SD Data'!C2110)</f>
        <v/>
      </c>
      <c r="E2113" s="27" t="str">
        <f>IF('Paste SD Data'!E2110="","",UPPER('Paste SD Data'!E2110))</f>
        <v/>
      </c>
      <c r="F2113" s="27" t="str">
        <f>IF('Paste SD Data'!G2110="","",UPPER('Paste SD Data'!G2110))</f>
        <v/>
      </c>
      <c r="G2113" s="27" t="str">
        <f>IF('Paste SD Data'!H2110="","",UPPER('Paste SD Data'!H2110))</f>
        <v/>
      </c>
      <c r="H2113" s="26" t="str">
        <f>IF('Paste SD Data'!I2110="","",IF('Paste SD Data'!I2110="M","BOY","GIRL"))</f>
        <v/>
      </c>
      <c r="I2113" s="28" t="str">
        <f>IF('Paste SD Data'!J2110="","",'Paste SD Data'!J2110)</f>
        <v/>
      </c>
      <c r="J2113" s="34">
        <f t="shared" si="32"/>
        <v>2539</v>
      </c>
      <c r="K2113" s="29" t="str">
        <f>IF('Paste SD Data'!O2110="","",'Paste SD Data'!O2110)</f>
        <v/>
      </c>
    </row>
    <row r="2114" spans="1:11" ht="30" customHeight="1" x14ac:dyDescent="0.25">
      <c r="A2114" s="25" t="str">
        <f>IF(Table1[[#This Row],[Name of Student]]="","",ROWS($A$1:A2110))</f>
        <v/>
      </c>
      <c r="B2114" s="26" t="str">
        <f>IF('Paste SD Data'!A2111="","",'Paste SD Data'!A2111)</f>
        <v/>
      </c>
      <c r="C2114" s="26" t="str">
        <f>IF('Paste SD Data'!B2111="","",'Paste SD Data'!B2111)</f>
        <v/>
      </c>
      <c r="D2114" s="26" t="str">
        <f>IF('Paste SD Data'!C2111="","",'Paste SD Data'!C2111)</f>
        <v/>
      </c>
      <c r="E2114" s="27" t="str">
        <f>IF('Paste SD Data'!E2111="","",UPPER('Paste SD Data'!E2111))</f>
        <v/>
      </c>
      <c r="F2114" s="27" t="str">
        <f>IF('Paste SD Data'!G2111="","",UPPER('Paste SD Data'!G2111))</f>
        <v/>
      </c>
      <c r="G2114" s="27" t="str">
        <f>IF('Paste SD Data'!H2111="","",UPPER('Paste SD Data'!H2111))</f>
        <v/>
      </c>
      <c r="H2114" s="26" t="str">
        <f>IF('Paste SD Data'!I2111="","",IF('Paste SD Data'!I2111="M","BOY","GIRL"))</f>
        <v/>
      </c>
      <c r="I2114" s="28" t="str">
        <f>IF('Paste SD Data'!J2111="","",'Paste SD Data'!J2111)</f>
        <v/>
      </c>
      <c r="J2114" s="34">
        <f t="shared" si="32"/>
        <v>2540</v>
      </c>
      <c r="K2114" s="29" t="str">
        <f>IF('Paste SD Data'!O2111="","",'Paste SD Data'!O2111)</f>
        <v/>
      </c>
    </row>
    <row r="2115" spans="1:11" ht="30" customHeight="1" x14ac:dyDescent="0.25">
      <c r="A2115" s="25" t="str">
        <f>IF(Table1[[#This Row],[Name of Student]]="","",ROWS($A$1:A2111))</f>
        <v/>
      </c>
      <c r="B2115" s="26" t="str">
        <f>IF('Paste SD Data'!A2112="","",'Paste SD Data'!A2112)</f>
        <v/>
      </c>
      <c r="C2115" s="26" t="str">
        <f>IF('Paste SD Data'!B2112="","",'Paste SD Data'!B2112)</f>
        <v/>
      </c>
      <c r="D2115" s="26" t="str">
        <f>IF('Paste SD Data'!C2112="","",'Paste SD Data'!C2112)</f>
        <v/>
      </c>
      <c r="E2115" s="27" t="str">
        <f>IF('Paste SD Data'!E2112="","",UPPER('Paste SD Data'!E2112))</f>
        <v/>
      </c>
      <c r="F2115" s="27" t="str">
        <f>IF('Paste SD Data'!G2112="","",UPPER('Paste SD Data'!G2112))</f>
        <v/>
      </c>
      <c r="G2115" s="27" t="str">
        <f>IF('Paste SD Data'!H2112="","",UPPER('Paste SD Data'!H2112))</f>
        <v/>
      </c>
      <c r="H2115" s="26" t="str">
        <f>IF('Paste SD Data'!I2112="","",IF('Paste SD Data'!I2112="M","BOY","GIRL"))</f>
        <v/>
      </c>
      <c r="I2115" s="28" t="str">
        <f>IF('Paste SD Data'!J2112="","",'Paste SD Data'!J2112)</f>
        <v/>
      </c>
      <c r="J2115" s="34">
        <f t="shared" si="32"/>
        <v>2541</v>
      </c>
      <c r="K2115" s="29" t="str">
        <f>IF('Paste SD Data'!O2112="","",'Paste SD Data'!O2112)</f>
        <v/>
      </c>
    </row>
    <row r="2116" spans="1:11" ht="30" customHeight="1" x14ac:dyDescent="0.25">
      <c r="A2116" s="25" t="str">
        <f>IF(Table1[[#This Row],[Name of Student]]="","",ROWS($A$1:A2112))</f>
        <v/>
      </c>
      <c r="B2116" s="26" t="str">
        <f>IF('Paste SD Data'!A2113="","",'Paste SD Data'!A2113)</f>
        <v/>
      </c>
      <c r="C2116" s="26" t="str">
        <f>IF('Paste SD Data'!B2113="","",'Paste SD Data'!B2113)</f>
        <v/>
      </c>
      <c r="D2116" s="26" t="str">
        <f>IF('Paste SD Data'!C2113="","",'Paste SD Data'!C2113)</f>
        <v/>
      </c>
      <c r="E2116" s="27" t="str">
        <f>IF('Paste SD Data'!E2113="","",UPPER('Paste SD Data'!E2113))</f>
        <v/>
      </c>
      <c r="F2116" s="27" t="str">
        <f>IF('Paste SD Data'!G2113="","",UPPER('Paste SD Data'!G2113))</f>
        <v/>
      </c>
      <c r="G2116" s="27" t="str">
        <f>IF('Paste SD Data'!H2113="","",UPPER('Paste SD Data'!H2113))</f>
        <v/>
      </c>
      <c r="H2116" s="26" t="str">
        <f>IF('Paste SD Data'!I2113="","",IF('Paste SD Data'!I2113="M","BOY","GIRL"))</f>
        <v/>
      </c>
      <c r="I2116" s="28" t="str">
        <f>IF('Paste SD Data'!J2113="","",'Paste SD Data'!J2113)</f>
        <v/>
      </c>
      <c r="J2116" s="34">
        <f t="shared" si="32"/>
        <v>2542</v>
      </c>
      <c r="K2116" s="29" t="str">
        <f>IF('Paste SD Data'!O2113="","",'Paste SD Data'!O2113)</f>
        <v/>
      </c>
    </row>
    <row r="2117" spans="1:11" ht="30" customHeight="1" x14ac:dyDescent="0.25">
      <c r="A2117" s="25" t="str">
        <f>IF(Table1[[#This Row],[Name of Student]]="","",ROWS($A$1:A2113))</f>
        <v/>
      </c>
      <c r="B2117" s="26" t="str">
        <f>IF('Paste SD Data'!A2114="","",'Paste SD Data'!A2114)</f>
        <v/>
      </c>
      <c r="C2117" s="26" t="str">
        <f>IF('Paste SD Data'!B2114="","",'Paste SD Data'!B2114)</f>
        <v/>
      </c>
      <c r="D2117" s="26" t="str">
        <f>IF('Paste SD Data'!C2114="","",'Paste SD Data'!C2114)</f>
        <v/>
      </c>
      <c r="E2117" s="27" t="str">
        <f>IF('Paste SD Data'!E2114="","",UPPER('Paste SD Data'!E2114))</f>
        <v/>
      </c>
      <c r="F2117" s="27" t="str">
        <f>IF('Paste SD Data'!G2114="","",UPPER('Paste SD Data'!G2114))</f>
        <v/>
      </c>
      <c r="G2117" s="27" t="str">
        <f>IF('Paste SD Data'!H2114="","",UPPER('Paste SD Data'!H2114))</f>
        <v/>
      </c>
      <c r="H2117" s="26" t="str">
        <f>IF('Paste SD Data'!I2114="","",IF('Paste SD Data'!I2114="M","BOY","GIRL"))</f>
        <v/>
      </c>
      <c r="I2117" s="28" t="str">
        <f>IF('Paste SD Data'!J2114="","",'Paste SD Data'!J2114)</f>
        <v/>
      </c>
      <c r="J2117" s="34">
        <f t="shared" si="32"/>
        <v>2543</v>
      </c>
      <c r="K2117" s="29" t="str">
        <f>IF('Paste SD Data'!O2114="","",'Paste SD Data'!O2114)</f>
        <v/>
      </c>
    </row>
    <row r="2118" spans="1:11" ht="30" customHeight="1" x14ac:dyDescent="0.25">
      <c r="A2118" s="25" t="str">
        <f>IF(Table1[[#This Row],[Name of Student]]="","",ROWS($A$1:A2114))</f>
        <v/>
      </c>
      <c r="B2118" s="26" t="str">
        <f>IF('Paste SD Data'!A2115="","",'Paste SD Data'!A2115)</f>
        <v/>
      </c>
      <c r="C2118" s="26" t="str">
        <f>IF('Paste SD Data'!B2115="","",'Paste SD Data'!B2115)</f>
        <v/>
      </c>
      <c r="D2118" s="26" t="str">
        <f>IF('Paste SD Data'!C2115="","",'Paste SD Data'!C2115)</f>
        <v/>
      </c>
      <c r="E2118" s="27" t="str">
        <f>IF('Paste SD Data'!E2115="","",UPPER('Paste SD Data'!E2115))</f>
        <v/>
      </c>
      <c r="F2118" s="27" t="str">
        <f>IF('Paste SD Data'!G2115="","",UPPER('Paste SD Data'!G2115))</f>
        <v/>
      </c>
      <c r="G2118" s="27" t="str">
        <f>IF('Paste SD Data'!H2115="","",UPPER('Paste SD Data'!H2115))</f>
        <v/>
      </c>
      <c r="H2118" s="26" t="str">
        <f>IF('Paste SD Data'!I2115="","",IF('Paste SD Data'!I2115="M","BOY","GIRL"))</f>
        <v/>
      </c>
      <c r="I2118" s="28" t="str">
        <f>IF('Paste SD Data'!J2115="","",'Paste SD Data'!J2115)</f>
        <v/>
      </c>
      <c r="J2118" s="34">
        <f t="shared" si="32"/>
        <v>2544</v>
      </c>
      <c r="K2118" s="29" t="str">
        <f>IF('Paste SD Data'!O2115="","",'Paste SD Data'!O2115)</f>
        <v/>
      </c>
    </row>
    <row r="2119" spans="1:11" ht="30" customHeight="1" x14ac:dyDescent="0.25">
      <c r="A2119" s="25" t="str">
        <f>IF(Table1[[#This Row],[Name of Student]]="","",ROWS($A$1:A2115))</f>
        <v/>
      </c>
      <c r="B2119" s="26" t="str">
        <f>IF('Paste SD Data'!A2116="","",'Paste SD Data'!A2116)</f>
        <v/>
      </c>
      <c r="C2119" s="26" t="str">
        <f>IF('Paste SD Data'!B2116="","",'Paste SD Data'!B2116)</f>
        <v/>
      </c>
      <c r="D2119" s="26" t="str">
        <f>IF('Paste SD Data'!C2116="","",'Paste SD Data'!C2116)</f>
        <v/>
      </c>
      <c r="E2119" s="27" t="str">
        <f>IF('Paste SD Data'!E2116="","",UPPER('Paste SD Data'!E2116))</f>
        <v/>
      </c>
      <c r="F2119" s="27" t="str">
        <f>IF('Paste SD Data'!G2116="","",UPPER('Paste SD Data'!G2116))</f>
        <v/>
      </c>
      <c r="G2119" s="27" t="str">
        <f>IF('Paste SD Data'!H2116="","",UPPER('Paste SD Data'!H2116))</f>
        <v/>
      </c>
      <c r="H2119" s="26" t="str">
        <f>IF('Paste SD Data'!I2116="","",IF('Paste SD Data'!I2116="M","BOY","GIRL"))</f>
        <v/>
      </c>
      <c r="I2119" s="28" t="str">
        <f>IF('Paste SD Data'!J2116="","",'Paste SD Data'!J2116)</f>
        <v/>
      </c>
      <c r="J2119" s="34">
        <f t="shared" ref="J2119:J2182" si="33">J2118+1</f>
        <v>2545</v>
      </c>
      <c r="K2119" s="29" t="str">
        <f>IF('Paste SD Data'!O2116="","",'Paste SD Data'!O2116)</f>
        <v/>
      </c>
    </row>
    <row r="2120" spans="1:11" ht="30" customHeight="1" x14ac:dyDescent="0.25">
      <c r="A2120" s="25" t="str">
        <f>IF(Table1[[#This Row],[Name of Student]]="","",ROWS($A$1:A2116))</f>
        <v/>
      </c>
      <c r="B2120" s="26" t="str">
        <f>IF('Paste SD Data'!A2117="","",'Paste SD Data'!A2117)</f>
        <v/>
      </c>
      <c r="C2120" s="26" t="str">
        <f>IF('Paste SD Data'!B2117="","",'Paste SD Data'!B2117)</f>
        <v/>
      </c>
      <c r="D2120" s="26" t="str">
        <f>IF('Paste SD Data'!C2117="","",'Paste SD Data'!C2117)</f>
        <v/>
      </c>
      <c r="E2120" s="27" t="str">
        <f>IF('Paste SD Data'!E2117="","",UPPER('Paste SD Data'!E2117))</f>
        <v/>
      </c>
      <c r="F2120" s="27" t="str">
        <f>IF('Paste SD Data'!G2117="","",UPPER('Paste SD Data'!G2117))</f>
        <v/>
      </c>
      <c r="G2120" s="27" t="str">
        <f>IF('Paste SD Data'!H2117="","",UPPER('Paste SD Data'!H2117))</f>
        <v/>
      </c>
      <c r="H2120" s="26" t="str">
        <f>IF('Paste SD Data'!I2117="","",IF('Paste SD Data'!I2117="M","BOY","GIRL"))</f>
        <v/>
      </c>
      <c r="I2120" s="28" t="str">
        <f>IF('Paste SD Data'!J2117="","",'Paste SD Data'!J2117)</f>
        <v/>
      </c>
      <c r="J2120" s="34">
        <f t="shared" si="33"/>
        <v>2546</v>
      </c>
      <c r="K2120" s="29" t="str">
        <f>IF('Paste SD Data'!O2117="","",'Paste SD Data'!O2117)</f>
        <v/>
      </c>
    </row>
    <row r="2121" spans="1:11" ht="30" customHeight="1" x14ac:dyDescent="0.25">
      <c r="A2121" s="25" t="str">
        <f>IF(Table1[[#This Row],[Name of Student]]="","",ROWS($A$1:A2117))</f>
        <v/>
      </c>
      <c r="B2121" s="26" t="str">
        <f>IF('Paste SD Data'!A2118="","",'Paste SD Data'!A2118)</f>
        <v/>
      </c>
      <c r="C2121" s="26" t="str">
        <f>IF('Paste SD Data'!B2118="","",'Paste SD Data'!B2118)</f>
        <v/>
      </c>
      <c r="D2121" s="26" t="str">
        <f>IF('Paste SD Data'!C2118="","",'Paste SD Data'!C2118)</f>
        <v/>
      </c>
      <c r="E2121" s="27" t="str">
        <f>IF('Paste SD Data'!E2118="","",UPPER('Paste SD Data'!E2118))</f>
        <v/>
      </c>
      <c r="F2121" s="27" t="str">
        <f>IF('Paste SD Data'!G2118="","",UPPER('Paste SD Data'!G2118))</f>
        <v/>
      </c>
      <c r="G2121" s="27" t="str">
        <f>IF('Paste SD Data'!H2118="","",UPPER('Paste SD Data'!H2118))</f>
        <v/>
      </c>
      <c r="H2121" s="26" t="str">
        <f>IF('Paste SD Data'!I2118="","",IF('Paste SD Data'!I2118="M","BOY","GIRL"))</f>
        <v/>
      </c>
      <c r="I2121" s="28" t="str">
        <f>IF('Paste SD Data'!J2118="","",'Paste SD Data'!J2118)</f>
        <v/>
      </c>
      <c r="J2121" s="34">
        <f t="shared" si="33"/>
        <v>2547</v>
      </c>
      <c r="K2121" s="29" t="str">
        <f>IF('Paste SD Data'!O2118="","",'Paste SD Data'!O2118)</f>
        <v/>
      </c>
    </row>
    <row r="2122" spans="1:11" ht="30" customHeight="1" x14ac:dyDescent="0.25">
      <c r="A2122" s="25" t="str">
        <f>IF(Table1[[#This Row],[Name of Student]]="","",ROWS($A$1:A2118))</f>
        <v/>
      </c>
      <c r="B2122" s="26" t="str">
        <f>IF('Paste SD Data'!A2119="","",'Paste SD Data'!A2119)</f>
        <v/>
      </c>
      <c r="C2122" s="26" t="str">
        <f>IF('Paste SD Data'!B2119="","",'Paste SD Data'!B2119)</f>
        <v/>
      </c>
      <c r="D2122" s="26" t="str">
        <f>IF('Paste SD Data'!C2119="","",'Paste SD Data'!C2119)</f>
        <v/>
      </c>
      <c r="E2122" s="27" t="str">
        <f>IF('Paste SD Data'!E2119="","",UPPER('Paste SD Data'!E2119))</f>
        <v/>
      </c>
      <c r="F2122" s="27" t="str">
        <f>IF('Paste SD Data'!G2119="","",UPPER('Paste SD Data'!G2119))</f>
        <v/>
      </c>
      <c r="G2122" s="27" t="str">
        <f>IF('Paste SD Data'!H2119="","",UPPER('Paste SD Data'!H2119))</f>
        <v/>
      </c>
      <c r="H2122" s="26" t="str">
        <f>IF('Paste SD Data'!I2119="","",IF('Paste SD Data'!I2119="M","BOY","GIRL"))</f>
        <v/>
      </c>
      <c r="I2122" s="28" t="str">
        <f>IF('Paste SD Data'!J2119="","",'Paste SD Data'!J2119)</f>
        <v/>
      </c>
      <c r="J2122" s="34">
        <f t="shared" si="33"/>
        <v>2548</v>
      </c>
      <c r="K2122" s="29" t="str">
        <f>IF('Paste SD Data'!O2119="","",'Paste SD Data'!O2119)</f>
        <v/>
      </c>
    </row>
    <row r="2123" spans="1:11" ht="30" customHeight="1" x14ac:dyDescent="0.25">
      <c r="A2123" s="25" t="str">
        <f>IF(Table1[[#This Row],[Name of Student]]="","",ROWS($A$1:A2119))</f>
        <v/>
      </c>
      <c r="B2123" s="26" t="str">
        <f>IF('Paste SD Data'!A2120="","",'Paste SD Data'!A2120)</f>
        <v/>
      </c>
      <c r="C2123" s="26" t="str">
        <f>IF('Paste SD Data'!B2120="","",'Paste SD Data'!B2120)</f>
        <v/>
      </c>
      <c r="D2123" s="26" t="str">
        <f>IF('Paste SD Data'!C2120="","",'Paste SD Data'!C2120)</f>
        <v/>
      </c>
      <c r="E2123" s="27" t="str">
        <f>IF('Paste SD Data'!E2120="","",UPPER('Paste SD Data'!E2120))</f>
        <v/>
      </c>
      <c r="F2123" s="27" t="str">
        <f>IF('Paste SD Data'!G2120="","",UPPER('Paste SD Data'!G2120))</f>
        <v/>
      </c>
      <c r="G2123" s="27" t="str">
        <f>IF('Paste SD Data'!H2120="","",UPPER('Paste SD Data'!H2120))</f>
        <v/>
      </c>
      <c r="H2123" s="26" t="str">
        <f>IF('Paste SD Data'!I2120="","",IF('Paste SD Data'!I2120="M","BOY","GIRL"))</f>
        <v/>
      </c>
      <c r="I2123" s="28" t="str">
        <f>IF('Paste SD Data'!J2120="","",'Paste SD Data'!J2120)</f>
        <v/>
      </c>
      <c r="J2123" s="34">
        <f t="shared" si="33"/>
        <v>2549</v>
      </c>
      <c r="K2123" s="29" t="str">
        <f>IF('Paste SD Data'!O2120="","",'Paste SD Data'!O2120)</f>
        <v/>
      </c>
    </row>
    <row r="2124" spans="1:11" ht="30" customHeight="1" x14ac:dyDescent="0.25">
      <c r="A2124" s="25" t="str">
        <f>IF(Table1[[#This Row],[Name of Student]]="","",ROWS($A$1:A2120))</f>
        <v/>
      </c>
      <c r="B2124" s="26" t="str">
        <f>IF('Paste SD Data'!A2121="","",'Paste SD Data'!A2121)</f>
        <v/>
      </c>
      <c r="C2124" s="26" t="str">
        <f>IF('Paste SD Data'!B2121="","",'Paste SD Data'!B2121)</f>
        <v/>
      </c>
      <c r="D2124" s="26" t="str">
        <f>IF('Paste SD Data'!C2121="","",'Paste SD Data'!C2121)</f>
        <v/>
      </c>
      <c r="E2124" s="27" t="str">
        <f>IF('Paste SD Data'!E2121="","",UPPER('Paste SD Data'!E2121))</f>
        <v/>
      </c>
      <c r="F2124" s="27" t="str">
        <f>IF('Paste SD Data'!G2121="","",UPPER('Paste SD Data'!G2121))</f>
        <v/>
      </c>
      <c r="G2124" s="27" t="str">
        <f>IF('Paste SD Data'!H2121="","",UPPER('Paste SD Data'!H2121))</f>
        <v/>
      </c>
      <c r="H2124" s="26" t="str">
        <f>IF('Paste SD Data'!I2121="","",IF('Paste SD Data'!I2121="M","BOY","GIRL"))</f>
        <v/>
      </c>
      <c r="I2124" s="28" t="str">
        <f>IF('Paste SD Data'!J2121="","",'Paste SD Data'!J2121)</f>
        <v/>
      </c>
      <c r="J2124" s="34">
        <f t="shared" si="33"/>
        <v>2550</v>
      </c>
      <c r="K2124" s="29" t="str">
        <f>IF('Paste SD Data'!O2121="","",'Paste SD Data'!O2121)</f>
        <v/>
      </c>
    </row>
    <row r="2125" spans="1:11" ht="30" customHeight="1" x14ac:dyDescent="0.25">
      <c r="A2125" s="25" t="str">
        <f>IF(Table1[[#This Row],[Name of Student]]="","",ROWS($A$1:A2121))</f>
        <v/>
      </c>
      <c r="B2125" s="26" t="str">
        <f>IF('Paste SD Data'!A2122="","",'Paste SD Data'!A2122)</f>
        <v/>
      </c>
      <c r="C2125" s="26" t="str">
        <f>IF('Paste SD Data'!B2122="","",'Paste SD Data'!B2122)</f>
        <v/>
      </c>
      <c r="D2125" s="26" t="str">
        <f>IF('Paste SD Data'!C2122="","",'Paste SD Data'!C2122)</f>
        <v/>
      </c>
      <c r="E2125" s="27" t="str">
        <f>IF('Paste SD Data'!E2122="","",UPPER('Paste SD Data'!E2122))</f>
        <v/>
      </c>
      <c r="F2125" s="27" t="str">
        <f>IF('Paste SD Data'!G2122="","",UPPER('Paste SD Data'!G2122))</f>
        <v/>
      </c>
      <c r="G2125" s="27" t="str">
        <f>IF('Paste SD Data'!H2122="","",UPPER('Paste SD Data'!H2122))</f>
        <v/>
      </c>
      <c r="H2125" s="26" t="str">
        <f>IF('Paste SD Data'!I2122="","",IF('Paste SD Data'!I2122="M","BOY","GIRL"))</f>
        <v/>
      </c>
      <c r="I2125" s="28" t="str">
        <f>IF('Paste SD Data'!J2122="","",'Paste SD Data'!J2122)</f>
        <v/>
      </c>
      <c r="J2125" s="34">
        <f t="shared" si="33"/>
        <v>2551</v>
      </c>
      <c r="K2125" s="29" t="str">
        <f>IF('Paste SD Data'!O2122="","",'Paste SD Data'!O2122)</f>
        <v/>
      </c>
    </row>
    <row r="2126" spans="1:11" ht="30" customHeight="1" x14ac:dyDescent="0.25">
      <c r="A2126" s="25" t="str">
        <f>IF(Table1[[#This Row],[Name of Student]]="","",ROWS($A$1:A2122))</f>
        <v/>
      </c>
      <c r="B2126" s="26" t="str">
        <f>IF('Paste SD Data'!A2123="","",'Paste SD Data'!A2123)</f>
        <v/>
      </c>
      <c r="C2126" s="26" t="str">
        <f>IF('Paste SD Data'!B2123="","",'Paste SD Data'!B2123)</f>
        <v/>
      </c>
      <c r="D2126" s="26" t="str">
        <f>IF('Paste SD Data'!C2123="","",'Paste SD Data'!C2123)</f>
        <v/>
      </c>
      <c r="E2126" s="27" t="str">
        <f>IF('Paste SD Data'!E2123="","",UPPER('Paste SD Data'!E2123))</f>
        <v/>
      </c>
      <c r="F2126" s="27" t="str">
        <f>IF('Paste SD Data'!G2123="","",UPPER('Paste SD Data'!G2123))</f>
        <v/>
      </c>
      <c r="G2126" s="27" t="str">
        <f>IF('Paste SD Data'!H2123="","",UPPER('Paste SD Data'!H2123))</f>
        <v/>
      </c>
      <c r="H2126" s="26" t="str">
        <f>IF('Paste SD Data'!I2123="","",IF('Paste SD Data'!I2123="M","BOY","GIRL"))</f>
        <v/>
      </c>
      <c r="I2126" s="28" t="str">
        <f>IF('Paste SD Data'!J2123="","",'Paste SD Data'!J2123)</f>
        <v/>
      </c>
      <c r="J2126" s="34">
        <f t="shared" si="33"/>
        <v>2552</v>
      </c>
      <c r="K2126" s="29" t="str">
        <f>IF('Paste SD Data'!O2123="","",'Paste SD Data'!O2123)</f>
        <v/>
      </c>
    </row>
    <row r="2127" spans="1:11" ht="30" customHeight="1" x14ac:dyDescent="0.25">
      <c r="A2127" s="25" t="str">
        <f>IF(Table1[[#This Row],[Name of Student]]="","",ROWS($A$1:A2123))</f>
        <v/>
      </c>
      <c r="B2127" s="26" t="str">
        <f>IF('Paste SD Data'!A2124="","",'Paste SD Data'!A2124)</f>
        <v/>
      </c>
      <c r="C2127" s="26" t="str">
        <f>IF('Paste SD Data'!B2124="","",'Paste SD Data'!B2124)</f>
        <v/>
      </c>
      <c r="D2127" s="26" t="str">
        <f>IF('Paste SD Data'!C2124="","",'Paste SD Data'!C2124)</f>
        <v/>
      </c>
      <c r="E2127" s="27" t="str">
        <f>IF('Paste SD Data'!E2124="","",UPPER('Paste SD Data'!E2124))</f>
        <v/>
      </c>
      <c r="F2127" s="27" t="str">
        <f>IF('Paste SD Data'!G2124="","",UPPER('Paste SD Data'!G2124))</f>
        <v/>
      </c>
      <c r="G2127" s="27" t="str">
        <f>IF('Paste SD Data'!H2124="","",UPPER('Paste SD Data'!H2124))</f>
        <v/>
      </c>
      <c r="H2127" s="26" t="str">
        <f>IF('Paste SD Data'!I2124="","",IF('Paste SD Data'!I2124="M","BOY","GIRL"))</f>
        <v/>
      </c>
      <c r="I2127" s="28" t="str">
        <f>IF('Paste SD Data'!J2124="","",'Paste SD Data'!J2124)</f>
        <v/>
      </c>
      <c r="J2127" s="34">
        <f t="shared" si="33"/>
        <v>2553</v>
      </c>
      <c r="K2127" s="29" t="str">
        <f>IF('Paste SD Data'!O2124="","",'Paste SD Data'!O2124)</f>
        <v/>
      </c>
    </row>
    <row r="2128" spans="1:11" ht="30" customHeight="1" x14ac:dyDescent="0.25">
      <c r="A2128" s="25" t="str">
        <f>IF(Table1[[#This Row],[Name of Student]]="","",ROWS($A$1:A2124))</f>
        <v/>
      </c>
      <c r="B2128" s="26" t="str">
        <f>IF('Paste SD Data'!A2125="","",'Paste SD Data'!A2125)</f>
        <v/>
      </c>
      <c r="C2128" s="26" t="str">
        <f>IF('Paste SD Data'!B2125="","",'Paste SD Data'!B2125)</f>
        <v/>
      </c>
      <c r="D2128" s="26" t="str">
        <f>IF('Paste SD Data'!C2125="","",'Paste SD Data'!C2125)</f>
        <v/>
      </c>
      <c r="E2128" s="27" t="str">
        <f>IF('Paste SD Data'!E2125="","",UPPER('Paste SD Data'!E2125))</f>
        <v/>
      </c>
      <c r="F2128" s="27" t="str">
        <f>IF('Paste SD Data'!G2125="","",UPPER('Paste SD Data'!G2125))</f>
        <v/>
      </c>
      <c r="G2128" s="27" t="str">
        <f>IF('Paste SD Data'!H2125="","",UPPER('Paste SD Data'!H2125))</f>
        <v/>
      </c>
      <c r="H2128" s="26" t="str">
        <f>IF('Paste SD Data'!I2125="","",IF('Paste SD Data'!I2125="M","BOY","GIRL"))</f>
        <v/>
      </c>
      <c r="I2128" s="28" t="str">
        <f>IF('Paste SD Data'!J2125="","",'Paste SD Data'!J2125)</f>
        <v/>
      </c>
      <c r="J2128" s="34">
        <f t="shared" si="33"/>
        <v>2554</v>
      </c>
      <c r="K2128" s="29" t="str">
        <f>IF('Paste SD Data'!O2125="","",'Paste SD Data'!O2125)</f>
        <v/>
      </c>
    </row>
    <row r="2129" spans="1:11" ht="30" customHeight="1" x14ac:dyDescent="0.25">
      <c r="A2129" s="25" t="str">
        <f>IF(Table1[[#This Row],[Name of Student]]="","",ROWS($A$1:A2125))</f>
        <v/>
      </c>
      <c r="B2129" s="26" t="str">
        <f>IF('Paste SD Data'!A2126="","",'Paste SD Data'!A2126)</f>
        <v/>
      </c>
      <c r="C2129" s="26" t="str">
        <f>IF('Paste SD Data'!B2126="","",'Paste SD Data'!B2126)</f>
        <v/>
      </c>
      <c r="D2129" s="26" t="str">
        <f>IF('Paste SD Data'!C2126="","",'Paste SD Data'!C2126)</f>
        <v/>
      </c>
      <c r="E2129" s="27" t="str">
        <f>IF('Paste SD Data'!E2126="","",UPPER('Paste SD Data'!E2126))</f>
        <v/>
      </c>
      <c r="F2129" s="27" t="str">
        <f>IF('Paste SD Data'!G2126="","",UPPER('Paste SD Data'!G2126))</f>
        <v/>
      </c>
      <c r="G2129" s="27" t="str">
        <f>IF('Paste SD Data'!H2126="","",UPPER('Paste SD Data'!H2126))</f>
        <v/>
      </c>
      <c r="H2129" s="26" t="str">
        <f>IF('Paste SD Data'!I2126="","",IF('Paste SD Data'!I2126="M","BOY","GIRL"))</f>
        <v/>
      </c>
      <c r="I2129" s="28" t="str">
        <f>IF('Paste SD Data'!J2126="","",'Paste SD Data'!J2126)</f>
        <v/>
      </c>
      <c r="J2129" s="34">
        <f t="shared" si="33"/>
        <v>2555</v>
      </c>
      <c r="K2129" s="29" t="str">
        <f>IF('Paste SD Data'!O2126="","",'Paste SD Data'!O2126)</f>
        <v/>
      </c>
    </row>
    <row r="2130" spans="1:11" ht="30" customHeight="1" x14ac:dyDescent="0.25">
      <c r="A2130" s="25" t="str">
        <f>IF(Table1[[#This Row],[Name of Student]]="","",ROWS($A$1:A2126))</f>
        <v/>
      </c>
      <c r="B2130" s="26" t="str">
        <f>IF('Paste SD Data'!A2127="","",'Paste SD Data'!A2127)</f>
        <v/>
      </c>
      <c r="C2130" s="26" t="str">
        <f>IF('Paste SD Data'!B2127="","",'Paste SD Data'!B2127)</f>
        <v/>
      </c>
      <c r="D2130" s="26" t="str">
        <f>IF('Paste SD Data'!C2127="","",'Paste SD Data'!C2127)</f>
        <v/>
      </c>
      <c r="E2130" s="27" t="str">
        <f>IF('Paste SD Data'!E2127="","",UPPER('Paste SD Data'!E2127))</f>
        <v/>
      </c>
      <c r="F2130" s="27" t="str">
        <f>IF('Paste SD Data'!G2127="","",UPPER('Paste SD Data'!G2127))</f>
        <v/>
      </c>
      <c r="G2130" s="27" t="str">
        <f>IF('Paste SD Data'!H2127="","",UPPER('Paste SD Data'!H2127))</f>
        <v/>
      </c>
      <c r="H2130" s="26" t="str">
        <f>IF('Paste SD Data'!I2127="","",IF('Paste SD Data'!I2127="M","BOY","GIRL"))</f>
        <v/>
      </c>
      <c r="I2130" s="28" t="str">
        <f>IF('Paste SD Data'!J2127="","",'Paste SD Data'!J2127)</f>
        <v/>
      </c>
      <c r="J2130" s="34">
        <f t="shared" si="33"/>
        <v>2556</v>
      </c>
      <c r="K2130" s="29" t="str">
        <f>IF('Paste SD Data'!O2127="","",'Paste SD Data'!O2127)</f>
        <v/>
      </c>
    </row>
    <row r="2131" spans="1:11" ht="30" customHeight="1" x14ac:dyDescent="0.25">
      <c r="A2131" s="25" t="str">
        <f>IF(Table1[[#This Row],[Name of Student]]="","",ROWS($A$1:A2127))</f>
        <v/>
      </c>
      <c r="B2131" s="26" t="str">
        <f>IF('Paste SD Data'!A2128="","",'Paste SD Data'!A2128)</f>
        <v/>
      </c>
      <c r="C2131" s="26" t="str">
        <f>IF('Paste SD Data'!B2128="","",'Paste SD Data'!B2128)</f>
        <v/>
      </c>
      <c r="D2131" s="26" t="str">
        <f>IF('Paste SD Data'!C2128="","",'Paste SD Data'!C2128)</f>
        <v/>
      </c>
      <c r="E2131" s="27" t="str">
        <f>IF('Paste SD Data'!E2128="","",UPPER('Paste SD Data'!E2128))</f>
        <v/>
      </c>
      <c r="F2131" s="27" t="str">
        <f>IF('Paste SD Data'!G2128="","",UPPER('Paste SD Data'!G2128))</f>
        <v/>
      </c>
      <c r="G2131" s="27" t="str">
        <f>IF('Paste SD Data'!H2128="","",UPPER('Paste SD Data'!H2128))</f>
        <v/>
      </c>
      <c r="H2131" s="26" t="str">
        <f>IF('Paste SD Data'!I2128="","",IF('Paste SD Data'!I2128="M","BOY","GIRL"))</f>
        <v/>
      </c>
      <c r="I2131" s="28" t="str">
        <f>IF('Paste SD Data'!J2128="","",'Paste SD Data'!J2128)</f>
        <v/>
      </c>
      <c r="J2131" s="34">
        <f t="shared" si="33"/>
        <v>2557</v>
      </c>
      <c r="K2131" s="29" t="str">
        <f>IF('Paste SD Data'!O2128="","",'Paste SD Data'!O2128)</f>
        <v/>
      </c>
    </row>
    <row r="2132" spans="1:11" ht="30" customHeight="1" x14ac:dyDescent="0.25">
      <c r="A2132" s="25" t="str">
        <f>IF(Table1[[#This Row],[Name of Student]]="","",ROWS($A$1:A2128))</f>
        <v/>
      </c>
      <c r="B2132" s="26" t="str">
        <f>IF('Paste SD Data'!A2129="","",'Paste SD Data'!A2129)</f>
        <v/>
      </c>
      <c r="C2132" s="26" t="str">
        <f>IF('Paste SD Data'!B2129="","",'Paste SD Data'!B2129)</f>
        <v/>
      </c>
      <c r="D2132" s="26" t="str">
        <f>IF('Paste SD Data'!C2129="","",'Paste SD Data'!C2129)</f>
        <v/>
      </c>
      <c r="E2132" s="27" t="str">
        <f>IF('Paste SD Data'!E2129="","",UPPER('Paste SD Data'!E2129))</f>
        <v/>
      </c>
      <c r="F2132" s="27" t="str">
        <f>IF('Paste SD Data'!G2129="","",UPPER('Paste SD Data'!G2129))</f>
        <v/>
      </c>
      <c r="G2132" s="27" t="str">
        <f>IF('Paste SD Data'!H2129="","",UPPER('Paste SD Data'!H2129))</f>
        <v/>
      </c>
      <c r="H2132" s="26" t="str">
        <f>IF('Paste SD Data'!I2129="","",IF('Paste SD Data'!I2129="M","BOY","GIRL"))</f>
        <v/>
      </c>
      <c r="I2132" s="28" t="str">
        <f>IF('Paste SD Data'!J2129="","",'Paste SD Data'!J2129)</f>
        <v/>
      </c>
      <c r="J2132" s="34">
        <f t="shared" si="33"/>
        <v>2558</v>
      </c>
      <c r="K2132" s="29" t="str">
        <f>IF('Paste SD Data'!O2129="","",'Paste SD Data'!O2129)</f>
        <v/>
      </c>
    </row>
    <row r="2133" spans="1:11" ht="30" customHeight="1" x14ac:dyDescent="0.25">
      <c r="A2133" s="25" t="str">
        <f>IF(Table1[[#This Row],[Name of Student]]="","",ROWS($A$1:A2129))</f>
        <v/>
      </c>
      <c r="B2133" s="26" t="str">
        <f>IF('Paste SD Data'!A2130="","",'Paste SD Data'!A2130)</f>
        <v/>
      </c>
      <c r="C2133" s="26" t="str">
        <f>IF('Paste SD Data'!B2130="","",'Paste SD Data'!B2130)</f>
        <v/>
      </c>
      <c r="D2133" s="26" t="str">
        <f>IF('Paste SD Data'!C2130="","",'Paste SD Data'!C2130)</f>
        <v/>
      </c>
      <c r="E2133" s="27" t="str">
        <f>IF('Paste SD Data'!E2130="","",UPPER('Paste SD Data'!E2130))</f>
        <v/>
      </c>
      <c r="F2133" s="27" t="str">
        <f>IF('Paste SD Data'!G2130="","",UPPER('Paste SD Data'!G2130))</f>
        <v/>
      </c>
      <c r="G2133" s="27" t="str">
        <f>IF('Paste SD Data'!H2130="","",UPPER('Paste SD Data'!H2130))</f>
        <v/>
      </c>
      <c r="H2133" s="26" t="str">
        <f>IF('Paste SD Data'!I2130="","",IF('Paste SD Data'!I2130="M","BOY","GIRL"))</f>
        <v/>
      </c>
      <c r="I2133" s="28" t="str">
        <f>IF('Paste SD Data'!J2130="","",'Paste SD Data'!J2130)</f>
        <v/>
      </c>
      <c r="J2133" s="34">
        <f t="shared" si="33"/>
        <v>2559</v>
      </c>
      <c r="K2133" s="29" t="str">
        <f>IF('Paste SD Data'!O2130="","",'Paste SD Data'!O2130)</f>
        <v/>
      </c>
    </row>
    <row r="2134" spans="1:11" ht="30" customHeight="1" x14ac:dyDescent="0.25">
      <c r="A2134" s="25" t="str">
        <f>IF(Table1[[#This Row],[Name of Student]]="","",ROWS($A$1:A2130))</f>
        <v/>
      </c>
      <c r="B2134" s="26" t="str">
        <f>IF('Paste SD Data'!A2131="","",'Paste SD Data'!A2131)</f>
        <v/>
      </c>
      <c r="C2134" s="26" t="str">
        <f>IF('Paste SD Data'!B2131="","",'Paste SD Data'!B2131)</f>
        <v/>
      </c>
      <c r="D2134" s="26" t="str">
        <f>IF('Paste SD Data'!C2131="","",'Paste SD Data'!C2131)</f>
        <v/>
      </c>
      <c r="E2134" s="27" t="str">
        <f>IF('Paste SD Data'!E2131="","",UPPER('Paste SD Data'!E2131))</f>
        <v/>
      </c>
      <c r="F2134" s="27" t="str">
        <f>IF('Paste SD Data'!G2131="","",UPPER('Paste SD Data'!G2131))</f>
        <v/>
      </c>
      <c r="G2134" s="27" t="str">
        <f>IF('Paste SD Data'!H2131="","",UPPER('Paste SD Data'!H2131))</f>
        <v/>
      </c>
      <c r="H2134" s="26" t="str">
        <f>IF('Paste SD Data'!I2131="","",IF('Paste SD Data'!I2131="M","BOY","GIRL"))</f>
        <v/>
      </c>
      <c r="I2134" s="28" t="str">
        <f>IF('Paste SD Data'!J2131="","",'Paste SD Data'!J2131)</f>
        <v/>
      </c>
      <c r="J2134" s="34">
        <f t="shared" si="33"/>
        <v>2560</v>
      </c>
      <c r="K2134" s="29" t="str">
        <f>IF('Paste SD Data'!O2131="","",'Paste SD Data'!O2131)</f>
        <v/>
      </c>
    </row>
    <row r="2135" spans="1:11" ht="30" customHeight="1" x14ac:dyDescent="0.25">
      <c r="A2135" s="25" t="str">
        <f>IF(Table1[[#This Row],[Name of Student]]="","",ROWS($A$1:A2131))</f>
        <v/>
      </c>
      <c r="B2135" s="26" t="str">
        <f>IF('Paste SD Data'!A2132="","",'Paste SD Data'!A2132)</f>
        <v/>
      </c>
      <c r="C2135" s="26" t="str">
        <f>IF('Paste SD Data'!B2132="","",'Paste SD Data'!B2132)</f>
        <v/>
      </c>
      <c r="D2135" s="26" t="str">
        <f>IF('Paste SD Data'!C2132="","",'Paste SD Data'!C2132)</f>
        <v/>
      </c>
      <c r="E2135" s="27" t="str">
        <f>IF('Paste SD Data'!E2132="","",UPPER('Paste SD Data'!E2132))</f>
        <v/>
      </c>
      <c r="F2135" s="27" t="str">
        <f>IF('Paste SD Data'!G2132="","",UPPER('Paste SD Data'!G2132))</f>
        <v/>
      </c>
      <c r="G2135" s="27" t="str">
        <f>IF('Paste SD Data'!H2132="","",UPPER('Paste SD Data'!H2132))</f>
        <v/>
      </c>
      <c r="H2135" s="26" t="str">
        <f>IF('Paste SD Data'!I2132="","",IF('Paste SD Data'!I2132="M","BOY","GIRL"))</f>
        <v/>
      </c>
      <c r="I2135" s="28" t="str">
        <f>IF('Paste SD Data'!J2132="","",'Paste SD Data'!J2132)</f>
        <v/>
      </c>
      <c r="J2135" s="34">
        <f t="shared" si="33"/>
        <v>2561</v>
      </c>
      <c r="K2135" s="29" t="str">
        <f>IF('Paste SD Data'!O2132="","",'Paste SD Data'!O2132)</f>
        <v/>
      </c>
    </row>
    <row r="2136" spans="1:11" ht="30" customHeight="1" x14ac:dyDescent="0.25">
      <c r="A2136" s="25" t="str">
        <f>IF(Table1[[#This Row],[Name of Student]]="","",ROWS($A$1:A2132))</f>
        <v/>
      </c>
      <c r="B2136" s="26" t="str">
        <f>IF('Paste SD Data'!A2133="","",'Paste SD Data'!A2133)</f>
        <v/>
      </c>
      <c r="C2136" s="26" t="str">
        <f>IF('Paste SD Data'!B2133="","",'Paste SD Data'!B2133)</f>
        <v/>
      </c>
      <c r="D2136" s="26" t="str">
        <f>IF('Paste SD Data'!C2133="","",'Paste SD Data'!C2133)</f>
        <v/>
      </c>
      <c r="E2136" s="27" t="str">
        <f>IF('Paste SD Data'!E2133="","",UPPER('Paste SD Data'!E2133))</f>
        <v/>
      </c>
      <c r="F2136" s="27" t="str">
        <f>IF('Paste SD Data'!G2133="","",UPPER('Paste SD Data'!G2133))</f>
        <v/>
      </c>
      <c r="G2136" s="27" t="str">
        <f>IF('Paste SD Data'!H2133="","",UPPER('Paste SD Data'!H2133))</f>
        <v/>
      </c>
      <c r="H2136" s="26" t="str">
        <f>IF('Paste SD Data'!I2133="","",IF('Paste SD Data'!I2133="M","BOY","GIRL"))</f>
        <v/>
      </c>
      <c r="I2136" s="28" t="str">
        <f>IF('Paste SD Data'!J2133="","",'Paste SD Data'!J2133)</f>
        <v/>
      </c>
      <c r="J2136" s="34">
        <f t="shared" si="33"/>
        <v>2562</v>
      </c>
      <c r="K2136" s="29" t="str">
        <f>IF('Paste SD Data'!O2133="","",'Paste SD Data'!O2133)</f>
        <v/>
      </c>
    </row>
    <row r="2137" spans="1:11" ht="30" customHeight="1" x14ac:dyDescent="0.25">
      <c r="A2137" s="25" t="str">
        <f>IF(Table1[[#This Row],[Name of Student]]="","",ROWS($A$1:A2133))</f>
        <v/>
      </c>
      <c r="B2137" s="26" t="str">
        <f>IF('Paste SD Data'!A2134="","",'Paste SD Data'!A2134)</f>
        <v/>
      </c>
      <c r="C2137" s="26" t="str">
        <f>IF('Paste SD Data'!B2134="","",'Paste SD Data'!B2134)</f>
        <v/>
      </c>
      <c r="D2137" s="26" t="str">
        <f>IF('Paste SD Data'!C2134="","",'Paste SD Data'!C2134)</f>
        <v/>
      </c>
      <c r="E2137" s="27" t="str">
        <f>IF('Paste SD Data'!E2134="","",UPPER('Paste SD Data'!E2134))</f>
        <v/>
      </c>
      <c r="F2137" s="27" t="str">
        <f>IF('Paste SD Data'!G2134="","",UPPER('Paste SD Data'!G2134))</f>
        <v/>
      </c>
      <c r="G2137" s="27" t="str">
        <f>IF('Paste SD Data'!H2134="","",UPPER('Paste SD Data'!H2134))</f>
        <v/>
      </c>
      <c r="H2137" s="26" t="str">
        <f>IF('Paste SD Data'!I2134="","",IF('Paste SD Data'!I2134="M","BOY","GIRL"))</f>
        <v/>
      </c>
      <c r="I2137" s="28" t="str">
        <f>IF('Paste SD Data'!J2134="","",'Paste SD Data'!J2134)</f>
        <v/>
      </c>
      <c r="J2137" s="34">
        <f t="shared" si="33"/>
        <v>2563</v>
      </c>
      <c r="K2137" s="29" t="str">
        <f>IF('Paste SD Data'!O2134="","",'Paste SD Data'!O2134)</f>
        <v/>
      </c>
    </row>
    <row r="2138" spans="1:11" ht="30" customHeight="1" x14ac:dyDescent="0.25">
      <c r="A2138" s="25" t="str">
        <f>IF(Table1[[#This Row],[Name of Student]]="","",ROWS($A$1:A2134))</f>
        <v/>
      </c>
      <c r="B2138" s="26" t="str">
        <f>IF('Paste SD Data'!A2135="","",'Paste SD Data'!A2135)</f>
        <v/>
      </c>
      <c r="C2138" s="26" t="str">
        <f>IF('Paste SD Data'!B2135="","",'Paste SD Data'!B2135)</f>
        <v/>
      </c>
      <c r="D2138" s="26" t="str">
        <f>IF('Paste SD Data'!C2135="","",'Paste SD Data'!C2135)</f>
        <v/>
      </c>
      <c r="E2138" s="27" t="str">
        <f>IF('Paste SD Data'!E2135="","",UPPER('Paste SD Data'!E2135))</f>
        <v/>
      </c>
      <c r="F2138" s="27" t="str">
        <f>IF('Paste SD Data'!G2135="","",UPPER('Paste SD Data'!G2135))</f>
        <v/>
      </c>
      <c r="G2138" s="27" t="str">
        <f>IF('Paste SD Data'!H2135="","",UPPER('Paste SD Data'!H2135))</f>
        <v/>
      </c>
      <c r="H2138" s="26" t="str">
        <f>IF('Paste SD Data'!I2135="","",IF('Paste SD Data'!I2135="M","BOY","GIRL"))</f>
        <v/>
      </c>
      <c r="I2138" s="28" t="str">
        <f>IF('Paste SD Data'!J2135="","",'Paste SD Data'!J2135)</f>
        <v/>
      </c>
      <c r="J2138" s="34">
        <f t="shared" si="33"/>
        <v>2564</v>
      </c>
      <c r="K2138" s="29" t="str">
        <f>IF('Paste SD Data'!O2135="","",'Paste SD Data'!O2135)</f>
        <v/>
      </c>
    </row>
    <row r="2139" spans="1:11" ht="30" customHeight="1" x14ac:dyDescent="0.25">
      <c r="A2139" s="25" t="str">
        <f>IF(Table1[[#This Row],[Name of Student]]="","",ROWS($A$1:A2135))</f>
        <v/>
      </c>
      <c r="B2139" s="26" t="str">
        <f>IF('Paste SD Data'!A2136="","",'Paste SD Data'!A2136)</f>
        <v/>
      </c>
      <c r="C2139" s="26" t="str">
        <f>IF('Paste SD Data'!B2136="","",'Paste SD Data'!B2136)</f>
        <v/>
      </c>
      <c r="D2139" s="26" t="str">
        <f>IF('Paste SD Data'!C2136="","",'Paste SD Data'!C2136)</f>
        <v/>
      </c>
      <c r="E2139" s="27" t="str">
        <f>IF('Paste SD Data'!E2136="","",UPPER('Paste SD Data'!E2136))</f>
        <v/>
      </c>
      <c r="F2139" s="27" t="str">
        <f>IF('Paste SD Data'!G2136="","",UPPER('Paste SD Data'!G2136))</f>
        <v/>
      </c>
      <c r="G2139" s="27" t="str">
        <f>IF('Paste SD Data'!H2136="","",UPPER('Paste SD Data'!H2136))</f>
        <v/>
      </c>
      <c r="H2139" s="26" t="str">
        <f>IF('Paste SD Data'!I2136="","",IF('Paste SD Data'!I2136="M","BOY","GIRL"))</f>
        <v/>
      </c>
      <c r="I2139" s="28" t="str">
        <f>IF('Paste SD Data'!J2136="","",'Paste SD Data'!J2136)</f>
        <v/>
      </c>
      <c r="J2139" s="34">
        <f t="shared" si="33"/>
        <v>2565</v>
      </c>
      <c r="K2139" s="29" t="str">
        <f>IF('Paste SD Data'!O2136="","",'Paste SD Data'!O2136)</f>
        <v/>
      </c>
    </row>
    <row r="2140" spans="1:11" ht="30" customHeight="1" x14ac:dyDescent="0.25">
      <c r="A2140" s="25" t="str">
        <f>IF(Table1[[#This Row],[Name of Student]]="","",ROWS($A$1:A2136))</f>
        <v/>
      </c>
      <c r="B2140" s="26" t="str">
        <f>IF('Paste SD Data'!A2137="","",'Paste SD Data'!A2137)</f>
        <v/>
      </c>
      <c r="C2140" s="26" t="str">
        <f>IF('Paste SD Data'!B2137="","",'Paste SD Data'!B2137)</f>
        <v/>
      </c>
      <c r="D2140" s="26" t="str">
        <f>IF('Paste SD Data'!C2137="","",'Paste SD Data'!C2137)</f>
        <v/>
      </c>
      <c r="E2140" s="27" t="str">
        <f>IF('Paste SD Data'!E2137="","",UPPER('Paste SD Data'!E2137))</f>
        <v/>
      </c>
      <c r="F2140" s="27" t="str">
        <f>IF('Paste SD Data'!G2137="","",UPPER('Paste SD Data'!G2137))</f>
        <v/>
      </c>
      <c r="G2140" s="27" t="str">
        <f>IF('Paste SD Data'!H2137="","",UPPER('Paste SD Data'!H2137))</f>
        <v/>
      </c>
      <c r="H2140" s="26" t="str">
        <f>IF('Paste SD Data'!I2137="","",IF('Paste SD Data'!I2137="M","BOY","GIRL"))</f>
        <v/>
      </c>
      <c r="I2140" s="28" t="str">
        <f>IF('Paste SD Data'!J2137="","",'Paste SD Data'!J2137)</f>
        <v/>
      </c>
      <c r="J2140" s="34">
        <f t="shared" si="33"/>
        <v>2566</v>
      </c>
      <c r="K2140" s="29" t="str">
        <f>IF('Paste SD Data'!O2137="","",'Paste SD Data'!O2137)</f>
        <v/>
      </c>
    </row>
    <row r="2141" spans="1:11" ht="30" customHeight="1" x14ac:dyDescent="0.25">
      <c r="A2141" s="25" t="str">
        <f>IF(Table1[[#This Row],[Name of Student]]="","",ROWS($A$1:A2137))</f>
        <v/>
      </c>
      <c r="B2141" s="26" t="str">
        <f>IF('Paste SD Data'!A2138="","",'Paste SD Data'!A2138)</f>
        <v/>
      </c>
      <c r="C2141" s="26" t="str">
        <f>IF('Paste SD Data'!B2138="","",'Paste SD Data'!B2138)</f>
        <v/>
      </c>
      <c r="D2141" s="26" t="str">
        <f>IF('Paste SD Data'!C2138="","",'Paste SD Data'!C2138)</f>
        <v/>
      </c>
      <c r="E2141" s="27" t="str">
        <f>IF('Paste SD Data'!E2138="","",UPPER('Paste SD Data'!E2138))</f>
        <v/>
      </c>
      <c r="F2141" s="27" t="str">
        <f>IF('Paste SD Data'!G2138="","",UPPER('Paste SD Data'!G2138))</f>
        <v/>
      </c>
      <c r="G2141" s="27" t="str">
        <f>IF('Paste SD Data'!H2138="","",UPPER('Paste SD Data'!H2138))</f>
        <v/>
      </c>
      <c r="H2141" s="26" t="str">
        <f>IF('Paste SD Data'!I2138="","",IF('Paste SD Data'!I2138="M","BOY","GIRL"))</f>
        <v/>
      </c>
      <c r="I2141" s="28" t="str">
        <f>IF('Paste SD Data'!J2138="","",'Paste SD Data'!J2138)</f>
        <v/>
      </c>
      <c r="J2141" s="34">
        <f t="shared" si="33"/>
        <v>2567</v>
      </c>
      <c r="K2141" s="29" t="str">
        <f>IF('Paste SD Data'!O2138="","",'Paste SD Data'!O2138)</f>
        <v/>
      </c>
    </row>
    <row r="2142" spans="1:11" ht="30" customHeight="1" x14ac:dyDescent="0.25">
      <c r="A2142" s="25" t="str">
        <f>IF(Table1[[#This Row],[Name of Student]]="","",ROWS($A$1:A2138))</f>
        <v/>
      </c>
      <c r="B2142" s="26" t="str">
        <f>IF('Paste SD Data'!A2139="","",'Paste SD Data'!A2139)</f>
        <v/>
      </c>
      <c r="C2142" s="26" t="str">
        <f>IF('Paste SD Data'!B2139="","",'Paste SD Data'!B2139)</f>
        <v/>
      </c>
      <c r="D2142" s="26" t="str">
        <f>IF('Paste SD Data'!C2139="","",'Paste SD Data'!C2139)</f>
        <v/>
      </c>
      <c r="E2142" s="27" t="str">
        <f>IF('Paste SD Data'!E2139="","",UPPER('Paste SD Data'!E2139))</f>
        <v/>
      </c>
      <c r="F2142" s="27" t="str">
        <f>IF('Paste SD Data'!G2139="","",UPPER('Paste SD Data'!G2139))</f>
        <v/>
      </c>
      <c r="G2142" s="27" t="str">
        <f>IF('Paste SD Data'!H2139="","",UPPER('Paste SD Data'!H2139))</f>
        <v/>
      </c>
      <c r="H2142" s="26" t="str">
        <f>IF('Paste SD Data'!I2139="","",IF('Paste SD Data'!I2139="M","BOY","GIRL"))</f>
        <v/>
      </c>
      <c r="I2142" s="28" t="str">
        <f>IF('Paste SD Data'!J2139="","",'Paste SD Data'!J2139)</f>
        <v/>
      </c>
      <c r="J2142" s="34">
        <f t="shared" si="33"/>
        <v>2568</v>
      </c>
      <c r="K2142" s="29" t="str">
        <f>IF('Paste SD Data'!O2139="","",'Paste SD Data'!O2139)</f>
        <v/>
      </c>
    </row>
    <row r="2143" spans="1:11" ht="30" customHeight="1" x14ac:dyDescent="0.25">
      <c r="A2143" s="25" t="str">
        <f>IF(Table1[[#This Row],[Name of Student]]="","",ROWS($A$1:A2139))</f>
        <v/>
      </c>
      <c r="B2143" s="26" t="str">
        <f>IF('Paste SD Data'!A2140="","",'Paste SD Data'!A2140)</f>
        <v/>
      </c>
      <c r="C2143" s="26" t="str">
        <f>IF('Paste SD Data'!B2140="","",'Paste SD Data'!B2140)</f>
        <v/>
      </c>
      <c r="D2143" s="26" t="str">
        <f>IF('Paste SD Data'!C2140="","",'Paste SD Data'!C2140)</f>
        <v/>
      </c>
      <c r="E2143" s="27" t="str">
        <f>IF('Paste SD Data'!E2140="","",UPPER('Paste SD Data'!E2140))</f>
        <v/>
      </c>
      <c r="F2143" s="27" t="str">
        <f>IF('Paste SD Data'!G2140="","",UPPER('Paste SD Data'!G2140))</f>
        <v/>
      </c>
      <c r="G2143" s="27" t="str">
        <f>IF('Paste SD Data'!H2140="","",UPPER('Paste SD Data'!H2140))</f>
        <v/>
      </c>
      <c r="H2143" s="26" t="str">
        <f>IF('Paste SD Data'!I2140="","",IF('Paste SD Data'!I2140="M","BOY","GIRL"))</f>
        <v/>
      </c>
      <c r="I2143" s="28" t="str">
        <f>IF('Paste SD Data'!J2140="","",'Paste SD Data'!J2140)</f>
        <v/>
      </c>
      <c r="J2143" s="34">
        <f t="shared" si="33"/>
        <v>2569</v>
      </c>
      <c r="K2143" s="29" t="str">
        <f>IF('Paste SD Data'!O2140="","",'Paste SD Data'!O2140)</f>
        <v/>
      </c>
    </row>
    <row r="2144" spans="1:11" ht="30" customHeight="1" x14ac:dyDescent="0.25">
      <c r="A2144" s="25" t="str">
        <f>IF(Table1[[#This Row],[Name of Student]]="","",ROWS($A$1:A2140))</f>
        <v/>
      </c>
      <c r="B2144" s="26" t="str">
        <f>IF('Paste SD Data'!A2141="","",'Paste SD Data'!A2141)</f>
        <v/>
      </c>
      <c r="C2144" s="26" t="str">
        <f>IF('Paste SD Data'!B2141="","",'Paste SD Data'!B2141)</f>
        <v/>
      </c>
      <c r="D2144" s="26" t="str">
        <f>IF('Paste SD Data'!C2141="","",'Paste SD Data'!C2141)</f>
        <v/>
      </c>
      <c r="E2144" s="27" t="str">
        <f>IF('Paste SD Data'!E2141="","",UPPER('Paste SD Data'!E2141))</f>
        <v/>
      </c>
      <c r="F2144" s="27" t="str">
        <f>IF('Paste SD Data'!G2141="","",UPPER('Paste SD Data'!G2141))</f>
        <v/>
      </c>
      <c r="G2144" s="27" t="str">
        <f>IF('Paste SD Data'!H2141="","",UPPER('Paste SD Data'!H2141))</f>
        <v/>
      </c>
      <c r="H2144" s="26" t="str">
        <f>IF('Paste SD Data'!I2141="","",IF('Paste SD Data'!I2141="M","BOY","GIRL"))</f>
        <v/>
      </c>
      <c r="I2144" s="28" t="str">
        <f>IF('Paste SD Data'!J2141="","",'Paste SD Data'!J2141)</f>
        <v/>
      </c>
      <c r="J2144" s="34">
        <f t="shared" si="33"/>
        <v>2570</v>
      </c>
      <c r="K2144" s="29" t="str">
        <f>IF('Paste SD Data'!O2141="","",'Paste SD Data'!O2141)</f>
        <v/>
      </c>
    </row>
    <row r="2145" spans="1:11" ht="30" customHeight="1" x14ac:dyDescent="0.25">
      <c r="A2145" s="25" t="str">
        <f>IF(Table1[[#This Row],[Name of Student]]="","",ROWS($A$1:A2141))</f>
        <v/>
      </c>
      <c r="B2145" s="26" t="str">
        <f>IF('Paste SD Data'!A2142="","",'Paste SD Data'!A2142)</f>
        <v/>
      </c>
      <c r="C2145" s="26" t="str">
        <f>IF('Paste SD Data'!B2142="","",'Paste SD Data'!B2142)</f>
        <v/>
      </c>
      <c r="D2145" s="26" t="str">
        <f>IF('Paste SD Data'!C2142="","",'Paste SD Data'!C2142)</f>
        <v/>
      </c>
      <c r="E2145" s="27" t="str">
        <f>IF('Paste SD Data'!E2142="","",UPPER('Paste SD Data'!E2142))</f>
        <v/>
      </c>
      <c r="F2145" s="27" t="str">
        <f>IF('Paste SD Data'!G2142="","",UPPER('Paste SD Data'!G2142))</f>
        <v/>
      </c>
      <c r="G2145" s="27" t="str">
        <f>IF('Paste SD Data'!H2142="","",UPPER('Paste SD Data'!H2142))</f>
        <v/>
      </c>
      <c r="H2145" s="26" t="str">
        <f>IF('Paste SD Data'!I2142="","",IF('Paste SD Data'!I2142="M","BOY","GIRL"))</f>
        <v/>
      </c>
      <c r="I2145" s="28" t="str">
        <f>IF('Paste SD Data'!J2142="","",'Paste SD Data'!J2142)</f>
        <v/>
      </c>
      <c r="J2145" s="34">
        <f t="shared" si="33"/>
        <v>2571</v>
      </c>
      <c r="K2145" s="29" t="str">
        <f>IF('Paste SD Data'!O2142="","",'Paste SD Data'!O2142)</f>
        <v/>
      </c>
    </row>
    <row r="2146" spans="1:11" ht="30" customHeight="1" x14ac:dyDescent="0.25">
      <c r="A2146" s="25" t="str">
        <f>IF(Table1[[#This Row],[Name of Student]]="","",ROWS($A$1:A2142))</f>
        <v/>
      </c>
      <c r="B2146" s="26" t="str">
        <f>IF('Paste SD Data'!A2143="","",'Paste SD Data'!A2143)</f>
        <v/>
      </c>
      <c r="C2146" s="26" t="str">
        <f>IF('Paste SD Data'!B2143="","",'Paste SD Data'!B2143)</f>
        <v/>
      </c>
      <c r="D2146" s="26" t="str">
        <f>IF('Paste SD Data'!C2143="","",'Paste SD Data'!C2143)</f>
        <v/>
      </c>
      <c r="E2146" s="27" t="str">
        <f>IF('Paste SD Data'!E2143="","",UPPER('Paste SD Data'!E2143))</f>
        <v/>
      </c>
      <c r="F2146" s="27" t="str">
        <f>IF('Paste SD Data'!G2143="","",UPPER('Paste SD Data'!G2143))</f>
        <v/>
      </c>
      <c r="G2146" s="27" t="str">
        <f>IF('Paste SD Data'!H2143="","",UPPER('Paste SD Data'!H2143))</f>
        <v/>
      </c>
      <c r="H2146" s="26" t="str">
        <f>IF('Paste SD Data'!I2143="","",IF('Paste SD Data'!I2143="M","BOY","GIRL"))</f>
        <v/>
      </c>
      <c r="I2146" s="28" t="str">
        <f>IF('Paste SD Data'!J2143="","",'Paste SD Data'!J2143)</f>
        <v/>
      </c>
      <c r="J2146" s="34">
        <f t="shared" si="33"/>
        <v>2572</v>
      </c>
      <c r="K2146" s="29" t="str">
        <f>IF('Paste SD Data'!O2143="","",'Paste SD Data'!O2143)</f>
        <v/>
      </c>
    </row>
    <row r="2147" spans="1:11" ht="30" customHeight="1" x14ac:dyDescent="0.25">
      <c r="A2147" s="25" t="str">
        <f>IF(Table1[[#This Row],[Name of Student]]="","",ROWS($A$1:A2143))</f>
        <v/>
      </c>
      <c r="B2147" s="26" t="str">
        <f>IF('Paste SD Data'!A2144="","",'Paste SD Data'!A2144)</f>
        <v/>
      </c>
      <c r="C2147" s="26" t="str">
        <f>IF('Paste SD Data'!B2144="","",'Paste SD Data'!B2144)</f>
        <v/>
      </c>
      <c r="D2147" s="26" t="str">
        <f>IF('Paste SD Data'!C2144="","",'Paste SD Data'!C2144)</f>
        <v/>
      </c>
      <c r="E2147" s="27" t="str">
        <f>IF('Paste SD Data'!E2144="","",UPPER('Paste SD Data'!E2144))</f>
        <v/>
      </c>
      <c r="F2147" s="27" t="str">
        <f>IF('Paste SD Data'!G2144="","",UPPER('Paste SD Data'!G2144))</f>
        <v/>
      </c>
      <c r="G2147" s="27" t="str">
        <f>IF('Paste SD Data'!H2144="","",UPPER('Paste SD Data'!H2144))</f>
        <v/>
      </c>
      <c r="H2147" s="26" t="str">
        <f>IF('Paste SD Data'!I2144="","",IF('Paste SD Data'!I2144="M","BOY","GIRL"))</f>
        <v/>
      </c>
      <c r="I2147" s="28" t="str">
        <f>IF('Paste SD Data'!J2144="","",'Paste SD Data'!J2144)</f>
        <v/>
      </c>
      <c r="J2147" s="34">
        <f t="shared" si="33"/>
        <v>2573</v>
      </c>
      <c r="K2147" s="29" t="str">
        <f>IF('Paste SD Data'!O2144="","",'Paste SD Data'!O2144)</f>
        <v/>
      </c>
    </row>
    <row r="2148" spans="1:11" ht="30" customHeight="1" x14ac:dyDescent="0.25">
      <c r="A2148" s="25" t="str">
        <f>IF(Table1[[#This Row],[Name of Student]]="","",ROWS($A$1:A2144))</f>
        <v/>
      </c>
      <c r="B2148" s="26" t="str">
        <f>IF('Paste SD Data'!A2145="","",'Paste SD Data'!A2145)</f>
        <v/>
      </c>
      <c r="C2148" s="26" t="str">
        <f>IF('Paste SD Data'!B2145="","",'Paste SD Data'!B2145)</f>
        <v/>
      </c>
      <c r="D2148" s="26" t="str">
        <f>IF('Paste SD Data'!C2145="","",'Paste SD Data'!C2145)</f>
        <v/>
      </c>
      <c r="E2148" s="27" t="str">
        <f>IF('Paste SD Data'!E2145="","",UPPER('Paste SD Data'!E2145))</f>
        <v/>
      </c>
      <c r="F2148" s="27" t="str">
        <f>IF('Paste SD Data'!G2145="","",UPPER('Paste SD Data'!G2145))</f>
        <v/>
      </c>
      <c r="G2148" s="27" t="str">
        <f>IF('Paste SD Data'!H2145="","",UPPER('Paste SD Data'!H2145))</f>
        <v/>
      </c>
      <c r="H2148" s="26" t="str">
        <f>IF('Paste SD Data'!I2145="","",IF('Paste SD Data'!I2145="M","BOY","GIRL"))</f>
        <v/>
      </c>
      <c r="I2148" s="28" t="str">
        <f>IF('Paste SD Data'!J2145="","",'Paste SD Data'!J2145)</f>
        <v/>
      </c>
      <c r="J2148" s="34">
        <f t="shared" si="33"/>
        <v>2574</v>
      </c>
      <c r="K2148" s="29" t="str">
        <f>IF('Paste SD Data'!O2145="","",'Paste SD Data'!O2145)</f>
        <v/>
      </c>
    </row>
    <row r="2149" spans="1:11" ht="30" customHeight="1" x14ac:dyDescent="0.25">
      <c r="A2149" s="25" t="str">
        <f>IF(Table1[[#This Row],[Name of Student]]="","",ROWS($A$1:A2145))</f>
        <v/>
      </c>
      <c r="B2149" s="26" t="str">
        <f>IF('Paste SD Data'!A2146="","",'Paste SD Data'!A2146)</f>
        <v/>
      </c>
      <c r="C2149" s="26" t="str">
        <f>IF('Paste SD Data'!B2146="","",'Paste SD Data'!B2146)</f>
        <v/>
      </c>
      <c r="D2149" s="26" t="str">
        <f>IF('Paste SD Data'!C2146="","",'Paste SD Data'!C2146)</f>
        <v/>
      </c>
      <c r="E2149" s="27" t="str">
        <f>IF('Paste SD Data'!E2146="","",UPPER('Paste SD Data'!E2146))</f>
        <v/>
      </c>
      <c r="F2149" s="27" t="str">
        <f>IF('Paste SD Data'!G2146="","",UPPER('Paste SD Data'!G2146))</f>
        <v/>
      </c>
      <c r="G2149" s="27" t="str">
        <f>IF('Paste SD Data'!H2146="","",UPPER('Paste SD Data'!H2146))</f>
        <v/>
      </c>
      <c r="H2149" s="26" t="str">
        <f>IF('Paste SD Data'!I2146="","",IF('Paste SD Data'!I2146="M","BOY","GIRL"))</f>
        <v/>
      </c>
      <c r="I2149" s="28" t="str">
        <f>IF('Paste SD Data'!J2146="","",'Paste SD Data'!J2146)</f>
        <v/>
      </c>
      <c r="J2149" s="34">
        <f t="shared" si="33"/>
        <v>2575</v>
      </c>
      <c r="K2149" s="29" t="str">
        <f>IF('Paste SD Data'!O2146="","",'Paste SD Data'!O2146)</f>
        <v/>
      </c>
    </row>
    <row r="2150" spans="1:11" ht="30" customHeight="1" x14ac:dyDescent="0.25">
      <c r="A2150" s="25" t="str">
        <f>IF(Table1[[#This Row],[Name of Student]]="","",ROWS($A$1:A2146))</f>
        <v/>
      </c>
      <c r="B2150" s="26" t="str">
        <f>IF('Paste SD Data'!A2147="","",'Paste SD Data'!A2147)</f>
        <v/>
      </c>
      <c r="C2150" s="26" t="str">
        <f>IF('Paste SD Data'!B2147="","",'Paste SD Data'!B2147)</f>
        <v/>
      </c>
      <c r="D2150" s="26" t="str">
        <f>IF('Paste SD Data'!C2147="","",'Paste SD Data'!C2147)</f>
        <v/>
      </c>
      <c r="E2150" s="27" t="str">
        <f>IF('Paste SD Data'!E2147="","",UPPER('Paste SD Data'!E2147))</f>
        <v/>
      </c>
      <c r="F2150" s="27" t="str">
        <f>IF('Paste SD Data'!G2147="","",UPPER('Paste SD Data'!G2147))</f>
        <v/>
      </c>
      <c r="G2150" s="27" t="str">
        <f>IF('Paste SD Data'!H2147="","",UPPER('Paste SD Data'!H2147))</f>
        <v/>
      </c>
      <c r="H2150" s="26" t="str">
        <f>IF('Paste SD Data'!I2147="","",IF('Paste SD Data'!I2147="M","BOY","GIRL"))</f>
        <v/>
      </c>
      <c r="I2150" s="28" t="str">
        <f>IF('Paste SD Data'!J2147="","",'Paste SD Data'!J2147)</f>
        <v/>
      </c>
      <c r="J2150" s="34">
        <f t="shared" si="33"/>
        <v>2576</v>
      </c>
      <c r="K2150" s="29" t="str">
        <f>IF('Paste SD Data'!O2147="","",'Paste SD Data'!O2147)</f>
        <v/>
      </c>
    </row>
    <row r="2151" spans="1:11" ht="30" customHeight="1" x14ac:dyDescent="0.25">
      <c r="A2151" s="25" t="str">
        <f>IF(Table1[[#This Row],[Name of Student]]="","",ROWS($A$1:A2147))</f>
        <v/>
      </c>
      <c r="B2151" s="26" t="str">
        <f>IF('Paste SD Data'!A2148="","",'Paste SD Data'!A2148)</f>
        <v/>
      </c>
      <c r="C2151" s="26" t="str">
        <f>IF('Paste SD Data'!B2148="","",'Paste SD Data'!B2148)</f>
        <v/>
      </c>
      <c r="D2151" s="26" t="str">
        <f>IF('Paste SD Data'!C2148="","",'Paste SD Data'!C2148)</f>
        <v/>
      </c>
      <c r="E2151" s="27" t="str">
        <f>IF('Paste SD Data'!E2148="","",UPPER('Paste SD Data'!E2148))</f>
        <v/>
      </c>
      <c r="F2151" s="27" t="str">
        <f>IF('Paste SD Data'!G2148="","",UPPER('Paste SD Data'!G2148))</f>
        <v/>
      </c>
      <c r="G2151" s="27" t="str">
        <f>IF('Paste SD Data'!H2148="","",UPPER('Paste SD Data'!H2148))</f>
        <v/>
      </c>
      <c r="H2151" s="26" t="str">
        <f>IF('Paste SD Data'!I2148="","",IF('Paste SD Data'!I2148="M","BOY","GIRL"))</f>
        <v/>
      </c>
      <c r="I2151" s="28" t="str">
        <f>IF('Paste SD Data'!J2148="","",'Paste SD Data'!J2148)</f>
        <v/>
      </c>
      <c r="J2151" s="34">
        <f t="shared" si="33"/>
        <v>2577</v>
      </c>
      <c r="K2151" s="29" t="str">
        <f>IF('Paste SD Data'!O2148="","",'Paste SD Data'!O2148)</f>
        <v/>
      </c>
    </row>
    <row r="2152" spans="1:11" ht="30" customHeight="1" x14ac:dyDescent="0.25">
      <c r="A2152" s="25" t="str">
        <f>IF(Table1[[#This Row],[Name of Student]]="","",ROWS($A$1:A2148))</f>
        <v/>
      </c>
      <c r="B2152" s="26" t="str">
        <f>IF('Paste SD Data'!A2149="","",'Paste SD Data'!A2149)</f>
        <v/>
      </c>
      <c r="C2152" s="26" t="str">
        <f>IF('Paste SD Data'!B2149="","",'Paste SD Data'!B2149)</f>
        <v/>
      </c>
      <c r="D2152" s="26" t="str">
        <f>IF('Paste SD Data'!C2149="","",'Paste SD Data'!C2149)</f>
        <v/>
      </c>
      <c r="E2152" s="27" t="str">
        <f>IF('Paste SD Data'!E2149="","",UPPER('Paste SD Data'!E2149))</f>
        <v/>
      </c>
      <c r="F2152" s="27" t="str">
        <f>IF('Paste SD Data'!G2149="","",UPPER('Paste SD Data'!G2149))</f>
        <v/>
      </c>
      <c r="G2152" s="27" t="str">
        <f>IF('Paste SD Data'!H2149="","",UPPER('Paste SD Data'!H2149))</f>
        <v/>
      </c>
      <c r="H2152" s="26" t="str">
        <f>IF('Paste SD Data'!I2149="","",IF('Paste SD Data'!I2149="M","BOY","GIRL"))</f>
        <v/>
      </c>
      <c r="I2152" s="28" t="str">
        <f>IF('Paste SD Data'!J2149="","",'Paste SD Data'!J2149)</f>
        <v/>
      </c>
      <c r="J2152" s="34">
        <f t="shared" si="33"/>
        <v>2578</v>
      </c>
      <c r="K2152" s="29" t="str">
        <f>IF('Paste SD Data'!O2149="","",'Paste SD Data'!O2149)</f>
        <v/>
      </c>
    </row>
    <row r="2153" spans="1:11" ht="30" customHeight="1" x14ac:dyDescent="0.25">
      <c r="A2153" s="25" t="str">
        <f>IF(Table1[[#This Row],[Name of Student]]="","",ROWS($A$1:A2149))</f>
        <v/>
      </c>
      <c r="B2153" s="26" t="str">
        <f>IF('Paste SD Data'!A2150="","",'Paste SD Data'!A2150)</f>
        <v/>
      </c>
      <c r="C2153" s="26" t="str">
        <f>IF('Paste SD Data'!B2150="","",'Paste SD Data'!B2150)</f>
        <v/>
      </c>
      <c r="D2153" s="26" t="str">
        <f>IF('Paste SD Data'!C2150="","",'Paste SD Data'!C2150)</f>
        <v/>
      </c>
      <c r="E2153" s="27" t="str">
        <f>IF('Paste SD Data'!E2150="","",UPPER('Paste SD Data'!E2150))</f>
        <v/>
      </c>
      <c r="F2153" s="27" t="str">
        <f>IF('Paste SD Data'!G2150="","",UPPER('Paste SD Data'!G2150))</f>
        <v/>
      </c>
      <c r="G2153" s="27" t="str">
        <f>IF('Paste SD Data'!H2150="","",UPPER('Paste SD Data'!H2150))</f>
        <v/>
      </c>
      <c r="H2153" s="26" t="str">
        <f>IF('Paste SD Data'!I2150="","",IF('Paste SD Data'!I2150="M","BOY","GIRL"))</f>
        <v/>
      </c>
      <c r="I2153" s="28" t="str">
        <f>IF('Paste SD Data'!J2150="","",'Paste SD Data'!J2150)</f>
        <v/>
      </c>
      <c r="J2153" s="34">
        <f t="shared" si="33"/>
        <v>2579</v>
      </c>
      <c r="K2153" s="29" t="str">
        <f>IF('Paste SD Data'!O2150="","",'Paste SD Data'!O2150)</f>
        <v/>
      </c>
    </row>
    <row r="2154" spans="1:11" ht="30" customHeight="1" x14ac:dyDescent="0.25">
      <c r="A2154" s="25" t="str">
        <f>IF(Table1[[#This Row],[Name of Student]]="","",ROWS($A$1:A2150))</f>
        <v/>
      </c>
      <c r="B2154" s="26" t="str">
        <f>IF('Paste SD Data'!A2151="","",'Paste SD Data'!A2151)</f>
        <v/>
      </c>
      <c r="C2154" s="26" t="str">
        <f>IF('Paste SD Data'!B2151="","",'Paste SD Data'!B2151)</f>
        <v/>
      </c>
      <c r="D2154" s="26" t="str">
        <f>IF('Paste SD Data'!C2151="","",'Paste SD Data'!C2151)</f>
        <v/>
      </c>
      <c r="E2154" s="27" t="str">
        <f>IF('Paste SD Data'!E2151="","",UPPER('Paste SD Data'!E2151))</f>
        <v/>
      </c>
      <c r="F2154" s="27" t="str">
        <f>IF('Paste SD Data'!G2151="","",UPPER('Paste SD Data'!G2151))</f>
        <v/>
      </c>
      <c r="G2154" s="27" t="str">
        <f>IF('Paste SD Data'!H2151="","",UPPER('Paste SD Data'!H2151))</f>
        <v/>
      </c>
      <c r="H2154" s="26" t="str">
        <f>IF('Paste SD Data'!I2151="","",IF('Paste SD Data'!I2151="M","BOY","GIRL"))</f>
        <v/>
      </c>
      <c r="I2154" s="28" t="str">
        <f>IF('Paste SD Data'!J2151="","",'Paste SD Data'!J2151)</f>
        <v/>
      </c>
      <c r="J2154" s="34">
        <f t="shared" si="33"/>
        <v>2580</v>
      </c>
      <c r="K2154" s="29" t="str">
        <f>IF('Paste SD Data'!O2151="","",'Paste SD Data'!O2151)</f>
        <v/>
      </c>
    </row>
    <row r="2155" spans="1:11" ht="30" customHeight="1" x14ac:dyDescent="0.25">
      <c r="A2155" s="25" t="str">
        <f>IF(Table1[[#This Row],[Name of Student]]="","",ROWS($A$1:A2151))</f>
        <v/>
      </c>
      <c r="B2155" s="26" t="str">
        <f>IF('Paste SD Data'!A2152="","",'Paste SD Data'!A2152)</f>
        <v/>
      </c>
      <c r="C2155" s="26" t="str">
        <f>IF('Paste SD Data'!B2152="","",'Paste SD Data'!B2152)</f>
        <v/>
      </c>
      <c r="D2155" s="26" t="str">
        <f>IF('Paste SD Data'!C2152="","",'Paste SD Data'!C2152)</f>
        <v/>
      </c>
      <c r="E2155" s="27" t="str">
        <f>IF('Paste SD Data'!E2152="","",UPPER('Paste SD Data'!E2152))</f>
        <v/>
      </c>
      <c r="F2155" s="27" t="str">
        <f>IF('Paste SD Data'!G2152="","",UPPER('Paste SD Data'!G2152))</f>
        <v/>
      </c>
      <c r="G2155" s="27" t="str">
        <f>IF('Paste SD Data'!H2152="","",UPPER('Paste SD Data'!H2152))</f>
        <v/>
      </c>
      <c r="H2155" s="26" t="str">
        <f>IF('Paste SD Data'!I2152="","",IF('Paste SD Data'!I2152="M","BOY","GIRL"))</f>
        <v/>
      </c>
      <c r="I2155" s="28" t="str">
        <f>IF('Paste SD Data'!J2152="","",'Paste SD Data'!J2152)</f>
        <v/>
      </c>
      <c r="J2155" s="34">
        <f t="shared" si="33"/>
        <v>2581</v>
      </c>
      <c r="K2155" s="29" t="str">
        <f>IF('Paste SD Data'!O2152="","",'Paste SD Data'!O2152)</f>
        <v/>
      </c>
    </row>
    <row r="2156" spans="1:11" ht="30" customHeight="1" x14ac:dyDescent="0.25">
      <c r="A2156" s="25" t="str">
        <f>IF(Table1[[#This Row],[Name of Student]]="","",ROWS($A$1:A2152))</f>
        <v/>
      </c>
      <c r="B2156" s="26" t="str">
        <f>IF('Paste SD Data'!A2153="","",'Paste SD Data'!A2153)</f>
        <v/>
      </c>
      <c r="C2156" s="26" t="str">
        <f>IF('Paste SD Data'!B2153="","",'Paste SD Data'!B2153)</f>
        <v/>
      </c>
      <c r="D2156" s="26" t="str">
        <f>IF('Paste SD Data'!C2153="","",'Paste SD Data'!C2153)</f>
        <v/>
      </c>
      <c r="E2156" s="27" t="str">
        <f>IF('Paste SD Data'!E2153="","",UPPER('Paste SD Data'!E2153))</f>
        <v/>
      </c>
      <c r="F2156" s="27" t="str">
        <f>IF('Paste SD Data'!G2153="","",UPPER('Paste SD Data'!G2153))</f>
        <v/>
      </c>
      <c r="G2156" s="27" t="str">
        <f>IF('Paste SD Data'!H2153="","",UPPER('Paste SD Data'!H2153))</f>
        <v/>
      </c>
      <c r="H2156" s="26" t="str">
        <f>IF('Paste SD Data'!I2153="","",IF('Paste SD Data'!I2153="M","BOY","GIRL"))</f>
        <v/>
      </c>
      <c r="I2156" s="28" t="str">
        <f>IF('Paste SD Data'!J2153="","",'Paste SD Data'!J2153)</f>
        <v/>
      </c>
      <c r="J2156" s="34">
        <f t="shared" si="33"/>
        <v>2582</v>
      </c>
      <c r="K2156" s="29" t="str">
        <f>IF('Paste SD Data'!O2153="","",'Paste SD Data'!O2153)</f>
        <v/>
      </c>
    </row>
    <row r="2157" spans="1:11" ht="30" customHeight="1" x14ac:dyDescent="0.25">
      <c r="A2157" s="25" t="str">
        <f>IF(Table1[[#This Row],[Name of Student]]="","",ROWS($A$1:A2153))</f>
        <v/>
      </c>
      <c r="B2157" s="26" t="str">
        <f>IF('Paste SD Data'!A2154="","",'Paste SD Data'!A2154)</f>
        <v/>
      </c>
      <c r="C2157" s="26" t="str">
        <f>IF('Paste SD Data'!B2154="","",'Paste SD Data'!B2154)</f>
        <v/>
      </c>
      <c r="D2157" s="26" t="str">
        <f>IF('Paste SD Data'!C2154="","",'Paste SD Data'!C2154)</f>
        <v/>
      </c>
      <c r="E2157" s="27" t="str">
        <f>IF('Paste SD Data'!E2154="","",UPPER('Paste SD Data'!E2154))</f>
        <v/>
      </c>
      <c r="F2157" s="27" t="str">
        <f>IF('Paste SD Data'!G2154="","",UPPER('Paste SD Data'!G2154))</f>
        <v/>
      </c>
      <c r="G2157" s="27" t="str">
        <f>IF('Paste SD Data'!H2154="","",UPPER('Paste SD Data'!H2154))</f>
        <v/>
      </c>
      <c r="H2157" s="26" t="str">
        <f>IF('Paste SD Data'!I2154="","",IF('Paste SD Data'!I2154="M","BOY","GIRL"))</f>
        <v/>
      </c>
      <c r="I2157" s="28" t="str">
        <f>IF('Paste SD Data'!J2154="","",'Paste SD Data'!J2154)</f>
        <v/>
      </c>
      <c r="J2157" s="34">
        <f t="shared" si="33"/>
        <v>2583</v>
      </c>
      <c r="K2157" s="29" t="str">
        <f>IF('Paste SD Data'!O2154="","",'Paste SD Data'!O2154)</f>
        <v/>
      </c>
    </row>
    <row r="2158" spans="1:11" ht="30" customHeight="1" x14ac:dyDescent="0.25">
      <c r="A2158" s="25" t="str">
        <f>IF(Table1[[#This Row],[Name of Student]]="","",ROWS($A$1:A2154))</f>
        <v/>
      </c>
      <c r="B2158" s="26" t="str">
        <f>IF('Paste SD Data'!A2155="","",'Paste SD Data'!A2155)</f>
        <v/>
      </c>
      <c r="C2158" s="26" t="str">
        <f>IF('Paste SD Data'!B2155="","",'Paste SD Data'!B2155)</f>
        <v/>
      </c>
      <c r="D2158" s="26" t="str">
        <f>IF('Paste SD Data'!C2155="","",'Paste SD Data'!C2155)</f>
        <v/>
      </c>
      <c r="E2158" s="27" t="str">
        <f>IF('Paste SD Data'!E2155="","",UPPER('Paste SD Data'!E2155))</f>
        <v/>
      </c>
      <c r="F2158" s="27" t="str">
        <f>IF('Paste SD Data'!G2155="","",UPPER('Paste SD Data'!G2155))</f>
        <v/>
      </c>
      <c r="G2158" s="27" t="str">
        <f>IF('Paste SD Data'!H2155="","",UPPER('Paste SD Data'!H2155))</f>
        <v/>
      </c>
      <c r="H2158" s="26" t="str">
        <f>IF('Paste SD Data'!I2155="","",IF('Paste SD Data'!I2155="M","BOY","GIRL"))</f>
        <v/>
      </c>
      <c r="I2158" s="28" t="str">
        <f>IF('Paste SD Data'!J2155="","",'Paste SD Data'!J2155)</f>
        <v/>
      </c>
      <c r="J2158" s="34">
        <f t="shared" si="33"/>
        <v>2584</v>
      </c>
      <c r="K2158" s="29" t="str">
        <f>IF('Paste SD Data'!O2155="","",'Paste SD Data'!O2155)</f>
        <v/>
      </c>
    </row>
    <row r="2159" spans="1:11" ht="30" customHeight="1" x14ac:dyDescent="0.25">
      <c r="A2159" s="25" t="str">
        <f>IF(Table1[[#This Row],[Name of Student]]="","",ROWS($A$1:A2155))</f>
        <v/>
      </c>
      <c r="B2159" s="26" t="str">
        <f>IF('Paste SD Data'!A2156="","",'Paste SD Data'!A2156)</f>
        <v/>
      </c>
      <c r="C2159" s="26" t="str">
        <f>IF('Paste SD Data'!B2156="","",'Paste SD Data'!B2156)</f>
        <v/>
      </c>
      <c r="D2159" s="26" t="str">
        <f>IF('Paste SD Data'!C2156="","",'Paste SD Data'!C2156)</f>
        <v/>
      </c>
      <c r="E2159" s="27" t="str">
        <f>IF('Paste SD Data'!E2156="","",UPPER('Paste SD Data'!E2156))</f>
        <v/>
      </c>
      <c r="F2159" s="27" t="str">
        <f>IF('Paste SD Data'!G2156="","",UPPER('Paste SD Data'!G2156))</f>
        <v/>
      </c>
      <c r="G2159" s="27" t="str">
        <f>IF('Paste SD Data'!H2156="","",UPPER('Paste SD Data'!H2156))</f>
        <v/>
      </c>
      <c r="H2159" s="26" t="str">
        <f>IF('Paste SD Data'!I2156="","",IF('Paste SD Data'!I2156="M","BOY","GIRL"))</f>
        <v/>
      </c>
      <c r="I2159" s="28" t="str">
        <f>IF('Paste SD Data'!J2156="","",'Paste SD Data'!J2156)</f>
        <v/>
      </c>
      <c r="J2159" s="34">
        <f t="shared" si="33"/>
        <v>2585</v>
      </c>
      <c r="K2159" s="29" t="str">
        <f>IF('Paste SD Data'!O2156="","",'Paste SD Data'!O2156)</f>
        <v/>
      </c>
    </row>
    <row r="2160" spans="1:11" ht="30" customHeight="1" x14ac:dyDescent="0.25">
      <c r="A2160" s="25" t="str">
        <f>IF(Table1[[#This Row],[Name of Student]]="","",ROWS($A$1:A2156))</f>
        <v/>
      </c>
      <c r="B2160" s="26" t="str">
        <f>IF('Paste SD Data'!A2157="","",'Paste SD Data'!A2157)</f>
        <v/>
      </c>
      <c r="C2160" s="26" t="str">
        <f>IF('Paste SD Data'!B2157="","",'Paste SD Data'!B2157)</f>
        <v/>
      </c>
      <c r="D2160" s="26" t="str">
        <f>IF('Paste SD Data'!C2157="","",'Paste SD Data'!C2157)</f>
        <v/>
      </c>
      <c r="E2160" s="27" t="str">
        <f>IF('Paste SD Data'!E2157="","",UPPER('Paste SD Data'!E2157))</f>
        <v/>
      </c>
      <c r="F2160" s="27" t="str">
        <f>IF('Paste SD Data'!G2157="","",UPPER('Paste SD Data'!G2157))</f>
        <v/>
      </c>
      <c r="G2160" s="27" t="str">
        <f>IF('Paste SD Data'!H2157="","",UPPER('Paste SD Data'!H2157))</f>
        <v/>
      </c>
      <c r="H2160" s="26" t="str">
        <f>IF('Paste SD Data'!I2157="","",IF('Paste SD Data'!I2157="M","BOY","GIRL"))</f>
        <v/>
      </c>
      <c r="I2160" s="28" t="str">
        <f>IF('Paste SD Data'!J2157="","",'Paste SD Data'!J2157)</f>
        <v/>
      </c>
      <c r="J2160" s="34">
        <f t="shared" si="33"/>
        <v>2586</v>
      </c>
      <c r="K2160" s="29" t="str">
        <f>IF('Paste SD Data'!O2157="","",'Paste SD Data'!O2157)</f>
        <v/>
      </c>
    </row>
    <row r="2161" spans="1:11" ht="30" customHeight="1" x14ac:dyDescent="0.25">
      <c r="A2161" s="25" t="str">
        <f>IF(Table1[[#This Row],[Name of Student]]="","",ROWS($A$1:A2157))</f>
        <v/>
      </c>
      <c r="B2161" s="26" t="str">
        <f>IF('Paste SD Data'!A2158="","",'Paste SD Data'!A2158)</f>
        <v/>
      </c>
      <c r="C2161" s="26" t="str">
        <f>IF('Paste SD Data'!B2158="","",'Paste SD Data'!B2158)</f>
        <v/>
      </c>
      <c r="D2161" s="26" t="str">
        <f>IF('Paste SD Data'!C2158="","",'Paste SD Data'!C2158)</f>
        <v/>
      </c>
      <c r="E2161" s="27" t="str">
        <f>IF('Paste SD Data'!E2158="","",UPPER('Paste SD Data'!E2158))</f>
        <v/>
      </c>
      <c r="F2161" s="27" t="str">
        <f>IF('Paste SD Data'!G2158="","",UPPER('Paste SD Data'!G2158))</f>
        <v/>
      </c>
      <c r="G2161" s="27" t="str">
        <f>IF('Paste SD Data'!H2158="","",UPPER('Paste SD Data'!H2158))</f>
        <v/>
      </c>
      <c r="H2161" s="26" t="str">
        <f>IF('Paste SD Data'!I2158="","",IF('Paste SD Data'!I2158="M","BOY","GIRL"))</f>
        <v/>
      </c>
      <c r="I2161" s="28" t="str">
        <f>IF('Paste SD Data'!J2158="","",'Paste SD Data'!J2158)</f>
        <v/>
      </c>
      <c r="J2161" s="34">
        <f t="shared" si="33"/>
        <v>2587</v>
      </c>
      <c r="K2161" s="29" t="str">
        <f>IF('Paste SD Data'!O2158="","",'Paste SD Data'!O2158)</f>
        <v/>
      </c>
    </row>
    <row r="2162" spans="1:11" ht="30" customHeight="1" x14ac:dyDescent="0.25">
      <c r="A2162" s="25" t="str">
        <f>IF(Table1[[#This Row],[Name of Student]]="","",ROWS($A$1:A2158))</f>
        <v/>
      </c>
      <c r="B2162" s="26" t="str">
        <f>IF('Paste SD Data'!A2159="","",'Paste SD Data'!A2159)</f>
        <v/>
      </c>
      <c r="C2162" s="26" t="str">
        <f>IF('Paste SD Data'!B2159="","",'Paste SD Data'!B2159)</f>
        <v/>
      </c>
      <c r="D2162" s="26" t="str">
        <f>IF('Paste SD Data'!C2159="","",'Paste SD Data'!C2159)</f>
        <v/>
      </c>
      <c r="E2162" s="27" t="str">
        <f>IF('Paste SD Data'!E2159="","",UPPER('Paste SD Data'!E2159))</f>
        <v/>
      </c>
      <c r="F2162" s="27" t="str">
        <f>IF('Paste SD Data'!G2159="","",UPPER('Paste SD Data'!G2159))</f>
        <v/>
      </c>
      <c r="G2162" s="27" t="str">
        <f>IF('Paste SD Data'!H2159="","",UPPER('Paste SD Data'!H2159))</f>
        <v/>
      </c>
      <c r="H2162" s="26" t="str">
        <f>IF('Paste SD Data'!I2159="","",IF('Paste SD Data'!I2159="M","BOY","GIRL"))</f>
        <v/>
      </c>
      <c r="I2162" s="28" t="str">
        <f>IF('Paste SD Data'!J2159="","",'Paste SD Data'!J2159)</f>
        <v/>
      </c>
      <c r="J2162" s="34">
        <f t="shared" si="33"/>
        <v>2588</v>
      </c>
      <c r="K2162" s="29" t="str">
        <f>IF('Paste SD Data'!O2159="","",'Paste SD Data'!O2159)</f>
        <v/>
      </c>
    </row>
    <row r="2163" spans="1:11" ht="30" customHeight="1" x14ac:dyDescent="0.25">
      <c r="A2163" s="25" t="str">
        <f>IF(Table1[[#This Row],[Name of Student]]="","",ROWS($A$1:A2159))</f>
        <v/>
      </c>
      <c r="B2163" s="26" t="str">
        <f>IF('Paste SD Data'!A2160="","",'Paste SD Data'!A2160)</f>
        <v/>
      </c>
      <c r="C2163" s="26" t="str">
        <f>IF('Paste SD Data'!B2160="","",'Paste SD Data'!B2160)</f>
        <v/>
      </c>
      <c r="D2163" s="26" t="str">
        <f>IF('Paste SD Data'!C2160="","",'Paste SD Data'!C2160)</f>
        <v/>
      </c>
      <c r="E2163" s="27" t="str">
        <f>IF('Paste SD Data'!E2160="","",UPPER('Paste SD Data'!E2160))</f>
        <v/>
      </c>
      <c r="F2163" s="27" t="str">
        <f>IF('Paste SD Data'!G2160="","",UPPER('Paste SD Data'!G2160))</f>
        <v/>
      </c>
      <c r="G2163" s="27" t="str">
        <f>IF('Paste SD Data'!H2160="","",UPPER('Paste SD Data'!H2160))</f>
        <v/>
      </c>
      <c r="H2163" s="26" t="str">
        <f>IF('Paste SD Data'!I2160="","",IF('Paste SD Data'!I2160="M","BOY","GIRL"))</f>
        <v/>
      </c>
      <c r="I2163" s="28" t="str">
        <f>IF('Paste SD Data'!J2160="","",'Paste SD Data'!J2160)</f>
        <v/>
      </c>
      <c r="J2163" s="34">
        <f t="shared" si="33"/>
        <v>2589</v>
      </c>
      <c r="K2163" s="29" t="str">
        <f>IF('Paste SD Data'!O2160="","",'Paste SD Data'!O2160)</f>
        <v/>
      </c>
    </row>
    <row r="2164" spans="1:11" ht="30" customHeight="1" x14ac:dyDescent="0.25">
      <c r="A2164" s="25" t="str">
        <f>IF(Table1[[#This Row],[Name of Student]]="","",ROWS($A$1:A2160))</f>
        <v/>
      </c>
      <c r="B2164" s="26" t="str">
        <f>IF('Paste SD Data'!A2161="","",'Paste SD Data'!A2161)</f>
        <v/>
      </c>
      <c r="C2164" s="26" t="str">
        <f>IF('Paste SD Data'!B2161="","",'Paste SD Data'!B2161)</f>
        <v/>
      </c>
      <c r="D2164" s="26" t="str">
        <f>IF('Paste SD Data'!C2161="","",'Paste SD Data'!C2161)</f>
        <v/>
      </c>
      <c r="E2164" s="27" t="str">
        <f>IF('Paste SD Data'!E2161="","",UPPER('Paste SD Data'!E2161))</f>
        <v/>
      </c>
      <c r="F2164" s="27" t="str">
        <f>IF('Paste SD Data'!G2161="","",UPPER('Paste SD Data'!G2161))</f>
        <v/>
      </c>
      <c r="G2164" s="27" t="str">
        <f>IF('Paste SD Data'!H2161="","",UPPER('Paste SD Data'!H2161))</f>
        <v/>
      </c>
      <c r="H2164" s="26" t="str">
        <f>IF('Paste SD Data'!I2161="","",IF('Paste SD Data'!I2161="M","BOY","GIRL"))</f>
        <v/>
      </c>
      <c r="I2164" s="28" t="str">
        <f>IF('Paste SD Data'!J2161="","",'Paste SD Data'!J2161)</f>
        <v/>
      </c>
      <c r="J2164" s="34">
        <f t="shared" si="33"/>
        <v>2590</v>
      </c>
      <c r="K2164" s="29" t="str">
        <f>IF('Paste SD Data'!O2161="","",'Paste SD Data'!O2161)</f>
        <v/>
      </c>
    </row>
    <row r="2165" spans="1:11" ht="30" customHeight="1" x14ac:dyDescent="0.25">
      <c r="A2165" s="25" t="str">
        <f>IF(Table1[[#This Row],[Name of Student]]="","",ROWS($A$1:A2161))</f>
        <v/>
      </c>
      <c r="B2165" s="26" t="str">
        <f>IF('Paste SD Data'!A2162="","",'Paste SD Data'!A2162)</f>
        <v/>
      </c>
      <c r="C2165" s="26" t="str">
        <f>IF('Paste SD Data'!B2162="","",'Paste SD Data'!B2162)</f>
        <v/>
      </c>
      <c r="D2165" s="26" t="str">
        <f>IF('Paste SD Data'!C2162="","",'Paste SD Data'!C2162)</f>
        <v/>
      </c>
      <c r="E2165" s="27" t="str">
        <f>IF('Paste SD Data'!E2162="","",UPPER('Paste SD Data'!E2162))</f>
        <v/>
      </c>
      <c r="F2165" s="27" t="str">
        <f>IF('Paste SD Data'!G2162="","",UPPER('Paste SD Data'!G2162))</f>
        <v/>
      </c>
      <c r="G2165" s="27" t="str">
        <f>IF('Paste SD Data'!H2162="","",UPPER('Paste SD Data'!H2162))</f>
        <v/>
      </c>
      <c r="H2165" s="26" t="str">
        <f>IF('Paste SD Data'!I2162="","",IF('Paste SD Data'!I2162="M","BOY","GIRL"))</f>
        <v/>
      </c>
      <c r="I2165" s="28" t="str">
        <f>IF('Paste SD Data'!J2162="","",'Paste SD Data'!J2162)</f>
        <v/>
      </c>
      <c r="J2165" s="34">
        <f t="shared" si="33"/>
        <v>2591</v>
      </c>
      <c r="K2165" s="29" t="str">
        <f>IF('Paste SD Data'!O2162="","",'Paste SD Data'!O2162)</f>
        <v/>
      </c>
    </row>
    <row r="2166" spans="1:11" ht="30" customHeight="1" x14ac:dyDescent="0.25">
      <c r="A2166" s="25" t="str">
        <f>IF(Table1[[#This Row],[Name of Student]]="","",ROWS($A$1:A2162))</f>
        <v/>
      </c>
      <c r="B2166" s="26" t="str">
        <f>IF('Paste SD Data'!A2163="","",'Paste SD Data'!A2163)</f>
        <v/>
      </c>
      <c r="C2166" s="26" t="str">
        <f>IF('Paste SD Data'!B2163="","",'Paste SD Data'!B2163)</f>
        <v/>
      </c>
      <c r="D2166" s="26" t="str">
        <f>IF('Paste SD Data'!C2163="","",'Paste SD Data'!C2163)</f>
        <v/>
      </c>
      <c r="E2166" s="27" t="str">
        <f>IF('Paste SD Data'!E2163="","",UPPER('Paste SD Data'!E2163))</f>
        <v/>
      </c>
      <c r="F2166" s="27" t="str">
        <f>IF('Paste SD Data'!G2163="","",UPPER('Paste SD Data'!G2163))</f>
        <v/>
      </c>
      <c r="G2166" s="27" t="str">
        <f>IF('Paste SD Data'!H2163="","",UPPER('Paste SD Data'!H2163))</f>
        <v/>
      </c>
      <c r="H2166" s="26" t="str">
        <f>IF('Paste SD Data'!I2163="","",IF('Paste SD Data'!I2163="M","BOY","GIRL"))</f>
        <v/>
      </c>
      <c r="I2166" s="28" t="str">
        <f>IF('Paste SD Data'!J2163="","",'Paste SD Data'!J2163)</f>
        <v/>
      </c>
      <c r="J2166" s="34">
        <f t="shared" si="33"/>
        <v>2592</v>
      </c>
      <c r="K2166" s="29" t="str">
        <f>IF('Paste SD Data'!O2163="","",'Paste SD Data'!O2163)</f>
        <v/>
      </c>
    </row>
    <row r="2167" spans="1:11" ht="30" customHeight="1" x14ac:dyDescent="0.25">
      <c r="A2167" s="25" t="str">
        <f>IF(Table1[[#This Row],[Name of Student]]="","",ROWS($A$1:A2163))</f>
        <v/>
      </c>
      <c r="B2167" s="26" t="str">
        <f>IF('Paste SD Data'!A2164="","",'Paste SD Data'!A2164)</f>
        <v/>
      </c>
      <c r="C2167" s="26" t="str">
        <f>IF('Paste SD Data'!B2164="","",'Paste SD Data'!B2164)</f>
        <v/>
      </c>
      <c r="D2167" s="26" t="str">
        <f>IF('Paste SD Data'!C2164="","",'Paste SD Data'!C2164)</f>
        <v/>
      </c>
      <c r="E2167" s="27" t="str">
        <f>IF('Paste SD Data'!E2164="","",UPPER('Paste SD Data'!E2164))</f>
        <v/>
      </c>
      <c r="F2167" s="27" t="str">
        <f>IF('Paste SD Data'!G2164="","",UPPER('Paste SD Data'!G2164))</f>
        <v/>
      </c>
      <c r="G2167" s="27" t="str">
        <f>IF('Paste SD Data'!H2164="","",UPPER('Paste SD Data'!H2164))</f>
        <v/>
      </c>
      <c r="H2167" s="26" t="str">
        <f>IF('Paste SD Data'!I2164="","",IF('Paste SD Data'!I2164="M","BOY","GIRL"))</f>
        <v/>
      </c>
      <c r="I2167" s="28" t="str">
        <f>IF('Paste SD Data'!J2164="","",'Paste SD Data'!J2164)</f>
        <v/>
      </c>
      <c r="J2167" s="34">
        <f t="shared" si="33"/>
        <v>2593</v>
      </c>
      <c r="K2167" s="29" t="str">
        <f>IF('Paste SD Data'!O2164="","",'Paste SD Data'!O2164)</f>
        <v/>
      </c>
    </row>
    <row r="2168" spans="1:11" ht="30" customHeight="1" x14ac:dyDescent="0.25">
      <c r="A2168" s="25" t="str">
        <f>IF(Table1[[#This Row],[Name of Student]]="","",ROWS($A$1:A2164))</f>
        <v/>
      </c>
      <c r="B2168" s="26" t="str">
        <f>IF('Paste SD Data'!A2165="","",'Paste SD Data'!A2165)</f>
        <v/>
      </c>
      <c r="C2168" s="26" t="str">
        <f>IF('Paste SD Data'!B2165="","",'Paste SD Data'!B2165)</f>
        <v/>
      </c>
      <c r="D2168" s="26" t="str">
        <f>IF('Paste SD Data'!C2165="","",'Paste SD Data'!C2165)</f>
        <v/>
      </c>
      <c r="E2168" s="27" t="str">
        <f>IF('Paste SD Data'!E2165="","",UPPER('Paste SD Data'!E2165))</f>
        <v/>
      </c>
      <c r="F2168" s="27" t="str">
        <f>IF('Paste SD Data'!G2165="","",UPPER('Paste SD Data'!G2165))</f>
        <v/>
      </c>
      <c r="G2168" s="27" t="str">
        <f>IF('Paste SD Data'!H2165="","",UPPER('Paste SD Data'!H2165))</f>
        <v/>
      </c>
      <c r="H2168" s="26" t="str">
        <f>IF('Paste SD Data'!I2165="","",IF('Paste SD Data'!I2165="M","BOY","GIRL"))</f>
        <v/>
      </c>
      <c r="I2168" s="28" t="str">
        <f>IF('Paste SD Data'!J2165="","",'Paste SD Data'!J2165)</f>
        <v/>
      </c>
      <c r="J2168" s="34">
        <f t="shared" si="33"/>
        <v>2594</v>
      </c>
      <c r="K2168" s="29" t="str">
        <f>IF('Paste SD Data'!O2165="","",'Paste SD Data'!O2165)</f>
        <v/>
      </c>
    </row>
    <row r="2169" spans="1:11" ht="30" customHeight="1" x14ac:dyDescent="0.25">
      <c r="A2169" s="25" t="str">
        <f>IF(Table1[[#This Row],[Name of Student]]="","",ROWS($A$1:A2165))</f>
        <v/>
      </c>
      <c r="B2169" s="26" t="str">
        <f>IF('Paste SD Data'!A2166="","",'Paste SD Data'!A2166)</f>
        <v/>
      </c>
      <c r="C2169" s="26" t="str">
        <f>IF('Paste SD Data'!B2166="","",'Paste SD Data'!B2166)</f>
        <v/>
      </c>
      <c r="D2169" s="26" t="str">
        <f>IF('Paste SD Data'!C2166="","",'Paste SD Data'!C2166)</f>
        <v/>
      </c>
      <c r="E2169" s="27" t="str">
        <f>IF('Paste SD Data'!E2166="","",UPPER('Paste SD Data'!E2166))</f>
        <v/>
      </c>
      <c r="F2169" s="27" t="str">
        <f>IF('Paste SD Data'!G2166="","",UPPER('Paste SD Data'!G2166))</f>
        <v/>
      </c>
      <c r="G2169" s="27" t="str">
        <f>IF('Paste SD Data'!H2166="","",UPPER('Paste SD Data'!H2166))</f>
        <v/>
      </c>
      <c r="H2169" s="26" t="str">
        <f>IF('Paste SD Data'!I2166="","",IF('Paste SD Data'!I2166="M","BOY","GIRL"))</f>
        <v/>
      </c>
      <c r="I2169" s="28" t="str">
        <f>IF('Paste SD Data'!J2166="","",'Paste SD Data'!J2166)</f>
        <v/>
      </c>
      <c r="J2169" s="34">
        <f t="shared" si="33"/>
        <v>2595</v>
      </c>
      <c r="K2169" s="29" t="str">
        <f>IF('Paste SD Data'!O2166="","",'Paste SD Data'!O2166)</f>
        <v/>
      </c>
    </row>
    <row r="2170" spans="1:11" ht="30" customHeight="1" x14ac:dyDescent="0.25">
      <c r="A2170" s="25" t="str">
        <f>IF(Table1[[#This Row],[Name of Student]]="","",ROWS($A$1:A2166))</f>
        <v/>
      </c>
      <c r="B2170" s="26" t="str">
        <f>IF('Paste SD Data'!A2167="","",'Paste SD Data'!A2167)</f>
        <v/>
      </c>
      <c r="C2170" s="26" t="str">
        <f>IF('Paste SD Data'!B2167="","",'Paste SD Data'!B2167)</f>
        <v/>
      </c>
      <c r="D2170" s="26" t="str">
        <f>IF('Paste SD Data'!C2167="","",'Paste SD Data'!C2167)</f>
        <v/>
      </c>
      <c r="E2170" s="27" t="str">
        <f>IF('Paste SD Data'!E2167="","",UPPER('Paste SD Data'!E2167))</f>
        <v/>
      </c>
      <c r="F2170" s="27" t="str">
        <f>IF('Paste SD Data'!G2167="","",UPPER('Paste SD Data'!G2167))</f>
        <v/>
      </c>
      <c r="G2170" s="27" t="str">
        <f>IF('Paste SD Data'!H2167="","",UPPER('Paste SD Data'!H2167))</f>
        <v/>
      </c>
      <c r="H2170" s="26" t="str">
        <f>IF('Paste SD Data'!I2167="","",IF('Paste SD Data'!I2167="M","BOY","GIRL"))</f>
        <v/>
      </c>
      <c r="I2170" s="28" t="str">
        <f>IF('Paste SD Data'!J2167="","",'Paste SD Data'!J2167)</f>
        <v/>
      </c>
      <c r="J2170" s="34">
        <f t="shared" si="33"/>
        <v>2596</v>
      </c>
      <c r="K2170" s="29" t="str">
        <f>IF('Paste SD Data'!O2167="","",'Paste SD Data'!O2167)</f>
        <v/>
      </c>
    </row>
    <row r="2171" spans="1:11" ht="30" customHeight="1" x14ac:dyDescent="0.25">
      <c r="A2171" s="25" t="str">
        <f>IF(Table1[[#This Row],[Name of Student]]="","",ROWS($A$1:A2167))</f>
        <v/>
      </c>
      <c r="B2171" s="26" t="str">
        <f>IF('Paste SD Data'!A2168="","",'Paste SD Data'!A2168)</f>
        <v/>
      </c>
      <c r="C2171" s="26" t="str">
        <f>IF('Paste SD Data'!B2168="","",'Paste SD Data'!B2168)</f>
        <v/>
      </c>
      <c r="D2171" s="26" t="str">
        <f>IF('Paste SD Data'!C2168="","",'Paste SD Data'!C2168)</f>
        <v/>
      </c>
      <c r="E2171" s="27" t="str">
        <f>IF('Paste SD Data'!E2168="","",UPPER('Paste SD Data'!E2168))</f>
        <v/>
      </c>
      <c r="F2171" s="27" t="str">
        <f>IF('Paste SD Data'!G2168="","",UPPER('Paste SD Data'!G2168))</f>
        <v/>
      </c>
      <c r="G2171" s="27" t="str">
        <f>IF('Paste SD Data'!H2168="","",UPPER('Paste SD Data'!H2168))</f>
        <v/>
      </c>
      <c r="H2171" s="26" t="str">
        <f>IF('Paste SD Data'!I2168="","",IF('Paste SD Data'!I2168="M","BOY","GIRL"))</f>
        <v/>
      </c>
      <c r="I2171" s="28" t="str">
        <f>IF('Paste SD Data'!J2168="","",'Paste SD Data'!J2168)</f>
        <v/>
      </c>
      <c r="J2171" s="34">
        <f t="shared" si="33"/>
        <v>2597</v>
      </c>
      <c r="K2171" s="29" t="str">
        <f>IF('Paste SD Data'!O2168="","",'Paste SD Data'!O2168)</f>
        <v/>
      </c>
    </row>
    <row r="2172" spans="1:11" ht="30" customHeight="1" x14ac:dyDescent="0.25">
      <c r="A2172" s="25" t="str">
        <f>IF(Table1[[#This Row],[Name of Student]]="","",ROWS($A$1:A2168))</f>
        <v/>
      </c>
      <c r="B2172" s="26" t="str">
        <f>IF('Paste SD Data'!A2169="","",'Paste SD Data'!A2169)</f>
        <v/>
      </c>
      <c r="C2172" s="26" t="str">
        <f>IF('Paste SD Data'!B2169="","",'Paste SD Data'!B2169)</f>
        <v/>
      </c>
      <c r="D2172" s="26" t="str">
        <f>IF('Paste SD Data'!C2169="","",'Paste SD Data'!C2169)</f>
        <v/>
      </c>
      <c r="E2172" s="27" t="str">
        <f>IF('Paste SD Data'!E2169="","",UPPER('Paste SD Data'!E2169))</f>
        <v/>
      </c>
      <c r="F2172" s="27" t="str">
        <f>IF('Paste SD Data'!G2169="","",UPPER('Paste SD Data'!G2169))</f>
        <v/>
      </c>
      <c r="G2172" s="27" t="str">
        <f>IF('Paste SD Data'!H2169="","",UPPER('Paste SD Data'!H2169))</f>
        <v/>
      </c>
      <c r="H2172" s="26" t="str">
        <f>IF('Paste SD Data'!I2169="","",IF('Paste SD Data'!I2169="M","BOY","GIRL"))</f>
        <v/>
      </c>
      <c r="I2172" s="28" t="str">
        <f>IF('Paste SD Data'!J2169="","",'Paste SD Data'!J2169)</f>
        <v/>
      </c>
      <c r="J2172" s="34">
        <f t="shared" si="33"/>
        <v>2598</v>
      </c>
      <c r="K2172" s="29" t="str">
        <f>IF('Paste SD Data'!O2169="","",'Paste SD Data'!O2169)</f>
        <v/>
      </c>
    </row>
    <row r="2173" spans="1:11" ht="30" customHeight="1" x14ac:dyDescent="0.25">
      <c r="A2173" s="25" t="str">
        <f>IF(Table1[[#This Row],[Name of Student]]="","",ROWS($A$1:A2169))</f>
        <v/>
      </c>
      <c r="B2173" s="26" t="str">
        <f>IF('Paste SD Data'!A2170="","",'Paste SD Data'!A2170)</f>
        <v/>
      </c>
      <c r="C2173" s="26" t="str">
        <f>IF('Paste SD Data'!B2170="","",'Paste SD Data'!B2170)</f>
        <v/>
      </c>
      <c r="D2173" s="26" t="str">
        <f>IF('Paste SD Data'!C2170="","",'Paste SD Data'!C2170)</f>
        <v/>
      </c>
      <c r="E2173" s="27" t="str">
        <f>IF('Paste SD Data'!E2170="","",UPPER('Paste SD Data'!E2170))</f>
        <v/>
      </c>
      <c r="F2173" s="27" t="str">
        <f>IF('Paste SD Data'!G2170="","",UPPER('Paste SD Data'!G2170))</f>
        <v/>
      </c>
      <c r="G2173" s="27" t="str">
        <f>IF('Paste SD Data'!H2170="","",UPPER('Paste SD Data'!H2170))</f>
        <v/>
      </c>
      <c r="H2173" s="26" t="str">
        <f>IF('Paste SD Data'!I2170="","",IF('Paste SD Data'!I2170="M","BOY","GIRL"))</f>
        <v/>
      </c>
      <c r="I2173" s="28" t="str">
        <f>IF('Paste SD Data'!J2170="","",'Paste SD Data'!J2170)</f>
        <v/>
      </c>
      <c r="J2173" s="34">
        <f t="shared" si="33"/>
        <v>2599</v>
      </c>
      <c r="K2173" s="29" t="str">
        <f>IF('Paste SD Data'!O2170="","",'Paste SD Data'!O2170)</f>
        <v/>
      </c>
    </row>
    <row r="2174" spans="1:11" ht="30" customHeight="1" x14ac:dyDescent="0.25">
      <c r="A2174" s="25" t="str">
        <f>IF(Table1[[#This Row],[Name of Student]]="","",ROWS($A$1:A2170))</f>
        <v/>
      </c>
      <c r="B2174" s="26" t="str">
        <f>IF('Paste SD Data'!A2171="","",'Paste SD Data'!A2171)</f>
        <v/>
      </c>
      <c r="C2174" s="26" t="str">
        <f>IF('Paste SD Data'!B2171="","",'Paste SD Data'!B2171)</f>
        <v/>
      </c>
      <c r="D2174" s="26" t="str">
        <f>IF('Paste SD Data'!C2171="","",'Paste SD Data'!C2171)</f>
        <v/>
      </c>
      <c r="E2174" s="27" t="str">
        <f>IF('Paste SD Data'!E2171="","",UPPER('Paste SD Data'!E2171))</f>
        <v/>
      </c>
      <c r="F2174" s="27" t="str">
        <f>IF('Paste SD Data'!G2171="","",UPPER('Paste SD Data'!G2171))</f>
        <v/>
      </c>
      <c r="G2174" s="27" t="str">
        <f>IF('Paste SD Data'!H2171="","",UPPER('Paste SD Data'!H2171))</f>
        <v/>
      </c>
      <c r="H2174" s="26" t="str">
        <f>IF('Paste SD Data'!I2171="","",IF('Paste SD Data'!I2171="M","BOY","GIRL"))</f>
        <v/>
      </c>
      <c r="I2174" s="28" t="str">
        <f>IF('Paste SD Data'!J2171="","",'Paste SD Data'!J2171)</f>
        <v/>
      </c>
      <c r="J2174" s="34">
        <f t="shared" si="33"/>
        <v>2600</v>
      </c>
      <c r="K2174" s="29" t="str">
        <f>IF('Paste SD Data'!O2171="","",'Paste SD Data'!O2171)</f>
        <v/>
      </c>
    </row>
    <row r="2175" spans="1:11" ht="30" customHeight="1" x14ac:dyDescent="0.25">
      <c r="A2175" s="25" t="str">
        <f>IF(Table1[[#This Row],[Name of Student]]="","",ROWS($A$1:A2171))</f>
        <v/>
      </c>
      <c r="B2175" s="26" t="str">
        <f>IF('Paste SD Data'!A2172="","",'Paste SD Data'!A2172)</f>
        <v/>
      </c>
      <c r="C2175" s="26" t="str">
        <f>IF('Paste SD Data'!B2172="","",'Paste SD Data'!B2172)</f>
        <v/>
      </c>
      <c r="D2175" s="26" t="str">
        <f>IF('Paste SD Data'!C2172="","",'Paste SD Data'!C2172)</f>
        <v/>
      </c>
      <c r="E2175" s="27" t="str">
        <f>IF('Paste SD Data'!E2172="","",UPPER('Paste SD Data'!E2172))</f>
        <v/>
      </c>
      <c r="F2175" s="27" t="str">
        <f>IF('Paste SD Data'!G2172="","",UPPER('Paste SD Data'!G2172))</f>
        <v/>
      </c>
      <c r="G2175" s="27" t="str">
        <f>IF('Paste SD Data'!H2172="","",UPPER('Paste SD Data'!H2172))</f>
        <v/>
      </c>
      <c r="H2175" s="26" t="str">
        <f>IF('Paste SD Data'!I2172="","",IF('Paste SD Data'!I2172="M","BOY","GIRL"))</f>
        <v/>
      </c>
      <c r="I2175" s="28" t="str">
        <f>IF('Paste SD Data'!J2172="","",'Paste SD Data'!J2172)</f>
        <v/>
      </c>
      <c r="J2175" s="34">
        <f t="shared" si="33"/>
        <v>2601</v>
      </c>
      <c r="K2175" s="29" t="str">
        <f>IF('Paste SD Data'!O2172="","",'Paste SD Data'!O2172)</f>
        <v/>
      </c>
    </row>
    <row r="2176" spans="1:11" ht="30" customHeight="1" x14ac:dyDescent="0.25">
      <c r="A2176" s="25" t="str">
        <f>IF(Table1[[#This Row],[Name of Student]]="","",ROWS($A$1:A2172))</f>
        <v/>
      </c>
      <c r="B2176" s="26" t="str">
        <f>IF('Paste SD Data'!A2173="","",'Paste SD Data'!A2173)</f>
        <v/>
      </c>
      <c r="C2176" s="26" t="str">
        <f>IF('Paste SD Data'!B2173="","",'Paste SD Data'!B2173)</f>
        <v/>
      </c>
      <c r="D2176" s="26" t="str">
        <f>IF('Paste SD Data'!C2173="","",'Paste SD Data'!C2173)</f>
        <v/>
      </c>
      <c r="E2176" s="27" t="str">
        <f>IF('Paste SD Data'!E2173="","",UPPER('Paste SD Data'!E2173))</f>
        <v/>
      </c>
      <c r="F2176" s="27" t="str">
        <f>IF('Paste SD Data'!G2173="","",UPPER('Paste SD Data'!G2173))</f>
        <v/>
      </c>
      <c r="G2176" s="27" t="str">
        <f>IF('Paste SD Data'!H2173="","",UPPER('Paste SD Data'!H2173))</f>
        <v/>
      </c>
      <c r="H2176" s="26" t="str">
        <f>IF('Paste SD Data'!I2173="","",IF('Paste SD Data'!I2173="M","BOY","GIRL"))</f>
        <v/>
      </c>
      <c r="I2176" s="28" t="str">
        <f>IF('Paste SD Data'!J2173="","",'Paste SD Data'!J2173)</f>
        <v/>
      </c>
      <c r="J2176" s="34">
        <f t="shared" si="33"/>
        <v>2602</v>
      </c>
      <c r="K2176" s="29" t="str">
        <f>IF('Paste SD Data'!O2173="","",'Paste SD Data'!O2173)</f>
        <v/>
      </c>
    </row>
    <row r="2177" spans="1:11" ht="30" customHeight="1" x14ac:dyDescent="0.25">
      <c r="A2177" s="25" t="str">
        <f>IF(Table1[[#This Row],[Name of Student]]="","",ROWS($A$1:A2173))</f>
        <v/>
      </c>
      <c r="B2177" s="26" t="str">
        <f>IF('Paste SD Data'!A2174="","",'Paste SD Data'!A2174)</f>
        <v/>
      </c>
      <c r="C2177" s="26" t="str">
        <f>IF('Paste SD Data'!B2174="","",'Paste SD Data'!B2174)</f>
        <v/>
      </c>
      <c r="D2177" s="26" t="str">
        <f>IF('Paste SD Data'!C2174="","",'Paste SD Data'!C2174)</f>
        <v/>
      </c>
      <c r="E2177" s="27" t="str">
        <f>IF('Paste SD Data'!E2174="","",UPPER('Paste SD Data'!E2174))</f>
        <v/>
      </c>
      <c r="F2177" s="27" t="str">
        <f>IF('Paste SD Data'!G2174="","",UPPER('Paste SD Data'!G2174))</f>
        <v/>
      </c>
      <c r="G2177" s="27" t="str">
        <f>IF('Paste SD Data'!H2174="","",UPPER('Paste SD Data'!H2174))</f>
        <v/>
      </c>
      <c r="H2177" s="26" t="str">
        <f>IF('Paste SD Data'!I2174="","",IF('Paste SD Data'!I2174="M","BOY","GIRL"))</f>
        <v/>
      </c>
      <c r="I2177" s="28" t="str">
        <f>IF('Paste SD Data'!J2174="","",'Paste SD Data'!J2174)</f>
        <v/>
      </c>
      <c r="J2177" s="34">
        <f t="shared" si="33"/>
        <v>2603</v>
      </c>
      <c r="K2177" s="29" t="str">
        <f>IF('Paste SD Data'!O2174="","",'Paste SD Data'!O2174)</f>
        <v/>
      </c>
    </row>
    <row r="2178" spans="1:11" ht="30" customHeight="1" x14ac:dyDescent="0.25">
      <c r="A2178" s="25" t="str">
        <f>IF(Table1[[#This Row],[Name of Student]]="","",ROWS($A$1:A2174))</f>
        <v/>
      </c>
      <c r="B2178" s="26" t="str">
        <f>IF('Paste SD Data'!A2175="","",'Paste SD Data'!A2175)</f>
        <v/>
      </c>
      <c r="C2178" s="26" t="str">
        <f>IF('Paste SD Data'!B2175="","",'Paste SD Data'!B2175)</f>
        <v/>
      </c>
      <c r="D2178" s="26" t="str">
        <f>IF('Paste SD Data'!C2175="","",'Paste SD Data'!C2175)</f>
        <v/>
      </c>
      <c r="E2178" s="27" t="str">
        <f>IF('Paste SD Data'!E2175="","",UPPER('Paste SD Data'!E2175))</f>
        <v/>
      </c>
      <c r="F2178" s="27" t="str">
        <f>IF('Paste SD Data'!G2175="","",UPPER('Paste SD Data'!G2175))</f>
        <v/>
      </c>
      <c r="G2178" s="27" t="str">
        <f>IF('Paste SD Data'!H2175="","",UPPER('Paste SD Data'!H2175))</f>
        <v/>
      </c>
      <c r="H2178" s="26" t="str">
        <f>IF('Paste SD Data'!I2175="","",IF('Paste SD Data'!I2175="M","BOY","GIRL"))</f>
        <v/>
      </c>
      <c r="I2178" s="28" t="str">
        <f>IF('Paste SD Data'!J2175="","",'Paste SD Data'!J2175)</f>
        <v/>
      </c>
      <c r="J2178" s="34">
        <f t="shared" si="33"/>
        <v>2604</v>
      </c>
      <c r="K2178" s="29" t="str">
        <f>IF('Paste SD Data'!O2175="","",'Paste SD Data'!O2175)</f>
        <v/>
      </c>
    </row>
    <row r="2179" spans="1:11" ht="30" customHeight="1" x14ac:dyDescent="0.25">
      <c r="A2179" s="25" t="str">
        <f>IF(Table1[[#This Row],[Name of Student]]="","",ROWS($A$1:A2175))</f>
        <v/>
      </c>
      <c r="B2179" s="26" t="str">
        <f>IF('Paste SD Data'!A2176="","",'Paste SD Data'!A2176)</f>
        <v/>
      </c>
      <c r="C2179" s="26" t="str">
        <f>IF('Paste SD Data'!B2176="","",'Paste SD Data'!B2176)</f>
        <v/>
      </c>
      <c r="D2179" s="26" t="str">
        <f>IF('Paste SD Data'!C2176="","",'Paste SD Data'!C2176)</f>
        <v/>
      </c>
      <c r="E2179" s="27" t="str">
        <f>IF('Paste SD Data'!E2176="","",UPPER('Paste SD Data'!E2176))</f>
        <v/>
      </c>
      <c r="F2179" s="27" t="str">
        <f>IF('Paste SD Data'!G2176="","",UPPER('Paste SD Data'!G2176))</f>
        <v/>
      </c>
      <c r="G2179" s="27" t="str">
        <f>IF('Paste SD Data'!H2176="","",UPPER('Paste SD Data'!H2176))</f>
        <v/>
      </c>
      <c r="H2179" s="26" t="str">
        <f>IF('Paste SD Data'!I2176="","",IF('Paste SD Data'!I2176="M","BOY","GIRL"))</f>
        <v/>
      </c>
      <c r="I2179" s="28" t="str">
        <f>IF('Paste SD Data'!J2176="","",'Paste SD Data'!J2176)</f>
        <v/>
      </c>
      <c r="J2179" s="34">
        <f t="shared" si="33"/>
        <v>2605</v>
      </c>
      <c r="K2179" s="29" t="str">
        <f>IF('Paste SD Data'!O2176="","",'Paste SD Data'!O2176)</f>
        <v/>
      </c>
    </row>
    <row r="2180" spans="1:11" ht="30" customHeight="1" x14ac:dyDescent="0.25">
      <c r="A2180" s="25" t="str">
        <f>IF(Table1[[#This Row],[Name of Student]]="","",ROWS($A$1:A2176))</f>
        <v/>
      </c>
      <c r="B2180" s="26" t="str">
        <f>IF('Paste SD Data'!A2177="","",'Paste SD Data'!A2177)</f>
        <v/>
      </c>
      <c r="C2180" s="26" t="str">
        <f>IF('Paste SD Data'!B2177="","",'Paste SD Data'!B2177)</f>
        <v/>
      </c>
      <c r="D2180" s="26" t="str">
        <f>IF('Paste SD Data'!C2177="","",'Paste SD Data'!C2177)</f>
        <v/>
      </c>
      <c r="E2180" s="27" t="str">
        <f>IF('Paste SD Data'!E2177="","",UPPER('Paste SD Data'!E2177))</f>
        <v/>
      </c>
      <c r="F2180" s="27" t="str">
        <f>IF('Paste SD Data'!G2177="","",UPPER('Paste SD Data'!G2177))</f>
        <v/>
      </c>
      <c r="G2180" s="27" t="str">
        <f>IF('Paste SD Data'!H2177="","",UPPER('Paste SD Data'!H2177))</f>
        <v/>
      </c>
      <c r="H2180" s="26" t="str">
        <f>IF('Paste SD Data'!I2177="","",IF('Paste SD Data'!I2177="M","BOY","GIRL"))</f>
        <v/>
      </c>
      <c r="I2180" s="28" t="str">
        <f>IF('Paste SD Data'!J2177="","",'Paste SD Data'!J2177)</f>
        <v/>
      </c>
      <c r="J2180" s="34">
        <f t="shared" si="33"/>
        <v>2606</v>
      </c>
      <c r="K2180" s="29" t="str">
        <f>IF('Paste SD Data'!O2177="","",'Paste SD Data'!O2177)</f>
        <v/>
      </c>
    </row>
    <row r="2181" spans="1:11" ht="30" customHeight="1" x14ac:dyDescent="0.25">
      <c r="A2181" s="25" t="str">
        <f>IF(Table1[[#This Row],[Name of Student]]="","",ROWS($A$1:A2177))</f>
        <v/>
      </c>
      <c r="B2181" s="26" t="str">
        <f>IF('Paste SD Data'!A2178="","",'Paste SD Data'!A2178)</f>
        <v/>
      </c>
      <c r="C2181" s="26" t="str">
        <f>IF('Paste SD Data'!B2178="","",'Paste SD Data'!B2178)</f>
        <v/>
      </c>
      <c r="D2181" s="26" t="str">
        <f>IF('Paste SD Data'!C2178="","",'Paste SD Data'!C2178)</f>
        <v/>
      </c>
      <c r="E2181" s="27" t="str">
        <f>IF('Paste SD Data'!E2178="","",UPPER('Paste SD Data'!E2178))</f>
        <v/>
      </c>
      <c r="F2181" s="27" t="str">
        <f>IF('Paste SD Data'!G2178="","",UPPER('Paste SD Data'!G2178))</f>
        <v/>
      </c>
      <c r="G2181" s="27" t="str">
        <f>IF('Paste SD Data'!H2178="","",UPPER('Paste SD Data'!H2178))</f>
        <v/>
      </c>
      <c r="H2181" s="26" t="str">
        <f>IF('Paste SD Data'!I2178="","",IF('Paste SD Data'!I2178="M","BOY","GIRL"))</f>
        <v/>
      </c>
      <c r="I2181" s="28" t="str">
        <f>IF('Paste SD Data'!J2178="","",'Paste SD Data'!J2178)</f>
        <v/>
      </c>
      <c r="J2181" s="34">
        <f t="shared" si="33"/>
        <v>2607</v>
      </c>
      <c r="K2181" s="29" t="str">
        <f>IF('Paste SD Data'!O2178="","",'Paste SD Data'!O2178)</f>
        <v/>
      </c>
    </row>
    <row r="2182" spans="1:11" ht="30" customHeight="1" x14ac:dyDescent="0.25">
      <c r="A2182" s="25" t="str">
        <f>IF(Table1[[#This Row],[Name of Student]]="","",ROWS($A$1:A2178))</f>
        <v/>
      </c>
      <c r="B2182" s="26" t="str">
        <f>IF('Paste SD Data'!A2179="","",'Paste SD Data'!A2179)</f>
        <v/>
      </c>
      <c r="C2182" s="26" t="str">
        <f>IF('Paste SD Data'!B2179="","",'Paste SD Data'!B2179)</f>
        <v/>
      </c>
      <c r="D2182" s="26" t="str">
        <f>IF('Paste SD Data'!C2179="","",'Paste SD Data'!C2179)</f>
        <v/>
      </c>
      <c r="E2182" s="27" t="str">
        <f>IF('Paste SD Data'!E2179="","",UPPER('Paste SD Data'!E2179))</f>
        <v/>
      </c>
      <c r="F2182" s="27" t="str">
        <f>IF('Paste SD Data'!G2179="","",UPPER('Paste SD Data'!G2179))</f>
        <v/>
      </c>
      <c r="G2182" s="27" t="str">
        <f>IF('Paste SD Data'!H2179="","",UPPER('Paste SD Data'!H2179))</f>
        <v/>
      </c>
      <c r="H2182" s="26" t="str">
        <f>IF('Paste SD Data'!I2179="","",IF('Paste SD Data'!I2179="M","BOY","GIRL"))</f>
        <v/>
      </c>
      <c r="I2182" s="28" t="str">
        <f>IF('Paste SD Data'!J2179="","",'Paste SD Data'!J2179)</f>
        <v/>
      </c>
      <c r="J2182" s="34">
        <f t="shared" si="33"/>
        <v>2608</v>
      </c>
      <c r="K2182" s="29" t="str">
        <f>IF('Paste SD Data'!O2179="","",'Paste SD Data'!O2179)</f>
        <v/>
      </c>
    </row>
    <row r="2183" spans="1:11" ht="30" customHeight="1" x14ac:dyDescent="0.25">
      <c r="A2183" s="25" t="str">
        <f>IF(Table1[[#This Row],[Name of Student]]="","",ROWS($A$1:A2179))</f>
        <v/>
      </c>
      <c r="B2183" s="26" t="str">
        <f>IF('Paste SD Data'!A2180="","",'Paste SD Data'!A2180)</f>
        <v/>
      </c>
      <c r="C2183" s="26" t="str">
        <f>IF('Paste SD Data'!B2180="","",'Paste SD Data'!B2180)</f>
        <v/>
      </c>
      <c r="D2183" s="26" t="str">
        <f>IF('Paste SD Data'!C2180="","",'Paste SD Data'!C2180)</f>
        <v/>
      </c>
      <c r="E2183" s="27" t="str">
        <f>IF('Paste SD Data'!E2180="","",UPPER('Paste SD Data'!E2180))</f>
        <v/>
      </c>
      <c r="F2183" s="27" t="str">
        <f>IF('Paste SD Data'!G2180="","",UPPER('Paste SD Data'!G2180))</f>
        <v/>
      </c>
      <c r="G2183" s="27" t="str">
        <f>IF('Paste SD Data'!H2180="","",UPPER('Paste SD Data'!H2180))</f>
        <v/>
      </c>
      <c r="H2183" s="26" t="str">
        <f>IF('Paste SD Data'!I2180="","",IF('Paste SD Data'!I2180="M","BOY","GIRL"))</f>
        <v/>
      </c>
      <c r="I2183" s="28" t="str">
        <f>IF('Paste SD Data'!J2180="","",'Paste SD Data'!J2180)</f>
        <v/>
      </c>
      <c r="J2183" s="34">
        <f t="shared" ref="J2183:J2246" si="34">J2182+1</f>
        <v>2609</v>
      </c>
      <c r="K2183" s="29" t="str">
        <f>IF('Paste SD Data'!O2180="","",'Paste SD Data'!O2180)</f>
        <v/>
      </c>
    </row>
    <row r="2184" spans="1:11" ht="30" customHeight="1" x14ac:dyDescent="0.25">
      <c r="A2184" s="25" t="str">
        <f>IF(Table1[[#This Row],[Name of Student]]="","",ROWS($A$1:A2180))</f>
        <v/>
      </c>
      <c r="B2184" s="26" t="str">
        <f>IF('Paste SD Data'!A2181="","",'Paste SD Data'!A2181)</f>
        <v/>
      </c>
      <c r="C2184" s="26" t="str">
        <f>IF('Paste SD Data'!B2181="","",'Paste SD Data'!B2181)</f>
        <v/>
      </c>
      <c r="D2184" s="26" t="str">
        <f>IF('Paste SD Data'!C2181="","",'Paste SD Data'!C2181)</f>
        <v/>
      </c>
      <c r="E2184" s="27" t="str">
        <f>IF('Paste SD Data'!E2181="","",UPPER('Paste SD Data'!E2181))</f>
        <v/>
      </c>
      <c r="F2184" s="27" t="str">
        <f>IF('Paste SD Data'!G2181="","",UPPER('Paste SD Data'!G2181))</f>
        <v/>
      </c>
      <c r="G2184" s="27" t="str">
        <f>IF('Paste SD Data'!H2181="","",UPPER('Paste SD Data'!H2181))</f>
        <v/>
      </c>
      <c r="H2184" s="26" t="str">
        <f>IF('Paste SD Data'!I2181="","",IF('Paste SD Data'!I2181="M","BOY","GIRL"))</f>
        <v/>
      </c>
      <c r="I2184" s="28" t="str">
        <f>IF('Paste SD Data'!J2181="","",'Paste SD Data'!J2181)</f>
        <v/>
      </c>
      <c r="J2184" s="34">
        <f t="shared" si="34"/>
        <v>2610</v>
      </c>
      <c r="K2184" s="29" t="str">
        <f>IF('Paste SD Data'!O2181="","",'Paste SD Data'!O2181)</f>
        <v/>
      </c>
    </row>
    <row r="2185" spans="1:11" ht="30" customHeight="1" x14ac:dyDescent="0.25">
      <c r="A2185" s="25" t="str">
        <f>IF(Table1[[#This Row],[Name of Student]]="","",ROWS($A$1:A2181))</f>
        <v/>
      </c>
      <c r="B2185" s="26" t="str">
        <f>IF('Paste SD Data'!A2182="","",'Paste SD Data'!A2182)</f>
        <v/>
      </c>
      <c r="C2185" s="26" t="str">
        <f>IF('Paste SD Data'!B2182="","",'Paste SD Data'!B2182)</f>
        <v/>
      </c>
      <c r="D2185" s="26" t="str">
        <f>IF('Paste SD Data'!C2182="","",'Paste SD Data'!C2182)</f>
        <v/>
      </c>
      <c r="E2185" s="27" t="str">
        <f>IF('Paste SD Data'!E2182="","",UPPER('Paste SD Data'!E2182))</f>
        <v/>
      </c>
      <c r="F2185" s="27" t="str">
        <f>IF('Paste SD Data'!G2182="","",UPPER('Paste SD Data'!G2182))</f>
        <v/>
      </c>
      <c r="G2185" s="27" t="str">
        <f>IF('Paste SD Data'!H2182="","",UPPER('Paste SD Data'!H2182))</f>
        <v/>
      </c>
      <c r="H2185" s="26" t="str">
        <f>IF('Paste SD Data'!I2182="","",IF('Paste SD Data'!I2182="M","BOY","GIRL"))</f>
        <v/>
      </c>
      <c r="I2185" s="28" t="str">
        <f>IF('Paste SD Data'!J2182="","",'Paste SD Data'!J2182)</f>
        <v/>
      </c>
      <c r="J2185" s="34">
        <f t="shared" si="34"/>
        <v>2611</v>
      </c>
      <c r="K2185" s="29" t="str">
        <f>IF('Paste SD Data'!O2182="","",'Paste SD Data'!O2182)</f>
        <v/>
      </c>
    </row>
    <row r="2186" spans="1:11" ht="30" customHeight="1" x14ac:dyDescent="0.25">
      <c r="A2186" s="25" t="str">
        <f>IF(Table1[[#This Row],[Name of Student]]="","",ROWS($A$1:A2182))</f>
        <v/>
      </c>
      <c r="B2186" s="26" t="str">
        <f>IF('Paste SD Data'!A2183="","",'Paste SD Data'!A2183)</f>
        <v/>
      </c>
      <c r="C2186" s="26" t="str">
        <f>IF('Paste SD Data'!B2183="","",'Paste SD Data'!B2183)</f>
        <v/>
      </c>
      <c r="D2186" s="26" t="str">
        <f>IF('Paste SD Data'!C2183="","",'Paste SD Data'!C2183)</f>
        <v/>
      </c>
      <c r="E2186" s="27" t="str">
        <f>IF('Paste SD Data'!E2183="","",UPPER('Paste SD Data'!E2183))</f>
        <v/>
      </c>
      <c r="F2186" s="27" t="str">
        <f>IF('Paste SD Data'!G2183="","",UPPER('Paste SD Data'!G2183))</f>
        <v/>
      </c>
      <c r="G2186" s="27" t="str">
        <f>IF('Paste SD Data'!H2183="","",UPPER('Paste SD Data'!H2183))</f>
        <v/>
      </c>
      <c r="H2186" s="26" t="str">
        <f>IF('Paste SD Data'!I2183="","",IF('Paste SD Data'!I2183="M","BOY","GIRL"))</f>
        <v/>
      </c>
      <c r="I2186" s="28" t="str">
        <f>IF('Paste SD Data'!J2183="","",'Paste SD Data'!J2183)</f>
        <v/>
      </c>
      <c r="J2186" s="34">
        <f t="shared" si="34"/>
        <v>2612</v>
      </c>
      <c r="K2186" s="29" t="str">
        <f>IF('Paste SD Data'!O2183="","",'Paste SD Data'!O2183)</f>
        <v/>
      </c>
    </row>
    <row r="2187" spans="1:11" ht="30" customHeight="1" x14ac:dyDescent="0.25">
      <c r="A2187" s="25" t="str">
        <f>IF(Table1[[#This Row],[Name of Student]]="","",ROWS($A$1:A2183))</f>
        <v/>
      </c>
      <c r="B2187" s="26" t="str">
        <f>IF('Paste SD Data'!A2184="","",'Paste SD Data'!A2184)</f>
        <v/>
      </c>
      <c r="C2187" s="26" t="str">
        <f>IF('Paste SD Data'!B2184="","",'Paste SD Data'!B2184)</f>
        <v/>
      </c>
      <c r="D2187" s="26" t="str">
        <f>IF('Paste SD Data'!C2184="","",'Paste SD Data'!C2184)</f>
        <v/>
      </c>
      <c r="E2187" s="27" t="str">
        <f>IF('Paste SD Data'!E2184="","",UPPER('Paste SD Data'!E2184))</f>
        <v/>
      </c>
      <c r="F2187" s="27" t="str">
        <f>IF('Paste SD Data'!G2184="","",UPPER('Paste SD Data'!G2184))</f>
        <v/>
      </c>
      <c r="G2187" s="27" t="str">
        <f>IF('Paste SD Data'!H2184="","",UPPER('Paste SD Data'!H2184))</f>
        <v/>
      </c>
      <c r="H2187" s="26" t="str">
        <f>IF('Paste SD Data'!I2184="","",IF('Paste SD Data'!I2184="M","BOY","GIRL"))</f>
        <v/>
      </c>
      <c r="I2187" s="28" t="str">
        <f>IF('Paste SD Data'!J2184="","",'Paste SD Data'!J2184)</f>
        <v/>
      </c>
      <c r="J2187" s="34">
        <f t="shared" si="34"/>
        <v>2613</v>
      </c>
      <c r="K2187" s="29" t="str">
        <f>IF('Paste SD Data'!O2184="","",'Paste SD Data'!O2184)</f>
        <v/>
      </c>
    </row>
    <row r="2188" spans="1:11" ht="30" customHeight="1" x14ac:dyDescent="0.25">
      <c r="A2188" s="25" t="str">
        <f>IF(Table1[[#This Row],[Name of Student]]="","",ROWS($A$1:A2184))</f>
        <v/>
      </c>
      <c r="B2188" s="26" t="str">
        <f>IF('Paste SD Data'!A2185="","",'Paste SD Data'!A2185)</f>
        <v/>
      </c>
      <c r="C2188" s="26" t="str">
        <f>IF('Paste SD Data'!B2185="","",'Paste SD Data'!B2185)</f>
        <v/>
      </c>
      <c r="D2188" s="26" t="str">
        <f>IF('Paste SD Data'!C2185="","",'Paste SD Data'!C2185)</f>
        <v/>
      </c>
      <c r="E2188" s="27" t="str">
        <f>IF('Paste SD Data'!E2185="","",UPPER('Paste SD Data'!E2185))</f>
        <v/>
      </c>
      <c r="F2188" s="27" t="str">
        <f>IF('Paste SD Data'!G2185="","",UPPER('Paste SD Data'!G2185))</f>
        <v/>
      </c>
      <c r="G2188" s="27" t="str">
        <f>IF('Paste SD Data'!H2185="","",UPPER('Paste SD Data'!H2185))</f>
        <v/>
      </c>
      <c r="H2188" s="26" t="str">
        <f>IF('Paste SD Data'!I2185="","",IF('Paste SD Data'!I2185="M","BOY","GIRL"))</f>
        <v/>
      </c>
      <c r="I2188" s="28" t="str">
        <f>IF('Paste SD Data'!J2185="","",'Paste SD Data'!J2185)</f>
        <v/>
      </c>
      <c r="J2188" s="34">
        <f t="shared" si="34"/>
        <v>2614</v>
      </c>
      <c r="K2188" s="29" t="str">
        <f>IF('Paste SD Data'!O2185="","",'Paste SD Data'!O2185)</f>
        <v/>
      </c>
    </row>
    <row r="2189" spans="1:11" ht="30" customHeight="1" x14ac:dyDescent="0.25">
      <c r="A2189" s="25" t="str">
        <f>IF(Table1[[#This Row],[Name of Student]]="","",ROWS($A$1:A2185))</f>
        <v/>
      </c>
      <c r="B2189" s="26" t="str">
        <f>IF('Paste SD Data'!A2186="","",'Paste SD Data'!A2186)</f>
        <v/>
      </c>
      <c r="C2189" s="26" t="str">
        <f>IF('Paste SD Data'!B2186="","",'Paste SD Data'!B2186)</f>
        <v/>
      </c>
      <c r="D2189" s="26" t="str">
        <f>IF('Paste SD Data'!C2186="","",'Paste SD Data'!C2186)</f>
        <v/>
      </c>
      <c r="E2189" s="27" t="str">
        <f>IF('Paste SD Data'!E2186="","",UPPER('Paste SD Data'!E2186))</f>
        <v/>
      </c>
      <c r="F2189" s="27" t="str">
        <f>IF('Paste SD Data'!G2186="","",UPPER('Paste SD Data'!G2186))</f>
        <v/>
      </c>
      <c r="G2189" s="27" t="str">
        <f>IF('Paste SD Data'!H2186="","",UPPER('Paste SD Data'!H2186))</f>
        <v/>
      </c>
      <c r="H2189" s="26" t="str">
        <f>IF('Paste SD Data'!I2186="","",IF('Paste SD Data'!I2186="M","BOY","GIRL"))</f>
        <v/>
      </c>
      <c r="I2189" s="28" t="str">
        <f>IF('Paste SD Data'!J2186="","",'Paste SD Data'!J2186)</f>
        <v/>
      </c>
      <c r="J2189" s="34">
        <f t="shared" si="34"/>
        <v>2615</v>
      </c>
      <c r="K2189" s="29" t="str">
        <f>IF('Paste SD Data'!O2186="","",'Paste SD Data'!O2186)</f>
        <v/>
      </c>
    </row>
    <row r="2190" spans="1:11" ht="30" customHeight="1" x14ac:dyDescent="0.25">
      <c r="A2190" s="25" t="str">
        <f>IF(Table1[[#This Row],[Name of Student]]="","",ROWS($A$1:A2186))</f>
        <v/>
      </c>
      <c r="B2190" s="26" t="str">
        <f>IF('Paste SD Data'!A2187="","",'Paste SD Data'!A2187)</f>
        <v/>
      </c>
      <c r="C2190" s="26" t="str">
        <f>IF('Paste SD Data'!B2187="","",'Paste SD Data'!B2187)</f>
        <v/>
      </c>
      <c r="D2190" s="26" t="str">
        <f>IF('Paste SD Data'!C2187="","",'Paste SD Data'!C2187)</f>
        <v/>
      </c>
      <c r="E2190" s="27" t="str">
        <f>IF('Paste SD Data'!E2187="","",UPPER('Paste SD Data'!E2187))</f>
        <v/>
      </c>
      <c r="F2190" s="27" t="str">
        <f>IF('Paste SD Data'!G2187="","",UPPER('Paste SD Data'!G2187))</f>
        <v/>
      </c>
      <c r="G2190" s="27" t="str">
        <f>IF('Paste SD Data'!H2187="","",UPPER('Paste SD Data'!H2187))</f>
        <v/>
      </c>
      <c r="H2190" s="26" t="str">
        <f>IF('Paste SD Data'!I2187="","",IF('Paste SD Data'!I2187="M","BOY","GIRL"))</f>
        <v/>
      </c>
      <c r="I2190" s="28" t="str">
        <f>IF('Paste SD Data'!J2187="","",'Paste SD Data'!J2187)</f>
        <v/>
      </c>
      <c r="J2190" s="34">
        <f t="shared" si="34"/>
        <v>2616</v>
      </c>
      <c r="K2190" s="29" t="str">
        <f>IF('Paste SD Data'!O2187="","",'Paste SD Data'!O2187)</f>
        <v/>
      </c>
    </row>
    <row r="2191" spans="1:11" ht="30" customHeight="1" x14ac:dyDescent="0.25">
      <c r="A2191" s="25" t="str">
        <f>IF(Table1[[#This Row],[Name of Student]]="","",ROWS($A$1:A2187))</f>
        <v/>
      </c>
      <c r="B2191" s="26" t="str">
        <f>IF('Paste SD Data'!A2188="","",'Paste SD Data'!A2188)</f>
        <v/>
      </c>
      <c r="C2191" s="26" t="str">
        <f>IF('Paste SD Data'!B2188="","",'Paste SD Data'!B2188)</f>
        <v/>
      </c>
      <c r="D2191" s="26" t="str">
        <f>IF('Paste SD Data'!C2188="","",'Paste SD Data'!C2188)</f>
        <v/>
      </c>
      <c r="E2191" s="27" t="str">
        <f>IF('Paste SD Data'!E2188="","",UPPER('Paste SD Data'!E2188))</f>
        <v/>
      </c>
      <c r="F2191" s="27" t="str">
        <f>IF('Paste SD Data'!G2188="","",UPPER('Paste SD Data'!G2188))</f>
        <v/>
      </c>
      <c r="G2191" s="27" t="str">
        <f>IF('Paste SD Data'!H2188="","",UPPER('Paste SD Data'!H2188))</f>
        <v/>
      </c>
      <c r="H2191" s="26" t="str">
        <f>IF('Paste SD Data'!I2188="","",IF('Paste SD Data'!I2188="M","BOY","GIRL"))</f>
        <v/>
      </c>
      <c r="I2191" s="28" t="str">
        <f>IF('Paste SD Data'!J2188="","",'Paste SD Data'!J2188)</f>
        <v/>
      </c>
      <c r="J2191" s="34">
        <f t="shared" si="34"/>
        <v>2617</v>
      </c>
      <c r="K2191" s="29" t="str">
        <f>IF('Paste SD Data'!O2188="","",'Paste SD Data'!O2188)</f>
        <v/>
      </c>
    </row>
    <row r="2192" spans="1:11" ht="30" customHeight="1" x14ac:dyDescent="0.25">
      <c r="A2192" s="25" t="str">
        <f>IF(Table1[[#This Row],[Name of Student]]="","",ROWS($A$1:A2188))</f>
        <v/>
      </c>
      <c r="B2192" s="26" t="str">
        <f>IF('Paste SD Data'!A2189="","",'Paste SD Data'!A2189)</f>
        <v/>
      </c>
      <c r="C2192" s="26" t="str">
        <f>IF('Paste SD Data'!B2189="","",'Paste SD Data'!B2189)</f>
        <v/>
      </c>
      <c r="D2192" s="26" t="str">
        <f>IF('Paste SD Data'!C2189="","",'Paste SD Data'!C2189)</f>
        <v/>
      </c>
      <c r="E2192" s="27" t="str">
        <f>IF('Paste SD Data'!E2189="","",UPPER('Paste SD Data'!E2189))</f>
        <v/>
      </c>
      <c r="F2192" s="27" t="str">
        <f>IF('Paste SD Data'!G2189="","",UPPER('Paste SD Data'!G2189))</f>
        <v/>
      </c>
      <c r="G2192" s="27" t="str">
        <f>IF('Paste SD Data'!H2189="","",UPPER('Paste SD Data'!H2189))</f>
        <v/>
      </c>
      <c r="H2192" s="26" t="str">
        <f>IF('Paste SD Data'!I2189="","",IF('Paste SD Data'!I2189="M","BOY","GIRL"))</f>
        <v/>
      </c>
      <c r="I2192" s="28" t="str">
        <f>IF('Paste SD Data'!J2189="","",'Paste SD Data'!J2189)</f>
        <v/>
      </c>
      <c r="J2192" s="34">
        <f t="shared" si="34"/>
        <v>2618</v>
      </c>
      <c r="K2192" s="29" t="str">
        <f>IF('Paste SD Data'!O2189="","",'Paste SD Data'!O2189)</f>
        <v/>
      </c>
    </row>
    <row r="2193" spans="1:11" ht="30" customHeight="1" x14ac:dyDescent="0.25">
      <c r="A2193" s="25" t="str">
        <f>IF(Table1[[#This Row],[Name of Student]]="","",ROWS($A$1:A2189))</f>
        <v/>
      </c>
      <c r="B2193" s="26" t="str">
        <f>IF('Paste SD Data'!A2190="","",'Paste SD Data'!A2190)</f>
        <v/>
      </c>
      <c r="C2193" s="26" t="str">
        <f>IF('Paste SD Data'!B2190="","",'Paste SD Data'!B2190)</f>
        <v/>
      </c>
      <c r="D2193" s="26" t="str">
        <f>IF('Paste SD Data'!C2190="","",'Paste SD Data'!C2190)</f>
        <v/>
      </c>
      <c r="E2193" s="27" t="str">
        <f>IF('Paste SD Data'!E2190="","",UPPER('Paste SD Data'!E2190))</f>
        <v/>
      </c>
      <c r="F2193" s="27" t="str">
        <f>IF('Paste SD Data'!G2190="","",UPPER('Paste SD Data'!G2190))</f>
        <v/>
      </c>
      <c r="G2193" s="27" t="str">
        <f>IF('Paste SD Data'!H2190="","",UPPER('Paste SD Data'!H2190))</f>
        <v/>
      </c>
      <c r="H2193" s="26" t="str">
        <f>IF('Paste SD Data'!I2190="","",IF('Paste SD Data'!I2190="M","BOY","GIRL"))</f>
        <v/>
      </c>
      <c r="I2193" s="28" t="str">
        <f>IF('Paste SD Data'!J2190="","",'Paste SD Data'!J2190)</f>
        <v/>
      </c>
      <c r="J2193" s="34">
        <f t="shared" si="34"/>
        <v>2619</v>
      </c>
      <c r="K2193" s="29" t="str">
        <f>IF('Paste SD Data'!O2190="","",'Paste SD Data'!O2190)</f>
        <v/>
      </c>
    </row>
    <row r="2194" spans="1:11" ht="30" customHeight="1" x14ac:dyDescent="0.25">
      <c r="A2194" s="25" t="str">
        <f>IF(Table1[[#This Row],[Name of Student]]="","",ROWS($A$1:A2190))</f>
        <v/>
      </c>
      <c r="B2194" s="26" t="str">
        <f>IF('Paste SD Data'!A2191="","",'Paste SD Data'!A2191)</f>
        <v/>
      </c>
      <c r="C2194" s="26" t="str">
        <f>IF('Paste SD Data'!B2191="","",'Paste SD Data'!B2191)</f>
        <v/>
      </c>
      <c r="D2194" s="26" t="str">
        <f>IF('Paste SD Data'!C2191="","",'Paste SD Data'!C2191)</f>
        <v/>
      </c>
      <c r="E2194" s="27" t="str">
        <f>IF('Paste SD Data'!E2191="","",UPPER('Paste SD Data'!E2191))</f>
        <v/>
      </c>
      <c r="F2194" s="27" t="str">
        <f>IF('Paste SD Data'!G2191="","",UPPER('Paste SD Data'!G2191))</f>
        <v/>
      </c>
      <c r="G2194" s="27" t="str">
        <f>IF('Paste SD Data'!H2191="","",UPPER('Paste SD Data'!H2191))</f>
        <v/>
      </c>
      <c r="H2194" s="26" t="str">
        <f>IF('Paste SD Data'!I2191="","",IF('Paste SD Data'!I2191="M","BOY","GIRL"))</f>
        <v/>
      </c>
      <c r="I2194" s="28" t="str">
        <f>IF('Paste SD Data'!J2191="","",'Paste SD Data'!J2191)</f>
        <v/>
      </c>
      <c r="J2194" s="34">
        <f t="shared" si="34"/>
        <v>2620</v>
      </c>
      <c r="K2194" s="29" t="str">
        <f>IF('Paste SD Data'!O2191="","",'Paste SD Data'!O2191)</f>
        <v/>
      </c>
    </row>
    <row r="2195" spans="1:11" ht="30" customHeight="1" x14ac:dyDescent="0.25">
      <c r="A2195" s="25" t="str">
        <f>IF(Table1[[#This Row],[Name of Student]]="","",ROWS($A$1:A2191))</f>
        <v/>
      </c>
      <c r="B2195" s="26" t="str">
        <f>IF('Paste SD Data'!A2192="","",'Paste SD Data'!A2192)</f>
        <v/>
      </c>
      <c r="C2195" s="26" t="str">
        <f>IF('Paste SD Data'!B2192="","",'Paste SD Data'!B2192)</f>
        <v/>
      </c>
      <c r="D2195" s="26" t="str">
        <f>IF('Paste SD Data'!C2192="","",'Paste SD Data'!C2192)</f>
        <v/>
      </c>
      <c r="E2195" s="27" t="str">
        <f>IF('Paste SD Data'!E2192="","",UPPER('Paste SD Data'!E2192))</f>
        <v/>
      </c>
      <c r="F2195" s="27" t="str">
        <f>IF('Paste SD Data'!G2192="","",UPPER('Paste SD Data'!G2192))</f>
        <v/>
      </c>
      <c r="G2195" s="27" t="str">
        <f>IF('Paste SD Data'!H2192="","",UPPER('Paste SD Data'!H2192))</f>
        <v/>
      </c>
      <c r="H2195" s="26" t="str">
        <f>IF('Paste SD Data'!I2192="","",IF('Paste SD Data'!I2192="M","BOY","GIRL"))</f>
        <v/>
      </c>
      <c r="I2195" s="28" t="str">
        <f>IF('Paste SD Data'!J2192="","",'Paste SD Data'!J2192)</f>
        <v/>
      </c>
      <c r="J2195" s="34">
        <f t="shared" si="34"/>
        <v>2621</v>
      </c>
      <c r="K2195" s="29" t="str">
        <f>IF('Paste SD Data'!O2192="","",'Paste SD Data'!O2192)</f>
        <v/>
      </c>
    </row>
    <row r="2196" spans="1:11" ht="30" customHeight="1" x14ac:dyDescent="0.25">
      <c r="A2196" s="25" t="str">
        <f>IF(Table1[[#This Row],[Name of Student]]="","",ROWS($A$1:A2192))</f>
        <v/>
      </c>
      <c r="B2196" s="26" t="str">
        <f>IF('Paste SD Data'!A2193="","",'Paste SD Data'!A2193)</f>
        <v/>
      </c>
      <c r="C2196" s="26" t="str">
        <f>IF('Paste SD Data'!B2193="","",'Paste SD Data'!B2193)</f>
        <v/>
      </c>
      <c r="D2196" s="26" t="str">
        <f>IF('Paste SD Data'!C2193="","",'Paste SD Data'!C2193)</f>
        <v/>
      </c>
      <c r="E2196" s="27" t="str">
        <f>IF('Paste SD Data'!E2193="","",UPPER('Paste SD Data'!E2193))</f>
        <v/>
      </c>
      <c r="F2196" s="27" t="str">
        <f>IF('Paste SD Data'!G2193="","",UPPER('Paste SD Data'!G2193))</f>
        <v/>
      </c>
      <c r="G2196" s="27" t="str">
        <f>IF('Paste SD Data'!H2193="","",UPPER('Paste SD Data'!H2193))</f>
        <v/>
      </c>
      <c r="H2196" s="26" t="str">
        <f>IF('Paste SD Data'!I2193="","",IF('Paste SD Data'!I2193="M","BOY","GIRL"))</f>
        <v/>
      </c>
      <c r="I2196" s="28" t="str">
        <f>IF('Paste SD Data'!J2193="","",'Paste SD Data'!J2193)</f>
        <v/>
      </c>
      <c r="J2196" s="34">
        <f t="shared" si="34"/>
        <v>2622</v>
      </c>
      <c r="K2196" s="29" t="str">
        <f>IF('Paste SD Data'!O2193="","",'Paste SD Data'!O2193)</f>
        <v/>
      </c>
    </row>
    <row r="2197" spans="1:11" ht="30" customHeight="1" x14ac:dyDescent="0.25">
      <c r="A2197" s="25" t="str">
        <f>IF(Table1[[#This Row],[Name of Student]]="","",ROWS($A$1:A2193))</f>
        <v/>
      </c>
      <c r="B2197" s="26" t="str">
        <f>IF('Paste SD Data'!A2194="","",'Paste SD Data'!A2194)</f>
        <v/>
      </c>
      <c r="C2197" s="26" t="str">
        <f>IF('Paste SD Data'!B2194="","",'Paste SD Data'!B2194)</f>
        <v/>
      </c>
      <c r="D2197" s="26" t="str">
        <f>IF('Paste SD Data'!C2194="","",'Paste SD Data'!C2194)</f>
        <v/>
      </c>
      <c r="E2197" s="27" t="str">
        <f>IF('Paste SD Data'!E2194="","",UPPER('Paste SD Data'!E2194))</f>
        <v/>
      </c>
      <c r="F2197" s="27" t="str">
        <f>IF('Paste SD Data'!G2194="","",UPPER('Paste SD Data'!G2194))</f>
        <v/>
      </c>
      <c r="G2197" s="27" t="str">
        <f>IF('Paste SD Data'!H2194="","",UPPER('Paste SD Data'!H2194))</f>
        <v/>
      </c>
      <c r="H2197" s="26" t="str">
        <f>IF('Paste SD Data'!I2194="","",IF('Paste SD Data'!I2194="M","BOY","GIRL"))</f>
        <v/>
      </c>
      <c r="I2197" s="28" t="str">
        <f>IF('Paste SD Data'!J2194="","",'Paste SD Data'!J2194)</f>
        <v/>
      </c>
      <c r="J2197" s="34">
        <f t="shared" si="34"/>
        <v>2623</v>
      </c>
      <c r="K2197" s="29" t="str">
        <f>IF('Paste SD Data'!O2194="","",'Paste SD Data'!O2194)</f>
        <v/>
      </c>
    </row>
    <row r="2198" spans="1:11" ht="30" customHeight="1" x14ac:dyDescent="0.25">
      <c r="A2198" s="25" t="str">
        <f>IF(Table1[[#This Row],[Name of Student]]="","",ROWS($A$1:A2194))</f>
        <v/>
      </c>
      <c r="B2198" s="26" t="str">
        <f>IF('Paste SD Data'!A2195="","",'Paste SD Data'!A2195)</f>
        <v/>
      </c>
      <c r="C2198" s="26" t="str">
        <f>IF('Paste SD Data'!B2195="","",'Paste SD Data'!B2195)</f>
        <v/>
      </c>
      <c r="D2198" s="26" t="str">
        <f>IF('Paste SD Data'!C2195="","",'Paste SD Data'!C2195)</f>
        <v/>
      </c>
      <c r="E2198" s="27" t="str">
        <f>IF('Paste SD Data'!E2195="","",UPPER('Paste SD Data'!E2195))</f>
        <v/>
      </c>
      <c r="F2198" s="27" t="str">
        <f>IF('Paste SD Data'!G2195="","",UPPER('Paste SD Data'!G2195))</f>
        <v/>
      </c>
      <c r="G2198" s="27" t="str">
        <f>IF('Paste SD Data'!H2195="","",UPPER('Paste SD Data'!H2195))</f>
        <v/>
      </c>
      <c r="H2198" s="26" t="str">
        <f>IF('Paste SD Data'!I2195="","",IF('Paste SD Data'!I2195="M","BOY","GIRL"))</f>
        <v/>
      </c>
      <c r="I2198" s="28" t="str">
        <f>IF('Paste SD Data'!J2195="","",'Paste SD Data'!J2195)</f>
        <v/>
      </c>
      <c r="J2198" s="34">
        <f t="shared" si="34"/>
        <v>2624</v>
      </c>
      <c r="K2198" s="29" t="str">
        <f>IF('Paste SD Data'!O2195="","",'Paste SD Data'!O2195)</f>
        <v/>
      </c>
    </row>
    <row r="2199" spans="1:11" ht="30" customHeight="1" x14ac:dyDescent="0.25">
      <c r="A2199" s="25" t="str">
        <f>IF(Table1[[#This Row],[Name of Student]]="","",ROWS($A$1:A2195))</f>
        <v/>
      </c>
      <c r="B2199" s="26" t="str">
        <f>IF('Paste SD Data'!A2196="","",'Paste SD Data'!A2196)</f>
        <v/>
      </c>
      <c r="C2199" s="26" t="str">
        <f>IF('Paste SD Data'!B2196="","",'Paste SD Data'!B2196)</f>
        <v/>
      </c>
      <c r="D2199" s="26" t="str">
        <f>IF('Paste SD Data'!C2196="","",'Paste SD Data'!C2196)</f>
        <v/>
      </c>
      <c r="E2199" s="27" t="str">
        <f>IF('Paste SD Data'!E2196="","",UPPER('Paste SD Data'!E2196))</f>
        <v/>
      </c>
      <c r="F2199" s="27" t="str">
        <f>IF('Paste SD Data'!G2196="","",UPPER('Paste SD Data'!G2196))</f>
        <v/>
      </c>
      <c r="G2199" s="27" t="str">
        <f>IF('Paste SD Data'!H2196="","",UPPER('Paste SD Data'!H2196))</f>
        <v/>
      </c>
      <c r="H2199" s="26" t="str">
        <f>IF('Paste SD Data'!I2196="","",IF('Paste SD Data'!I2196="M","BOY","GIRL"))</f>
        <v/>
      </c>
      <c r="I2199" s="28" t="str">
        <f>IF('Paste SD Data'!J2196="","",'Paste SD Data'!J2196)</f>
        <v/>
      </c>
      <c r="J2199" s="34">
        <f t="shared" si="34"/>
        <v>2625</v>
      </c>
      <c r="K2199" s="29" t="str">
        <f>IF('Paste SD Data'!O2196="","",'Paste SD Data'!O2196)</f>
        <v/>
      </c>
    </row>
    <row r="2200" spans="1:11" ht="30" customHeight="1" x14ac:dyDescent="0.25">
      <c r="A2200" s="25" t="str">
        <f>IF(Table1[[#This Row],[Name of Student]]="","",ROWS($A$1:A2196))</f>
        <v/>
      </c>
      <c r="B2200" s="26" t="str">
        <f>IF('Paste SD Data'!A2197="","",'Paste SD Data'!A2197)</f>
        <v/>
      </c>
      <c r="C2200" s="26" t="str">
        <f>IF('Paste SD Data'!B2197="","",'Paste SD Data'!B2197)</f>
        <v/>
      </c>
      <c r="D2200" s="26" t="str">
        <f>IF('Paste SD Data'!C2197="","",'Paste SD Data'!C2197)</f>
        <v/>
      </c>
      <c r="E2200" s="27" t="str">
        <f>IF('Paste SD Data'!E2197="","",UPPER('Paste SD Data'!E2197))</f>
        <v/>
      </c>
      <c r="F2200" s="27" t="str">
        <f>IF('Paste SD Data'!G2197="","",UPPER('Paste SD Data'!G2197))</f>
        <v/>
      </c>
      <c r="G2200" s="27" t="str">
        <f>IF('Paste SD Data'!H2197="","",UPPER('Paste SD Data'!H2197))</f>
        <v/>
      </c>
      <c r="H2200" s="26" t="str">
        <f>IF('Paste SD Data'!I2197="","",IF('Paste SD Data'!I2197="M","BOY","GIRL"))</f>
        <v/>
      </c>
      <c r="I2200" s="28" t="str">
        <f>IF('Paste SD Data'!J2197="","",'Paste SD Data'!J2197)</f>
        <v/>
      </c>
      <c r="J2200" s="34">
        <f t="shared" si="34"/>
        <v>2626</v>
      </c>
      <c r="K2200" s="29" t="str">
        <f>IF('Paste SD Data'!O2197="","",'Paste SD Data'!O2197)</f>
        <v/>
      </c>
    </row>
    <row r="2201" spans="1:11" ht="30" customHeight="1" x14ac:dyDescent="0.25">
      <c r="A2201" s="25" t="str">
        <f>IF(Table1[[#This Row],[Name of Student]]="","",ROWS($A$1:A2197))</f>
        <v/>
      </c>
      <c r="B2201" s="26" t="str">
        <f>IF('Paste SD Data'!A2198="","",'Paste SD Data'!A2198)</f>
        <v/>
      </c>
      <c r="C2201" s="26" t="str">
        <f>IF('Paste SD Data'!B2198="","",'Paste SD Data'!B2198)</f>
        <v/>
      </c>
      <c r="D2201" s="26" t="str">
        <f>IF('Paste SD Data'!C2198="","",'Paste SD Data'!C2198)</f>
        <v/>
      </c>
      <c r="E2201" s="27" t="str">
        <f>IF('Paste SD Data'!E2198="","",UPPER('Paste SD Data'!E2198))</f>
        <v/>
      </c>
      <c r="F2201" s="27" t="str">
        <f>IF('Paste SD Data'!G2198="","",UPPER('Paste SD Data'!G2198))</f>
        <v/>
      </c>
      <c r="G2201" s="27" t="str">
        <f>IF('Paste SD Data'!H2198="","",UPPER('Paste SD Data'!H2198))</f>
        <v/>
      </c>
      <c r="H2201" s="26" t="str">
        <f>IF('Paste SD Data'!I2198="","",IF('Paste SD Data'!I2198="M","BOY","GIRL"))</f>
        <v/>
      </c>
      <c r="I2201" s="28" t="str">
        <f>IF('Paste SD Data'!J2198="","",'Paste SD Data'!J2198)</f>
        <v/>
      </c>
      <c r="J2201" s="34">
        <f t="shared" si="34"/>
        <v>2627</v>
      </c>
      <c r="K2201" s="29" t="str">
        <f>IF('Paste SD Data'!O2198="","",'Paste SD Data'!O2198)</f>
        <v/>
      </c>
    </row>
    <row r="2202" spans="1:11" ht="30" customHeight="1" x14ac:dyDescent="0.25">
      <c r="A2202" s="25" t="str">
        <f>IF(Table1[[#This Row],[Name of Student]]="","",ROWS($A$1:A2198))</f>
        <v/>
      </c>
      <c r="B2202" s="26" t="str">
        <f>IF('Paste SD Data'!A2199="","",'Paste SD Data'!A2199)</f>
        <v/>
      </c>
      <c r="C2202" s="26" t="str">
        <f>IF('Paste SD Data'!B2199="","",'Paste SD Data'!B2199)</f>
        <v/>
      </c>
      <c r="D2202" s="26" t="str">
        <f>IF('Paste SD Data'!C2199="","",'Paste SD Data'!C2199)</f>
        <v/>
      </c>
      <c r="E2202" s="27" t="str">
        <f>IF('Paste SD Data'!E2199="","",UPPER('Paste SD Data'!E2199))</f>
        <v/>
      </c>
      <c r="F2202" s="27" t="str">
        <f>IF('Paste SD Data'!G2199="","",UPPER('Paste SD Data'!G2199))</f>
        <v/>
      </c>
      <c r="G2202" s="27" t="str">
        <f>IF('Paste SD Data'!H2199="","",UPPER('Paste SD Data'!H2199))</f>
        <v/>
      </c>
      <c r="H2202" s="26" t="str">
        <f>IF('Paste SD Data'!I2199="","",IF('Paste SD Data'!I2199="M","BOY","GIRL"))</f>
        <v/>
      </c>
      <c r="I2202" s="28" t="str">
        <f>IF('Paste SD Data'!J2199="","",'Paste SD Data'!J2199)</f>
        <v/>
      </c>
      <c r="J2202" s="34">
        <f t="shared" si="34"/>
        <v>2628</v>
      </c>
      <c r="K2202" s="29" t="str">
        <f>IF('Paste SD Data'!O2199="","",'Paste SD Data'!O2199)</f>
        <v/>
      </c>
    </row>
    <row r="2203" spans="1:11" ht="30" customHeight="1" x14ac:dyDescent="0.25">
      <c r="A2203" s="25" t="str">
        <f>IF(Table1[[#This Row],[Name of Student]]="","",ROWS($A$1:A2199))</f>
        <v/>
      </c>
      <c r="B2203" s="26" t="str">
        <f>IF('Paste SD Data'!A2200="","",'Paste SD Data'!A2200)</f>
        <v/>
      </c>
      <c r="C2203" s="26" t="str">
        <f>IF('Paste SD Data'!B2200="","",'Paste SD Data'!B2200)</f>
        <v/>
      </c>
      <c r="D2203" s="26" t="str">
        <f>IF('Paste SD Data'!C2200="","",'Paste SD Data'!C2200)</f>
        <v/>
      </c>
      <c r="E2203" s="27" t="str">
        <f>IF('Paste SD Data'!E2200="","",UPPER('Paste SD Data'!E2200))</f>
        <v/>
      </c>
      <c r="F2203" s="27" t="str">
        <f>IF('Paste SD Data'!G2200="","",UPPER('Paste SD Data'!G2200))</f>
        <v/>
      </c>
      <c r="G2203" s="27" t="str">
        <f>IF('Paste SD Data'!H2200="","",UPPER('Paste SD Data'!H2200))</f>
        <v/>
      </c>
      <c r="H2203" s="26" t="str">
        <f>IF('Paste SD Data'!I2200="","",IF('Paste SD Data'!I2200="M","BOY","GIRL"))</f>
        <v/>
      </c>
      <c r="I2203" s="28" t="str">
        <f>IF('Paste SD Data'!J2200="","",'Paste SD Data'!J2200)</f>
        <v/>
      </c>
      <c r="J2203" s="34">
        <f t="shared" si="34"/>
        <v>2629</v>
      </c>
      <c r="K2203" s="29" t="str">
        <f>IF('Paste SD Data'!O2200="","",'Paste SD Data'!O2200)</f>
        <v/>
      </c>
    </row>
    <row r="2204" spans="1:11" ht="30" customHeight="1" x14ac:dyDescent="0.25">
      <c r="A2204" s="25" t="str">
        <f>IF(Table1[[#This Row],[Name of Student]]="","",ROWS($A$1:A2200))</f>
        <v/>
      </c>
      <c r="B2204" s="26" t="str">
        <f>IF('Paste SD Data'!A2201="","",'Paste SD Data'!A2201)</f>
        <v/>
      </c>
      <c r="C2204" s="26" t="str">
        <f>IF('Paste SD Data'!B2201="","",'Paste SD Data'!B2201)</f>
        <v/>
      </c>
      <c r="D2204" s="26" t="str">
        <f>IF('Paste SD Data'!C2201="","",'Paste SD Data'!C2201)</f>
        <v/>
      </c>
      <c r="E2204" s="27" t="str">
        <f>IF('Paste SD Data'!E2201="","",UPPER('Paste SD Data'!E2201))</f>
        <v/>
      </c>
      <c r="F2204" s="27" t="str">
        <f>IF('Paste SD Data'!G2201="","",UPPER('Paste SD Data'!G2201))</f>
        <v/>
      </c>
      <c r="G2204" s="27" t="str">
        <f>IF('Paste SD Data'!H2201="","",UPPER('Paste SD Data'!H2201))</f>
        <v/>
      </c>
      <c r="H2204" s="26" t="str">
        <f>IF('Paste SD Data'!I2201="","",IF('Paste SD Data'!I2201="M","BOY","GIRL"))</f>
        <v/>
      </c>
      <c r="I2204" s="28" t="str">
        <f>IF('Paste SD Data'!J2201="","",'Paste SD Data'!J2201)</f>
        <v/>
      </c>
      <c r="J2204" s="34">
        <f t="shared" si="34"/>
        <v>2630</v>
      </c>
      <c r="K2204" s="29" t="str">
        <f>IF('Paste SD Data'!O2201="","",'Paste SD Data'!O2201)</f>
        <v/>
      </c>
    </row>
    <row r="2205" spans="1:11" ht="30" customHeight="1" x14ac:dyDescent="0.25">
      <c r="A2205" s="25" t="str">
        <f>IF(Table1[[#This Row],[Name of Student]]="","",ROWS($A$1:A2201))</f>
        <v/>
      </c>
      <c r="B2205" s="26" t="str">
        <f>IF('Paste SD Data'!A2202="","",'Paste SD Data'!A2202)</f>
        <v/>
      </c>
      <c r="C2205" s="26" t="str">
        <f>IF('Paste SD Data'!B2202="","",'Paste SD Data'!B2202)</f>
        <v/>
      </c>
      <c r="D2205" s="26" t="str">
        <f>IF('Paste SD Data'!C2202="","",'Paste SD Data'!C2202)</f>
        <v/>
      </c>
      <c r="E2205" s="27" t="str">
        <f>IF('Paste SD Data'!E2202="","",UPPER('Paste SD Data'!E2202))</f>
        <v/>
      </c>
      <c r="F2205" s="27" t="str">
        <f>IF('Paste SD Data'!G2202="","",UPPER('Paste SD Data'!G2202))</f>
        <v/>
      </c>
      <c r="G2205" s="27" t="str">
        <f>IF('Paste SD Data'!H2202="","",UPPER('Paste SD Data'!H2202))</f>
        <v/>
      </c>
      <c r="H2205" s="26" t="str">
        <f>IF('Paste SD Data'!I2202="","",IF('Paste SD Data'!I2202="M","BOY","GIRL"))</f>
        <v/>
      </c>
      <c r="I2205" s="28" t="str">
        <f>IF('Paste SD Data'!J2202="","",'Paste SD Data'!J2202)</f>
        <v/>
      </c>
      <c r="J2205" s="34">
        <f t="shared" si="34"/>
        <v>2631</v>
      </c>
      <c r="K2205" s="29" t="str">
        <f>IF('Paste SD Data'!O2202="","",'Paste SD Data'!O2202)</f>
        <v/>
      </c>
    </row>
    <row r="2206" spans="1:11" ht="30" customHeight="1" x14ac:dyDescent="0.25">
      <c r="A2206" s="25" t="str">
        <f>IF(Table1[[#This Row],[Name of Student]]="","",ROWS($A$1:A2202))</f>
        <v/>
      </c>
      <c r="B2206" s="26" t="str">
        <f>IF('Paste SD Data'!A2203="","",'Paste SD Data'!A2203)</f>
        <v/>
      </c>
      <c r="C2206" s="26" t="str">
        <f>IF('Paste SD Data'!B2203="","",'Paste SD Data'!B2203)</f>
        <v/>
      </c>
      <c r="D2206" s="26" t="str">
        <f>IF('Paste SD Data'!C2203="","",'Paste SD Data'!C2203)</f>
        <v/>
      </c>
      <c r="E2206" s="27" t="str">
        <f>IF('Paste SD Data'!E2203="","",UPPER('Paste SD Data'!E2203))</f>
        <v/>
      </c>
      <c r="F2206" s="27" t="str">
        <f>IF('Paste SD Data'!G2203="","",UPPER('Paste SD Data'!G2203))</f>
        <v/>
      </c>
      <c r="G2206" s="27" t="str">
        <f>IF('Paste SD Data'!H2203="","",UPPER('Paste SD Data'!H2203))</f>
        <v/>
      </c>
      <c r="H2206" s="26" t="str">
        <f>IF('Paste SD Data'!I2203="","",IF('Paste SD Data'!I2203="M","BOY","GIRL"))</f>
        <v/>
      </c>
      <c r="I2206" s="28" t="str">
        <f>IF('Paste SD Data'!J2203="","",'Paste SD Data'!J2203)</f>
        <v/>
      </c>
      <c r="J2206" s="34">
        <f t="shared" si="34"/>
        <v>2632</v>
      </c>
      <c r="K2206" s="29" t="str">
        <f>IF('Paste SD Data'!O2203="","",'Paste SD Data'!O2203)</f>
        <v/>
      </c>
    </row>
    <row r="2207" spans="1:11" ht="30" customHeight="1" x14ac:dyDescent="0.25">
      <c r="A2207" s="25" t="str">
        <f>IF(Table1[[#This Row],[Name of Student]]="","",ROWS($A$1:A2203))</f>
        <v/>
      </c>
      <c r="B2207" s="26" t="str">
        <f>IF('Paste SD Data'!A2204="","",'Paste SD Data'!A2204)</f>
        <v/>
      </c>
      <c r="C2207" s="26" t="str">
        <f>IF('Paste SD Data'!B2204="","",'Paste SD Data'!B2204)</f>
        <v/>
      </c>
      <c r="D2207" s="26" t="str">
        <f>IF('Paste SD Data'!C2204="","",'Paste SD Data'!C2204)</f>
        <v/>
      </c>
      <c r="E2207" s="27" t="str">
        <f>IF('Paste SD Data'!E2204="","",UPPER('Paste SD Data'!E2204))</f>
        <v/>
      </c>
      <c r="F2207" s="27" t="str">
        <f>IF('Paste SD Data'!G2204="","",UPPER('Paste SD Data'!G2204))</f>
        <v/>
      </c>
      <c r="G2207" s="27" t="str">
        <f>IF('Paste SD Data'!H2204="","",UPPER('Paste SD Data'!H2204))</f>
        <v/>
      </c>
      <c r="H2207" s="26" t="str">
        <f>IF('Paste SD Data'!I2204="","",IF('Paste SD Data'!I2204="M","BOY","GIRL"))</f>
        <v/>
      </c>
      <c r="I2207" s="28" t="str">
        <f>IF('Paste SD Data'!J2204="","",'Paste SD Data'!J2204)</f>
        <v/>
      </c>
      <c r="J2207" s="34">
        <f t="shared" si="34"/>
        <v>2633</v>
      </c>
      <c r="K2207" s="29" t="str">
        <f>IF('Paste SD Data'!O2204="","",'Paste SD Data'!O2204)</f>
        <v/>
      </c>
    </row>
    <row r="2208" spans="1:11" ht="30" customHeight="1" x14ac:dyDescent="0.25">
      <c r="A2208" s="25" t="str">
        <f>IF(Table1[[#This Row],[Name of Student]]="","",ROWS($A$1:A2204))</f>
        <v/>
      </c>
      <c r="B2208" s="26" t="str">
        <f>IF('Paste SD Data'!A2205="","",'Paste SD Data'!A2205)</f>
        <v/>
      </c>
      <c r="C2208" s="26" t="str">
        <f>IF('Paste SD Data'!B2205="","",'Paste SD Data'!B2205)</f>
        <v/>
      </c>
      <c r="D2208" s="26" t="str">
        <f>IF('Paste SD Data'!C2205="","",'Paste SD Data'!C2205)</f>
        <v/>
      </c>
      <c r="E2208" s="27" t="str">
        <f>IF('Paste SD Data'!E2205="","",UPPER('Paste SD Data'!E2205))</f>
        <v/>
      </c>
      <c r="F2208" s="27" t="str">
        <f>IF('Paste SD Data'!G2205="","",UPPER('Paste SD Data'!G2205))</f>
        <v/>
      </c>
      <c r="G2208" s="27" t="str">
        <f>IF('Paste SD Data'!H2205="","",UPPER('Paste SD Data'!H2205))</f>
        <v/>
      </c>
      <c r="H2208" s="26" t="str">
        <f>IF('Paste SD Data'!I2205="","",IF('Paste SD Data'!I2205="M","BOY","GIRL"))</f>
        <v/>
      </c>
      <c r="I2208" s="28" t="str">
        <f>IF('Paste SD Data'!J2205="","",'Paste SD Data'!J2205)</f>
        <v/>
      </c>
      <c r="J2208" s="34">
        <f t="shared" si="34"/>
        <v>2634</v>
      </c>
      <c r="K2208" s="29" t="str">
        <f>IF('Paste SD Data'!O2205="","",'Paste SD Data'!O2205)</f>
        <v/>
      </c>
    </row>
    <row r="2209" spans="1:11" ht="30" customHeight="1" x14ac:dyDescent="0.25">
      <c r="A2209" s="25" t="str">
        <f>IF(Table1[[#This Row],[Name of Student]]="","",ROWS($A$1:A2205))</f>
        <v/>
      </c>
      <c r="B2209" s="26" t="str">
        <f>IF('Paste SD Data'!A2206="","",'Paste SD Data'!A2206)</f>
        <v/>
      </c>
      <c r="C2209" s="26" t="str">
        <f>IF('Paste SD Data'!B2206="","",'Paste SD Data'!B2206)</f>
        <v/>
      </c>
      <c r="D2209" s="26" t="str">
        <f>IF('Paste SD Data'!C2206="","",'Paste SD Data'!C2206)</f>
        <v/>
      </c>
      <c r="E2209" s="27" t="str">
        <f>IF('Paste SD Data'!E2206="","",UPPER('Paste SD Data'!E2206))</f>
        <v/>
      </c>
      <c r="F2209" s="27" t="str">
        <f>IF('Paste SD Data'!G2206="","",UPPER('Paste SD Data'!G2206))</f>
        <v/>
      </c>
      <c r="G2209" s="27" t="str">
        <f>IF('Paste SD Data'!H2206="","",UPPER('Paste SD Data'!H2206))</f>
        <v/>
      </c>
      <c r="H2209" s="26" t="str">
        <f>IF('Paste SD Data'!I2206="","",IF('Paste SD Data'!I2206="M","BOY","GIRL"))</f>
        <v/>
      </c>
      <c r="I2209" s="28" t="str">
        <f>IF('Paste SD Data'!J2206="","",'Paste SD Data'!J2206)</f>
        <v/>
      </c>
      <c r="J2209" s="34">
        <f t="shared" si="34"/>
        <v>2635</v>
      </c>
      <c r="K2209" s="29" t="str">
        <f>IF('Paste SD Data'!O2206="","",'Paste SD Data'!O2206)</f>
        <v/>
      </c>
    </row>
    <row r="2210" spans="1:11" ht="30" customHeight="1" x14ac:dyDescent="0.25">
      <c r="A2210" s="25" t="str">
        <f>IF(Table1[[#This Row],[Name of Student]]="","",ROWS($A$1:A2206))</f>
        <v/>
      </c>
      <c r="B2210" s="26" t="str">
        <f>IF('Paste SD Data'!A2207="","",'Paste SD Data'!A2207)</f>
        <v/>
      </c>
      <c r="C2210" s="26" t="str">
        <f>IF('Paste SD Data'!B2207="","",'Paste SD Data'!B2207)</f>
        <v/>
      </c>
      <c r="D2210" s="26" t="str">
        <f>IF('Paste SD Data'!C2207="","",'Paste SD Data'!C2207)</f>
        <v/>
      </c>
      <c r="E2210" s="27" t="str">
        <f>IF('Paste SD Data'!E2207="","",UPPER('Paste SD Data'!E2207))</f>
        <v/>
      </c>
      <c r="F2210" s="27" t="str">
        <f>IF('Paste SD Data'!G2207="","",UPPER('Paste SD Data'!G2207))</f>
        <v/>
      </c>
      <c r="G2210" s="27" t="str">
        <f>IF('Paste SD Data'!H2207="","",UPPER('Paste SD Data'!H2207))</f>
        <v/>
      </c>
      <c r="H2210" s="26" t="str">
        <f>IF('Paste SD Data'!I2207="","",IF('Paste SD Data'!I2207="M","BOY","GIRL"))</f>
        <v/>
      </c>
      <c r="I2210" s="28" t="str">
        <f>IF('Paste SD Data'!J2207="","",'Paste SD Data'!J2207)</f>
        <v/>
      </c>
      <c r="J2210" s="34">
        <f t="shared" si="34"/>
        <v>2636</v>
      </c>
      <c r="K2210" s="29" t="str">
        <f>IF('Paste SD Data'!O2207="","",'Paste SD Data'!O2207)</f>
        <v/>
      </c>
    </row>
    <row r="2211" spans="1:11" ht="30" customHeight="1" x14ac:dyDescent="0.25">
      <c r="A2211" s="25" t="str">
        <f>IF(Table1[[#This Row],[Name of Student]]="","",ROWS($A$1:A2207))</f>
        <v/>
      </c>
      <c r="B2211" s="26" t="str">
        <f>IF('Paste SD Data'!A2208="","",'Paste SD Data'!A2208)</f>
        <v/>
      </c>
      <c r="C2211" s="26" t="str">
        <f>IF('Paste SD Data'!B2208="","",'Paste SD Data'!B2208)</f>
        <v/>
      </c>
      <c r="D2211" s="26" t="str">
        <f>IF('Paste SD Data'!C2208="","",'Paste SD Data'!C2208)</f>
        <v/>
      </c>
      <c r="E2211" s="27" t="str">
        <f>IF('Paste SD Data'!E2208="","",UPPER('Paste SD Data'!E2208))</f>
        <v/>
      </c>
      <c r="F2211" s="27" t="str">
        <f>IF('Paste SD Data'!G2208="","",UPPER('Paste SD Data'!G2208))</f>
        <v/>
      </c>
      <c r="G2211" s="27" t="str">
        <f>IF('Paste SD Data'!H2208="","",UPPER('Paste SD Data'!H2208))</f>
        <v/>
      </c>
      <c r="H2211" s="26" t="str">
        <f>IF('Paste SD Data'!I2208="","",IF('Paste SD Data'!I2208="M","BOY","GIRL"))</f>
        <v/>
      </c>
      <c r="I2211" s="28" t="str">
        <f>IF('Paste SD Data'!J2208="","",'Paste SD Data'!J2208)</f>
        <v/>
      </c>
      <c r="J2211" s="34">
        <f t="shared" si="34"/>
        <v>2637</v>
      </c>
      <c r="K2211" s="29" t="str">
        <f>IF('Paste SD Data'!O2208="","",'Paste SD Data'!O2208)</f>
        <v/>
      </c>
    </row>
    <row r="2212" spans="1:11" ht="30" customHeight="1" x14ac:dyDescent="0.25">
      <c r="A2212" s="25" t="str">
        <f>IF(Table1[[#This Row],[Name of Student]]="","",ROWS($A$1:A2208))</f>
        <v/>
      </c>
      <c r="B2212" s="26" t="str">
        <f>IF('Paste SD Data'!A2209="","",'Paste SD Data'!A2209)</f>
        <v/>
      </c>
      <c r="C2212" s="26" t="str">
        <f>IF('Paste SD Data'!B2209="","",'Paste SD Data'!B2209)</f>
        <v/>
      </c>
      <c r="D2212" s="26" t="str">
        <f>IF('Paste SD Data'!C2209="","",'Paste SD Data'!C2209)</f>
        <v/>
      </c>
      <c r="E2212" s="27" t="str">
        <f>IF('Paste SD Data'!E2209="","",UPPER('Paste SD Data'!E2209))</f>
        <v/>
      </c>
      <c r="F2212" s="27" t="str">
        <f>IF('Paste SD Data'!G2209="","",UPPER('Paste SD Data'!G2209))</f>
        <v/>
      </c>
      <c r="G2212" s="27" t="str">
        <f>IF('Paste SD Data'!H2209="","",UPPER('Paste SD Data'!H2209))</f>
        <v/>
      </c>
      <c r="H2212" s="26" t="str">
        <f>IF('Paste SD Data'!I2209="","",IF('Paste SD Data'!I2209="M","BOY","GIRL"))</f>
        <v/>
      </c>
      <c r="I2212" s="28" t="str">
        <f>IF('Paste SD Data'!J2209="","",'Paste SD Data'!J2209)</f>
        <v/>
      </c>
      <c r="J2212" s="34">
        <f t="shared" si="34"/>
        <v>2638</v>
      </c>
      <c r="K2212" s="29" t="str">
        <f>IF('Paste SD Data'!O2209="","",'Paste SD Data'!O2209)</f>
        <v/>
      </c>
    </row>
    <row r="2213" spans="1:11" ht="30" customHeight="1" x14ac:dyDescent="0.25">
      <c r="A2213" s="25" t="str">
        <f>IF(Table1[[#This Row],[Name of Student]]="","",ROWS($A$1:A2209))</f>
        <v/>
      </c>
      <c r="B2213" s="26" t="str">
        <f>IF('Paste SD Data'!A2210="","",'Paste SD Data'!A2210)</f>
        <v/>
      </c>
      <c r="C2213" s="26" t="str">
        <f>IF('Paste SD Data'!B2210="","",'Paste SD Data'!B2210)</f>
        <v/>
      </c>
      <c r="D2213" s="26" t="str">
        <f>IF('Paste SD Data'!C2210="","",'Paste SD Data'!C2210)</f>
        <v/>
      </c>
      <c r="E2213" s="27" t="str">
        <f>IF('Paste SD Data'!E2210="","",UPPER('Paste SD Data'!E2210))</f>
        <v/>
      </c>
      <c r="F2213" s="27" t="str">
        <f>IF('Paste SD Data'!G2210="","",UPPER('Paste SD Data'!G2210))</f>
        <v/>
      </c>
      <c r="G2213" s="27" t="str">
        <f>IF('Paste SD Data'!H2210="","",UPPER('Paste SD Data'!H2210))</f>
        <v/>
      </c>
      <c r="H2213" s="26" t="str">
        <f>IF('Paste SD Data'!I2210="","",IF('Paste SD Data'!I2210="M","BOY","GIRL"))</f>
        <v/>
      </c>
      <c r="I2213" s="28" t="str">
        <f>IF('Paste SD Data'!J2210="","",'Paste SD Data'!J2210)</f>
        <v/>
      </c>
      <c r="J2213" s="34">
        <f t="shared" si="34"/>
        <v>2639</v>
      </c>
      <c r="K2213" s="29" t="str">
        <f>IF('Paste SD Data'!O2210="","",'Paste SD Data'!O2210)</f>
        <v/>
      </c>
    </row>
    <row r="2214" spans="1:11" ht="30" customHeight="1" x14ac:dyDescent="0.25">
      <c r="A2214" s="25" t="str">
        <f>IF(Table1[[#This Row],[Name of Student]]="","",ROWS($A$1:A2210))</f>
        <v/>
      </c>
      <c r="B2214" s="26" t="str">
        <f>IF('Paste SD Data'!A2211="","",'Paste SD Data'!A2211)</f>
        <v/>
      </c>
      <c r="C2214" s="26" t="str">
        <f>IF('Paste SD Data'!B2211="","",'Paste SD Data'!B2211)</f>
        <v/>
      </c>
      <c r="D2214" s="26" t="str">
        <f>IF('Paste SD Data'!C2211="","",'Paste SD Data'!C2211)</f>
        <v/>
      </c>
      <c r="E2214" s="27" t="str">
        <f>IF('Paste SD Data'!E2211="","",UPPER('Paste SD Data'!E2211))</f>
        <v/>
      </c>
      <c r="F2214" s="27" t="str">
        <f>IF('Paste SD Data'!G2211="","",UPPER('Paste SD Data'!G2211))</f>
        <v/>
      </c>
      <c r="G2214" s="27" t="str">
        <f>IF('Paste SD Data'!H2211="","",UPPER('Paste SD Data'!H2211))</f>
        <v/>
      </c>
      <c r="H2214" s="26" t="str">
        <f>IF('Paste SD Data'!I2211="","",IF('Paste SD Data'!I2211="M","BOY","GIRL"))</f>
        <v/>
      </c>
      <c r="I2214" s="28" t="str">
        <f>IF('Paste SD Data'!J2211="","",'Paste SD Data'!J2211)</f>
        <v/>
      </c>
      <c r="J2214" s="34">
        <f t="shared" si="34"/>
        <v>2640</v>
      </c>
      <c r="K2214" s="29" t="str">
        <f>IF('Paste SD Data'!O2211="","",'Paste SD Data'!O2211)</f>
        <v/>
      </c>
    </row>
    <row r="2215" spans="1:11" ht="30" customHeight="1" x14ac:dyDescent="0.25">
      <c r="A2215" s="25" t="str">
        <f>IF(Table1[[#This Row],[Name of Student]]="","",ROWS($A$1:A2211))</f>
        <v/>
      </c>
      <c r="B2215" s="26" t="str">
        <f>IF('Paste SD Data'!A2212="","",'Paste SD Data'!A2212)</f>
        <v/>
      </c>
      <c r="C2215" s="26" t="str">
        <f>IF('Paste SD Data'!B2212="","",'Paste SD Data'!B2212)</f>
        <v/>
      </c>
      <c r="D2215" s="26" t="str">
        <f>IF('Paste SD Data'!C2212="","",'Paste SD Data'!C2212)</f>
        <v/>
      </c>
      <c r="E2215" s="27" t="str">
        <f>IF('Paste SD Data'!E2212="","",UPPER('Paste SD Data'!E2212))</f>
        <v/>
      </c>
      <c r="F2215" s="27" t="str">
        <f>IF('Paste SD Data'!G2212="","",UPPER('Paste SD Data'!G2212))</f>
        <v/>
      </c>
      <c r="G2215" s="27" t="str">
        <f>IF('Paste SD Data'!H2212="","",UPPER('Paste SD Data'!H2212))</f>
        <v/>
      </c>
      <c r="H2215" s="26" t="str">
        <f>IF('Paste SD Data'!I2212="","",IF('Paste SD Data'!I2212="M","BOY","GIRL"))</f>
        <v/>
      </c>
      <c r="I2215" s="28" t="str">
        <f>IF('Paste SD Data'!J2212="","",'Paste SD Data'!J2212)</f>
        <v/>
      </c>
      <c r="J2215" s="34">
        <f t="shared" si="34"/>
        <v>2641</v>
      </c>
      <c r="K2215" s="29" t="str">
        <f>IF('Paste SD Data'!O2212="","",'Paste SD Data'!O2212)</f>
        <v/>
      </c>
    </row>
    <row r="2216" spans="1:11" ht="30" customHeight="1" x14ac:dyDescent="0.25">
      <c r="A2216" s="25" t="str">
        <f>IF(Table1[[#This Row],[Name of Student]]="","",ROWS($A$1:A2212))</f>
        <v/>
      </c>
      <c r="B2216" s="26" t="str">
        <f>IF('Paste SD Data'!A2213="","",'Paste SD Data'!A2213)</f>
        <v/>
      </c>
      <c r="C2216" s="26" t="str">
        <f>IF('Paste SD Data'!B2213="","",'Paste SD Data'!B2213)</f>
        <v/>
      </c>
      <c r="D2216" s="26" t="str">
        <f>IF('Paste SD Data'!C2213="","",'Paste SD Data'!C2213)</f>
        <v/>
      </c>
      <c r="E2216" s="27" t="str">
        <f>IF('Paste SD Data'!E2213="","",UPPER('Paste SD Data'!E2213))</f>
        <v/>
      </c>
      <c r="F2216" s="27" t="str">
        <f>IF('Paste SD Data'!G2213="","",UPPER('Paste SD Data'!G2213))</f>
        <v/>
      </c>
      <c r="G2216" s="27" t="str">
        <f>IF('Paste SD Data'!H2213="","",UPPER('Paste SD Data'!H2213))</f>
        <v/>
      </c>
      <c r="H2216" s="26" t="str">
        <f>IF('Paste SD Data'!I2213="","",IF('Paste SD Data'!I2213="M","BOY","GIRL"))</f>
        <v/>
      </c>
      <c r="I2216" s="28" t="str">
        <f>IF('Paste SD Data'!J2213="","",'Paste SD Data'!J2213)</f>
        <v/>
      </c>
      <c r="J2216" s="34">
        <f t="shared" si="34"/>
        <v>2642</v>
      </c>
      <c r="K2216" s="29" t="str">
        <f>IF('Paste SD Data'!O2213="","",'Paste SD Data'!O2213)</f>
        <v/>
      </c>
    </row>
    <row r="2217" spans="1:11" ht="30" customHeight="1" x14ac:dyDescent="0.25">
      <c r="A2217" s="25" t="str">
        <f>IF(Table1[[#This Row],[Name of Student]]="","",ROWS($A$1:A2213))</f>
        <v/>
      </c>
      <c r="B2217" s="26" t="str">
        <f>IF('Paste SD Data'!A2214="","",'Paste SD Data'!A2214)</f>
        <v/>
      </c>
      <c r="C2217" s="26" t="str">
        <f>IF('Paste SD Data'!B2214="","",'Paste SD Data'!B2214)</f>
        <v/>
      </c>
      <c r="D2217" s="26" t="str">
        <f>IF('Paste SD Data'!C2214="","",'Paste SD Data'!C2214)</f>
        <v/>
      </c>
      <c r="E2217" s="27" t="str">
        <f>IF('Paste SD Data'!E2214="","",UPPER('Paste SD Data'!E2214))</f>
        <v/>
      </c>
      <c r="F2217" s="27" t="str">
        <f>IF('Paste SD Data'!G2214="","",UPPER('Paste SD Data'!G2214))</f>
        <v/>
      </c>
      <c r="G2217" s="27" t="str">
        <f>IF('Paste SD Data'!H2214="","",UPPER('Paste SD Data'!H2214))</f>
        <v/>
      </c>
      <c r="H2217" s="26" t="str">
        <f>IF('Paste SD Data'!I2214="","",IF('Paste SD Data'!I2214="M","BOY","GIRL"))</f>
        <v/>
      </c>
      <c r="I2217" s="28" t="str">
        <f>IF('Paste SD Data'!J2214="","",'Paste SD Data'!J2214)</f>
        <v/>
      </c>
      <c r="J2217" s="34">
        <f t="shared" si="34"/>
        <v>2643</v>
      </c>
      <c r="K2217" s="29" t="str">
        <f>IF('Paste SD Data'!O2214="","",'Paste SD Data'!O2214)</f>
        <v/>
      </c>
    </row>
    <row r="2218" spans="1:11" ht="30" customHeight="1" x14ac:dyDescent="0.25">
      <c r="A2218" s="25" t="str">
        <f>IF(Table1[[#This Row],[Name of Student]]="","",ROWS($A$1:A2214))</f>
        <v/>
      </c>
      <c r="B2218" s="26" t="str">
        <f>IF('Paste SD Data'!A2215="","",'Paste SD Data'!A2215)</f>
        <v/>
      </c>
      <c r="C2218" s="26" t="str">
        <f>IF('Paste SD Data'!B2215="","",'Paste SD Data'!B2215)</f>
        <v/>
      </c>
      <c r="D2218" s="26" t="str">
        <f>IF('Paste SD Data'!C2215="","",'Paste SD Data'!C2215)</f>
        <v/>
      </c>
      <c r="E2218" s="27" t="str">
        <f>IF('Paste SD Data'!E2215="","",UPPER('Paste SD Data'!E2215))</f>
        <v/>
      </c>
      <c r="F2218" s="27" t="str">
        <f>IF('Paste SD Data'!G2215="","",UPPER('Paste SD Data'!G2215))</f>
        <v/>
      </c>
      <c r="G2218" s="27" t="str">
        <f>IF('Paste SD Data'!H2215="","",UPPER('Paste SD Data'!H2215))</f>
        <v/>
      </c>
      <c r="H2218" s="26" t="str">
        <f>IF('Paste SD Data'!I2215="","",IF('Paste SD Data'!I2215="M","BOY","GIRL"))</f>
        <v/>
      </c>
      <c r="I2218" s="28" t="str">
        <f>IF('Paste SD Data'!J2215="","",'Paste SD Data'!J2215)</f>
        <v/>
      </c>
      <c r="J2218" s="34">
        <f t="shared" si="34"/>
        <v>2644</v>
      </c>
      <c r="K2218" s="29" t="str">
        <f>IF('Paste SD Data'!O2215="","",'Paste SD Data'!O2215)</f>
        <v/>
      </c>
    </row>
    <row r="2219" spans="1:11" ht="30" customHeight="1" x14ac:dyDescent="0.25">
      <c r="A2219" s="25" t="str">
        <f>IF(Table1[[#This Row],[Name of Student]]="","",ROWS($A$1:A2215))</f>
        <v/>
      </c>
      <c r="B2219" s="26" t="str">
        <f>IF('Paste SD Data'!A2216="","",'Paste SD Data'!A2216)</f>
        <v/>
      </c>
      <c r="C2219" s="26" t="str">
        <f>IF('Paste SD Data'!B2216="","",'Paste SD Data'!B2216)</f>
        <v/>
      </c>
      <c r="D2219" s="26" t="str">
        <f>IF('Paste SD Data'!C2216="","",'Paste SD Data'!C2216)</f>
        <v/>
      </c>
      <c r="E2219" s="27" t="str">
        <f>IF('Paste SD Data'!E2216="","",UPPER('Paste SD Data'!E2216))</f>
        <v/>
      </c>
      <c r="F2219" s="27" t="str">
        <f>IF('Paste SD Data'!G2216="","",UPPER('Paste SD Data'!G2216))</f>
        <v/>
      </c>
      <c r="G2219" s="27" t="str">
        <f>IF('Paste SD Data'!H2216="","",UPPER('Paste SD Data'!H2216))</f>
        <v/>
      </c>
      <c r="H2219" s="26" t="str">
        <f>IF('Paste SD Data'!I2216="","",IF('Paste SD Data'!I2216="M","BOY","GIRL"))</f>
        <v/>
      </c>
      <c r="I2219" s="28" t="str">
        <f>IF('Paste SD Data'!J2216="","",'Paste SD Data'!J2216)</f>
        <v/>
      </c>
      <c r="J2219" s="34">
        <f t="shared" si="34"/>
        <v>2645</v>
      </c>
      <c r="K2219" s="29" t="str">
        <f>IF('Paste SD Data'!O2216="","",'Paste SD Data'!O2216)</f>
        <v/>
      </c>
    </row>
    <row r="2220" spans="1:11" ht="30" customHeight="1" x14ac:dyDescent="0.25">
      <c r="A2220" s="25" t="str">
        <f>IF(Table1[[#This Row],[Name of Student]]="","",ROWS($A$1:A2216))</f>
        <v/>
      </c>
      <c r="B2220" s="26" t="str">
        <f>IF('Paste SD Data'!A2217="","",'Paste SD Data'!A2217)</f>
        <v/>
      </c>
      <c r="C2220" s="26" t="str">
        <f>IF('Paste SD Data'!B2217="","",'Paste SD Data'!B2217)</f>
        <v/>
      </c>
      <c r="D2220" s="26" t="str">
        <f>IF('Paste SD Data'!C2217="","",'Paste SD Data'!C2217)</f>
        <v/>
      </c>
      <c r="E2220" s="27" t="str">
        <f>IF('Paste SD Data'!E2217="","",UPPER('Paste SD Data'!E2217))</f>
        <v/>
      </c>
      <c r="F2220" s="27" t="str">
        <f>IF('Paste SD Data'!G2217="","",UPPER('Paste SD Data'!G2217))</f>
        <v/>
      </c>
      <c r="G2220" s="27" t="str">
        <f>IF('Paste SD Data'!H2217="","",UPPER('Paste SD Data'!H2217))</f>
        <v/>
      </c>
      <c r="H2220" s="26" t="str">
        <f>IF('Paste SD Data'!I2217="","",IF('Paste SD Data'!I2217="M","BOY","GIRL"))</f>
        <v/>
      </c>
      <c r="I2220" s="28" t="str">
        <f>IF('Paste SD Data'!J2217="","",'Paste SD Data'!J2217)</f>
        <v/>
      </c>
      <c r="J2220" s="34">
        <f t="shared" si="34"/>
        <v>2646</v>
      </c>
      <c r="K2220" s="29" t="str">
        <f>IF('Paste SD Data'!O2217="","",'Paste SD Data'!O2217)</f>
        <v/>
      </c>
    </row>
    <row r="2221" spans="1:11" ht="30" customHeight="1" x14ac:dyDescent="0.25">
      <c r="A2221" s="25" t="str">
        <f>IF(Table1[[#This Row],[Name of Student]]="","",ROWS($A$1:A2217))</f>
        <v/>
      </c>
      <c r="B2221" s="26" t="str">
        <f>IF('Paste SD Data'!A2218="","",'Paste SD Data'!A2218)</f>
        <v/>
      </c>
      <c r="C2221" s="26" t="str">
        <f>IF('Paste SD Data'!B2218="","",'Paste SD Data'!B2218)</f>
        <v/>
      </c>
      <c r="D2221" s="26" t="str">
        <f>IF('Paste SD Data'!C2218="","",'Paste SD Data'!C2218)</f>
        <v/>
      </c>
      <c r="E2221" s="27" t="str">
        <f>IF('Paste SD Data'!E2218="","",UPPER('Paste SD Data'!E2218))</f>
        <v/>
      </c>
      <c r="F2221" s="27" t="str">
        <f>IF('Paste SD Data'!G2218="","",UPPER('Paste SD Data'!G2218))</f>
        <v/>
      </c>
      <c r="G2221" s="27" t="str">
        <f>IF('Paste SD Data'!H2218="","",UPPER('Paste SD Data'!H2218))</f>
        <v/>
      </c>
      <c r="H2221" s="26" t="str">
        <f>IF('Paste SD Data'!I2218="","",IF('Paste SD Data'!I2218="M","BOY","GIRL"))</f>
        <v/>
      </c>
      <c r="I2221" s="28" t="str">
        <f>IF('Paste SD Data'!J2218="","",'Paste SD Data'!J2218)</f>
        <v/>
      </c>
      <c r="J2221" s="34">
        <f t="shared" si="34"/>
        <v>2647</v>
      </c>
      <c r="K2221" s="29" t="str">
        <f>IF('Paste SD Data'!O2218="","",'Paste SD Data'!O2218)</f>
        <v/>
      </c>
    </row>
    <row r="2222" spans="1:11" ht="30" customHeight="1" x14ac:dyDescent="0.25">
      <c r="A2222" s="25" t="str">
        <f>IF(Table1[[#This Row],[Name of Student]]="","",ROWS($A$1:A2218))</f>
        <v/>
      </c>
      <c r="B2222" s="26" t="str">
        <f>IF('Paste SD Data'!A2219="","",'Paste SD Data'!A2219)</f>
        <v/>
      </c>
      <c r="C2222" s="26" t="str">
        <f>IF('Paste SD Data'!B2219="","",'Paste SD Data'!B2219)</f>
        <v/>
      </c>
      <c r="D2222" s="26" t="str">
        <f>IF('Paste SD Data'!C2219="","",'Paste SD Data'!C2219)</f>
        <v/>
      </c>
      <c r="E2222" s="27" t="str">
        <f>IF('Paste SD Data'!E2219="","",UPPER('Paste SD Data'!E2219))</f>
        <v/>
      </c>
      <c r="F2222" s="27" t="str">
        <f>IF('Paste SD Data'!G2219="","",UPPER('Paste SD Data'!G2219))</f>
        <v/>
      </c>
      <c r="G2222" s="27" t="str">
        <f>IF('Paste SD Data'!H2219="","",UPPER('Paste SD Data'!H2219))</f>
        <v/>
      </c>
      <c r="H2222" s="26" t="str">
        <f>IF('Paste SD Data'!I2219="","",IF('Paste SD Data'!I2219="M","BOY","GIRL"))</f>
        <v/>
      </c>
      <c r="I2222" s="28" t="str">
        <f>IF('Paste SD Data'!J2219="","",'Paste SD Data'!J2219)</f>
        <v/>
      </c>
      <c r="J2222" s="34">
        <f t="shared" si="34"/>
        <v>2648</v>
      </c>
      <c r="K2222" s="29" t="str">
        <f>IF('Paste SD Data'!O2219="","",'Paste SD Data'!O2219)</f>
        <v/>
      </c>
    </row>
    <row r="2223" spans="1:11" ht="30" customHeight="1" x14ac:dyDescent="0.25">
      <c r="A2223" s="25" t="str">
        <f>IF(Table1[[#This Row],[Name of Student]]="","",ROWS($A$1:A2219))</f>
        <v/>
      </c>
      <c r="B2223" s="26" t="str">
        <f>IF('Paste SD Data'!A2220="","",'Paste SD Data'!A2220)</f>
        <v/>
      </c>
      <c r="C2223" s="26" t="str">
        <f>IF('Paste SD Data'!B2220="","",'Paste SD Data'!B2220)</f>
        <v/>
      </c>
      <c r="D2223" s="26" t="str">
        <f>IF('Paste SD Data'!C2220="","",'Paste SD Data'!C2220)</f>
        <v/>
      </c>
      <c r="E2223" s="27" t="str">
        <f>IF('Paste SD Data'!E2220="","",UPPER('Paste SD Data'!E2220))</f>
        <v/>
      </c>
      <c r="F2223" s="27" t="str">
        <f>IF('Paste SD Data'!G2220="","",UPPER('Paste SD Data'!G2220))</f>
        <v/>
      </c>
      <c r="G2223" s="27" t="str">
        <f>IF('Paste SD Data'!H2220="","",UPPER('Paste SD Data'!H2220))</f>
        <v/>
      </c>
      <c r="H2223" s="26" t="str">
        <f>IF('Paste SD Data'!I2220="","",IF('Paste SD Data'!I2220="M","BOY","GIRL"))</f>
        <v/>
      </c>
      <c r="I2223" s="28" t="str">
        <f>IF('Paste SD Data'!J2220="","",'Paste SD Data'!J2220)</f>
        <v/>
      </c>
      <c r="J2223" s="34">
        <f t="shared" si="34"/>
        <v>2649</v>
      </c>
      <c r="K2223" s="29" t="str">
        <f>IF('Paste SD Data'!O2220="","",'Paste SD Data'!O2220)</f>
        <v/>
      </c>
    </row>
    <row r="2224" spans="1:11" ht="30" customHeight="1" x14ac:dyDescent="0.25">
      <c r="A2224" s="25" t="str">
        <f>IF(Table1[[#This Row],[Name of Student]]="","",ROWS($A$1:A2220))</f>
        <v/>
      </c>
      <c r="B2224" s="26" t="str">
        <f>IF('Paste SD Data'!A2221="","",'Paste SD Data'!A2221)</f>
        <v/>
      </c>
      <c r="C2224" s="26" t="str">
        <f>IF('Paste SD Data'!B2221="","",'Paste SD Data'!B2221)</f>
        <v/>
      </c>
      <c r="D2224" s="26" t="str">
        <f>IF('Paste SD Data'!C2221="","",'Paste SD Data'!C2221)</f>
        <v/>
      </c>
      <c r="E2224" s="27" t="str">
        <f>IF('Paste SD Data'!E2221="","",UPPER('Paste SD Data'!E2221))</f>
        <v/>
      </c>
      <c r="F2224" s="27" t="str">
        <f>IF('Paste SD Data'!G2221="","",UPPER('Paste SD Data'!G2221))</f>
        <v/>
      </c>
      <c r="G2224" s="27" t="str">
        <f>IF('Paste SD Data'!H2221="","",UPPER('Paste SD Data'!H2221))</f>
        <v/>
      </c>
      <c r="H2224" s="26" t="str">
        <f>IF('Paste SD Data'!I2221="","",IF('Paste SD Data'!I2221="M","BOY","GIRL"))</f>
        <v/>
      </c>
      <c r="I2224" s="28" t="str">
        <f>IF('Paste SD Data'!J2221="","",'Paste SD Data'!J2221)</f>
        <v/>
      </c>
      <c r="J2224" s="34">
        <f t="shared" si="34"/>
        <v>2650</v>
      </c>
      <c r="K2224" s="29" t="str">
        <f>IF('Paste SD Data'!O2221="","",'Paste SD Data'!O2221)</f>
        <v/>
      </c>
    </row>
    <row r="2225" spans="1:11" ht="30" customHeight="1" x14ac:dyDescent="0.25">
      <c r="A2225" s="25" t="str">
        <f>IF(Table1[[#This Row],[Name of Student]]="","",ROWS($A$1:A2221))</f>
        <v/>
      </c>
      <c r="B2225" s="26" t="str">
        <f>IF('Paste SD Data'!A2222="","",'Paste SD Data'!A2222)</f>
        <v/>
      </c>
      <c r="C2225" s="26" t="str">
        <f>IF('Paste SD Data'!B2222="","",'Paste SD Data'!B2222)</f>
        <v/>
      </c>
      <c r="D2225" s="26" t="str">
        <f>IF('Paste SD Data'!C2222="","",'Paste SD Data'!C2222)</f>
        <v/>
      </c>
      <c r="E2225" s="27" t="str">
        <f>IF('Paste SD Data'!E2222="","",UPPER('Paste SD Data'!E2222))</f>
        <v/>
      </c>
      <c r="F2225" s="27" t="str">
        <f>IF('Paste SD Data'!G2222="","",UPPER('Paste SD Data'!G2222))</f>
        <v/>
      </c>
      <c r="G2225" s="27" t="str">
        <f>IF('Paste SD Data'!H2222="","",UPPER('Paste SD Data'!H2222))</f>
        <v/>
      </c>
      <c r="H2225" s="26" t="str">
        <f>IF('Paste SD Data'!I2222="","",IF('Paste SD Data'!I2222="M","BOY","GIRL"))</f>
        <v/>
      </c>
      <c r="I2225" s="28" t="str">
        <f>IF('Paste SD Data'!J2222="","",'Paste SD Data'!J2222)</f>
        <v/>
      </c>
      <c r="J2225" s="34">
        <f t="shared" si="34"/>
        <v>2651</v>
      </c>
      <c r="K2225" s="29" t="str">
        <f>IF('Paste SD Data'!O2222="","",'Paste SD Data'!O2222)</f>
        <v/>
      </c>
    </row>
    <row r="2226" spans="1:11" ht="30" customHeight="1" x14ac:dyDescent="0.25">
      <c r="A2226" s="25" t="str">
        <f>IF(Table1[[#This Row],[Name of Student]]="","",ROWS($A$1:A2222))</f>
        <v/>
      </c>
      <c r="B2226" s="26" t="str">
        <f>IF('Paste SD Data'!A2223="","",'Paste SD Data'!A2223)</f>
        <v/>
      </c>
      <c r="C2226" s="26" t="str">
        <f>IF('Paste SD Data'!B2223="","",'Paste SD Data'!B2223)</f>
        <v/>
      </c>
      <c r="D2226" s="26" t="str">
        <f>IF('Paste SD Data'!C2223="","",'Paste SD Data'!C2223)</f>
        <v/>
      </c>
      <c r="E2226" s="27" t="str">
        <f>IF('Paste SD Data'!E2223="","",UPPER('Paste SD Data'!E2223))</f>
        <v/>
      </c>
      <c r="F2226" s="27" t="str">
        <f>IF('Paste SD Data'!G2223="","",UPPER('Paste SD Data'!G2223))</f>
        <v/>
      </c>
      <c r="G2226" s="27" t="str">
        <f>IF('Paste SD Data'!H2223="","",UPPER('Paste SD Data'!H2223))</f>
        <v/>
      </c>
      <c r="H2226" s="26" t="str">
        <f>IF('Paste SD Data'!I2223="","",IF('Paste SD Data'!I2223="M","BOY","GIRL"))</f>
        <v/>
      </c>
      <c r="I2226" s="28" t="str">
        <f>IF('Paste SD Data'!J2223="","",'Paste SD Data'!J2223)</f>
        <v/>
      </c>
      <c r="J2226" s="34">
        <f t="shared" si="34"/>
        <v>2652</v>
      </c>
      <c r="K2226" s="29" t="str">
        <f>IF('Paste SD Data'!O2223="","",'Paste SD Data'!O2223)</f>
        <v/>
      </c>
    </row>
    <row r="2227" spans="1:11" ht="30" customHeight="1" x14ac:dyDescent="0.25">
      <c r="A2227" s="25" t="str">
        <f>IF(Table1[[#This Row],[Name of Student]]="","",ROWS($A$1:A2223))</f>
        <v/>
      </c>
      <c r="B2227" s="26" t="str">
        <f>IF('Paste SD Data'!A2224="","",'Paste SD Data'!A2224)</f>
        <v/>
      </c>
      <c r="C2227" s="26" t="str">
        <f>IF('Paste SD Data'!B2224="","",'Paste SD Data'!B2224)</f>
        <v/>
      </c>
      <c r="D2227" s="26" t="str">
        <f>IF('Paste SD Data'!C2224="","",'Paste SD Data'!C2224)</f>
        <v/>
      </c>
      <c r="E2227" s="27" t="str">
        <f>IF('Paste SD Data'!E2224="","",UPPER('Paste SD Data'!E2224))</f>
        <v/>
      </c>
      <c r="F2227" s="27" t="str">
        <f>IF('Paste SD Data'!G2224="","",UPPER('Paste SD Data'!G2224))</f>
        <v/>
      </c>
      <c r="G2227" s="27" t="str">
        <f>IF('Paste SD Data'!H2224="","",UPPER('Paste SD Data'!H2224))</f>
        <v/>
      </c>
      <c r="H2227" s="26" t="str">
        <f>IF('Paste SD Data'!I2224="","",IF('Paste SD Data'!I2224="M","BOY","GIRL"))</f>
        <v/>
      </c>
      <c r="I2227" s="28" t="str">
        <f>IF('Paste SD Data'!J2224="","",'Paste SD Data'!J2224)</f>
        <v/>
      </c>
      <c r="J2227" s="34">
        <f t="shared" si="34"/>
        <v>2653</v>
      </c>
      <c r="K2227" s="29" t="str">
        <f>IF('Paste SD Data'!O2224="","",'Paste SD Data'!O2224)</f>
        <v/>
      </c>
    </row>
    <row r="2228" spans="1:11" ht="30" customHeight="1" x14ac:dyDescent="0.25">
      <c r="A2228" s="25" t="str">
        <f>IF(Table1[[#This Row],[Name of Student]]="","",ROWS($A$1:A2224))</f>
        <v/>
      </c>
      <c r="B2228" s="26" t="str">
        <f>IF('Paste SD Data'!A2225="","",'Paste SD Data'!A2225)</f>
        <v/>
      </c>
      <c r="C2228" s="26" t="str">
        <f>IF('Paste SD Data'!B2225="","",'Paste SD Data'!B2225)</f>
        <v/>
      </c>
      <c r="D2228" s="26" t="str">
        <f>IF('Paste SD Data'!C2225="","",'Paste SD Data'!C2225)</f>
        <v/>
      </c>
      <c r="E2228" s="27" t="str">
        <f>IF('Paste SD Data'!E2225="","",UPPER('Paste SD Data'!E2225))</f>
        <v/>
      </c>
      <c r="F2228" s="27" t="str">
        <f>IF('Paste SD Data'!G2225="","",UPPER('Paste SD Data'!G2225))</f>
        <v/>
      </c>
      <c r="G2228" s="27" t="str">
        <f>IF('Paste SD Data'!H2225="","",UPPER('Paste SD Data'!H2225))</f>
        <v/>
      </c>
      <c r="H2228" s="26" t="str">
        <f>IF('Paste SD Data'!I2225="","",IF('Paste SD Data'!I2225="M","BOY","GIRL"))</f>
        <v/>
      </c>
      <c r="I2228" s="28" t="str">
        <f>IF('Paste SD Data'!J2225="","",'Paste SD Data'!J2225)</f>
        <v/>
      </c>
      <c r="J2228" s="34">
        <f t="shared" si="34"/>
        <v>2654</v>
      </c>
      <c r="K2228" s="29" t="str">
        <f>IF('Paste SD Data'!O2225="","",'Paste SD Data'!O2225)</f>
        <v/>
      </c>
    </row>
    <row r="2229" spans="1:11" ht="30" customHeight="1" x14ac:dyDescent="0.25">
      <c r="A2229" s="25" t="str">
        <f>IF(Table1[[#This Row],[Name of Student]]="","",ROWS($A$1:A2225))</f>
        <v/>
      </c>
      <c r="B2229" s="26" t="str">
        <f>IF('Paste SD Data'!A2226="","",'Paste SD Data'!A2226)</f>
        <v/>
      </c>
      <c r="C2229" s="26" t="str">
        <f>IF('Paste SD Data'!B2226="","",'Paste SD Data'!B2226)</f>
        <v/>
      </c>
      <c r="D2229" s="26" t="str">
        <f>IF('Paste SD Data'!C2226="","",'Paste SD Data'!C2226)</f>
        <v/>
      </c>
      <c r="E2229" s="27" t="str">
        <f>IF('Paste SD Data'!E2226="","",UPPER('Paste SD Data'!E2226))</f>
        <v/>
      </c>
      <c r="F2229" s="27" t="str">
        <f>IF('Paste SD Data'!G2226="","",UPPER('Paste SD Data'!G2226))</f>
        <v/>
      </c>
      <c r="G2229" s="27" t="str">
        <f>IF('Paste SD Data'!H2226="","",UPPER('Paste SD Data'!H2226))</f>
        <v/>
      </c>
      <c r="H2229" s="26" t="str">
        <f>IF('Paste SD Data'!I2226="","",IF('Paste SD Data'!I2226="M","BOY","GIRL"))</f>
        <v/>
      </c>
      <c r="I2229" s="28" t="str">
        <f>IF('Paste SD Data'!J2226="","",'Paste SD Data'!J2226)</f>
        <v/>
      </c>
      <c r="J2229" s="34">
        <f t="shared" si="34"/>
        <v>2655</v>
      </c>
      <c r="K2229" s="29" t="str">
        <f>IF('Paste SD Data'!O2226="","",'Paste SD Data'!O2226)</f>
        <v/>
      </c>
    </row>
    <row r="2230" spans="1:11" ht="30" customHeight="1" x14ac:dyDescent="0.25">
      <c r="A2230" s="25" t="str">
        <f>IF(Table1[[#This Row],[Name of Student]]="","",ROWS($A$1:A2226))</f>
        <v/>
      </c>
      <c r="B2230" s="26" t="str">
        <f>IF('Paste SD Data'!A2227="","",'Paste SD Data'!A2227)</f>
        <v/>
      </c>
      <c r="C2230" s="26" t="str">
        <f>IF('Paste SD Data'!B2227="","",'Paste SD Data'!B2227)</f>
        <v/>
      </c>
      <c r="D2230" s="26" t="str">
        <f>IF('Paste SD Data'!C2227="","",'Paste SD Data'!C2227)</f>
        <v/>
      </c>
      <c r="E2230" s="27" t="str">
        <f>IF('Paste SD Data'!E2227="","",UPPER('Paste SD Data'!E2227))</f>
        <v/>
      </c>
      <c r="F2230" s="27" t="str">
        <f>IF('Paste SD Data'!G2227="","",UPPER('Paste SD Data'!G2227))</f>
        <v/>
      </c>
      <c r="G2230" s="27" t="str">
        <f>IF('Paste SD Data'!H2227="","",UPPER('Paste SD Data'!H2227))</f>
        <v/>
      </c>
      <c r="H2230" s="26" t="str">
        <f>IF('Paste SD Data'!I2227="","",IF('Paste SD Data'!I2227="M","BOY","GIRL"))</f>
        <v/>
      </c>
      <c r="I2230" s="28" t="str">
        <f>IF('Paste SD Data'!J2227="","",'Paste SD Data'!J2227)</f>
        <v/>
      </c>
      <c r="J2230" s="34">
        <f t="shared" si="34"/>
        <v>2656</v>
      </c>
      <c r="K2230" s="29" t="str">
        <f>IF('Paste SD Data'!O2227="","",'Paste SD Data'!O2227)</f>
        <v/>
      </c>
    </row>
    <row r="2231" spans="1:11" ht="30" customHeight="1" x14ac:dyDescent="0.25">
      <c r="A2231" s="25" t="str">
        <f>IF(Table1[[#This Row],[Name of Student]]="","",ROWS($A$1:A2227))</f>
        <v/>
      </c>
      <c r="B2231" s="26" t="str">
        <f>IF('Paste SD Data'!A2228="","",'Paste SD Data'!A2228)</f>
        <v/>
      </c>
      <c r="C2231" s="26" t="str">
        <f>IF('Paste SD Data'!B2228="","",'Paste SD Data'!B2228)</f>
        <v/>
      </c>
      <c r="D2231" s="26" t="str">
        <f>IF('Paste SD Data'!C2228="","",'Paste SD Data'!C2228)</f>
        <v/>
      </c>
      <c r="E2231" s="27" t="str">
        <f>IF('Paste SD Data'!E2228="","",UPPER('Paste SD Data'!E2228))</f>
        <v/>
      </c>
      <c r="F2231" s="27" t="str">
        <f>IF('Paste SD Data'!G2228="","",UPPER('Paste SD Data'!G2228))</f>
        <v/>
      </c>
      <c r="G2231" s="27" t="str">
        <f>IF('Paste SD Data'!H2228="","",UPPER('Paste SD Data'!H2228))</f>
        <v/>
      </c>
      <c r="H2231" s="26" t="str">
        <f>IF('Paste SD Data'!I2228="","",IF('Paste SD Data'!I2228="M","BOY","GIRL"))</f>
        <v/>
      </c>
      <c r="I2231" s="28" t="str">
        <f>IF('Paste SD Data'!J2228="","",'Paste SD Data'!J2228)</f>
        <v/>
      </c>
      <c r="J2231" s="34">
        <f t="shared" si="34"/>
        <v>2657</v>
      </c>
      <c r="K2231" s="29" t="str">
        <f>IF('Paste SD Data'!O2228="","",'Paste SD Data'!O2228)</f>
        <v/>
      </c>
    </row>
    <row r="2232" spans="1:11" ht="30" customHeight="1" x14ac:dyDescent="0.25">
      <c r="A2232" s="25" t="str">
        <f>IF(Table1[[#This Row],[Name of Student]]="","",ROWS($A$1:A2228))</f>
        <v/>
      </c>
      <c r="B2232" s="26" t="str">
        <f>IF('Paste SD Data'!A2229="","",'Paste SD Data'!A2229)</f>
        <v/>
      </c>
      <c r="C2232" s="26" t="str">
        <f>IF('Paste SD Data'!B2229="","",'Paste SD Data'!B2229)</f>
        <v/>
      </c>
      <c r="D2232" s="26" t="str">
        <f>IF('Paste SD Data'!C2229="","",'Paste SD Data'!C2229)</f>
        <v/>
      </c>
      <c r="E2232" s="27" t="str">
        <f>IF('Paste SD Data'!E2229="","",UPPER('Paste SD Data'!E2229))</f>
        <v/>
      </c>
      <c r="F2232" s="27" t="str">
        <f>IF('Paste SD Data'!G2229="","",UPPER('Paste SD Data'!G2229))</f>
        <v/>
      </c>
      <c r="G2232" s="27" t="str">
        <f>IF('Paste SD Data'!H2229="","",UPPER('Paste SD Data'!H2229))</f>
        <v/>
      </c>
      <c r="H2232" s="26" t="str">
        <f>IF('Paste SD Data'!I2229="","",IF('Paste SD Data'!I2229="M","BOY","GIRL"))</f>
        <v/>
      </c>
      <c r="I2232" s="28" t="str">
        <f>IF('Paste SD Data'!J2229="","",'Paste SD Data'!J2229)</f>
        <v/>
      </c>
      <c r="J2232" s="34">
        <f t="shared" si="34"/>
        <v>2658</v>
      </c>
      <c r="K2232" s="29" t="str">
        <f>IF('Paste SD Data'!O2229="","",'Paste SD Data'!O2229)</f>
        <v/>
      </c>
    </row>
    <row r="2233" spans="1:11" ht="30" customHeight="1" x14ac:dyDescent="0.25">
      <c r="A2233" s="25" t="str">
        <f>IF(Table1[[#This Row],[Name of Student]]="","",ROWS($A$1:A2229))</f>
        <v/>
      </c>
      <c r="B2233" s="26" t="str">
        <f>IF('Paste SD Data'!A2230="","",'Paste SD Data'!A2230)</f>
        <v/>
      </c>
      <c r="C2233" s="26" t="str">
        <f>IF('Paste SD Data'!B2230="","",'Paste SD Data'!B2230)</f>
        <v/>
      </c>
      <c r="D2233" s="26" t="str">
        <f>IF('Paste SD Data'!C2230="","",'Paste SD Data'!C2230)</f>
        <v/>
      </c>
      <c r="E2233" s="27" t="str">
        <f>IF('Paste SD Data'!E2230="","",UPPER('Paste SD Data'!E2230))</f>
        <v/>
      </c>
      <c r="F2233" s="27" t="str">
        <f>IF('Paste SD Data'!G2230="","",UPPER('Paste SD Data'!G2230))</f>
        <v/>
      </c>
      <c r="G2233" s="27" t="str">
        <f>IF('Paste SD Data'!H2230="","",UPPER('Paste SD Data'!H2230))</f>
        <v/>
      </c>
      <c r="H2233" s="26" t="str">
        <f>IF('Paste SD Data'!I2230="","",IF('Paste SD Data'!I2230="M","BOY","GIRL"))</f>
        <v/>
      </c>
      <c r="I2233" s="28" t="str">
        <f>IF('Paste SD Data'!J2230="","",'Paste SD Data'!J2230)</f>
        <v/>
      </c>
      <c r="J2233" s="34">
        <f t="shared" si="34"/>
        <v>2659</v>
      </c>
      <c r="K2233" s="29" t="str">
        <f>IF('Paste SD Data'!O2230="","",'Paste SD Data'!O2230)</f>
        <v/>
      </c>
    </row>
    <row r="2234" spans="1:11" ht="30" customHeight="1" x14ac:dyDescent="0.25">
      <c r="A2234" s="25" t="str">
        <f>IF(Table1[[#This Row],[Name of Student]]="","",ROWS($A$1:A2230))</f>
        <v/>
      </c>
      <c r="B2234" s="26" t="str">
        <f>IF('Paste SD Data'!A2231="","",'Paste SD Data'!A2231)</f>
        <v/>
      </c>
      <c r="C2234" s="26" t="str">
        <f>IF('Paste SD Data'!B2231="","",'Paste SD Data'!B2231)</f>
        <v/>
      </c>
      <c r="D2234" s="26" t="str">
        <f>IF('Paste SD Data'!C2231="","",'Paste SD Data'!C2231)</f>
        <v/>
      </c>
      <c r="E2234" s="27" t="str">
        <f>IF('Paste SD Data'!E2231="","",UPPER('Paste SD Data'!E2231))</f>
        <v/>
      </c>
      <c r="F2234" s="27" t="str">
        <f>IF('Paste SD Data'!G2231="","",UPPER('Paste SD Data'!G2231))</f>
        <v/>
      </c>
      <c r="G2234" s="27" t="str">
        <f>IF('Paste SD Data'!H2231="","",UPPER('Paste SD Data'!H2231))</f>
        <v/>
      </c>
      <c r="H2234" s="26" t="str">
        <f>IF('Paste SD Data'!I2231="","",IF('Paste SD Data'!I2231="M","BOY","GIRL"))</f>
        <v/>
      </c>
      <c r="I2234" s="28" t="str">
        <f>IF('Paste SD Data'!J2231="","",'Paste SD Data'!J2231)</f>
        <v/>
      </c>
      <c r="J2234" s="34">
        <f t="shared" si="34"/>
        <v>2660</v>
      </c>
      <c r="K2234" s="29" t="str">
        <f>IF('Paste SD Data'!O2231="","",'Paste SD Data'!O2231)</f>
        <v/>
      </c>
    </row>
    <row r="2235" spans="1:11" ht="30" customHeight="1" x14ac:dyDescent="0.25">
      <c r="A2235" s="25" t="str">
        <f>IF(Table1[[#This Row],[Name of Student]]="","",ROWS($A$1:A2231))</f>
        <v/>
      </c>
      <c r="B2235" s="26" t="str">
        <f>IF('Paste SD Data'!A2232="","",'Paste SD Data'!A2232)</f>
        <v/>
      </c>
      <c r="C2235" s="26" t="str">
        <f>IF('Paste SD Data'!B2232="","",'Paste SD Data'!B2232)</f>
        <v/>
      </c>
      <c r="D2235" s="26" t="str">
        <f>IF('Paste SD Data'!C2232="","",'Paste SD Data'!C2232)</f>
        <v/>
      </c>
      <c r="E2235" s="27" t="str">
        <f>IF('Paste SD Data'!E2232="","",UPPER('Paste SD Data'!E2232))</f>
        <v/>
      </c>
      <c r="F2235" s="27" t="str">
        <f>IF('Paste SD Data'!G2232="","",UPPER('Paste SD Data'!G2232))</f>
        <v/>
      </c>
      <c r="G2235" s="27" t="str">
        <f>IF('Paste SD Data'!H2232="","",UPPER('Paste SD Data'!H2232))</f>
        <v/>
      </c>
      <c r="H2235" s="26" t="str">
        <f>IF('Paste SD Data'!I2232="","",IF('Paste SD Data'!I2232="M","BOY","GIRL"))</f>
        <v/>
      </c>
      <c r="I2235" s="28" t="str">
        <f>IF('Paste SD Data'!J2232="","",'Paste SD Data'!J2232)</f>
        <v/>
      </c>
      <c r="J2235" s="34">
        <f t="shared" si="34"/>
        <v>2661</v>
      </c>
      <c r="K2235" s="29" t="str">
        <f>IF('Paste SD Data'!O2232="","",'Paste SD Data'!O2232)</f>
        <v/>
      </c>
    </row>
    <row r="2236" spans="1:11" ht="30" customHeight="1" x14ac:dyDescent="0.25">
      <c r="A2236" s="25" t="str">
        <f>IF(Table1[[#This Row],[Name of Student]]="","",ROWS($A$1:A2232))</f>
        <v/>
      </c>
      <c r="B2236" s="26" t="str">
        <f>IF('Paste SD Data'!A2233="","",'Paste SD Data'!A2233)</f>
        <v/>
      </c>
      <c r="C2236" s="26" t="str">
        <f>IF('Paste SD Data'!B2233="","",'Paste SD Data'!B2233)</f>
        <v/>
      </c>
      <c r="D2236" s="26" t="str">
        <f>IF('Paste SD Data'!C2233="","",'Paste SD Data'!C2233)</f>
        <v/>
      </c>
      <c r="E2236" s="27" t="str">
        <f>IF('Paste SD Data'!E2233="","",UPPER('Paste SD Data'!E2233))</f>
        <v/>
      </c>
      <c r="F2236" s="27" t="str">
        <f>IF('Paste SD Data'!G2233="","",UPPER('Paste SD Data'!G2233))</f>
        <v/>
      </c>
      <c r="G2236" s="27" t="str">
        <f>IF('Paste SD Data'!H2233="","",UPPER('Paste SD Data'!H2233))</f>
        <v/>
      </c>
      <c r="H2236" s="26" t="str">
        <f>IF('Paste SD Data'!I2233="","",IF('Paste SD Data'!I2233="M","BOY","GIRL"))</f>
        <v/>
      </c>
      <c r="I2236" s="28" t="str">
        <f>IF('Paste SD Data'!J2233="","",'Paste SD Data'!J2233)</f>
        <v/>
      </c>
      <c r="J2236" s="34">
        <f t="shared" si="34"/>
        <v>2662</v>
      </c>
      <c r="K2236" s="29" t="str">
        <f>IF('Paste SD Data'!O2233="","",'Paste SD Data'!O2233)</f>
        <v/>
      </c>
    </row>
    <row r="2237" spans="1:11" ht="30" customHeight="1" x14ac:dyDescent="0.25">
      <c r="A2237" s="25" t="str">
        <f>IF(Table1[[#This Row],[Name of Student]]="","",ROWS($A$1:A2233))</f>
        <v/>
      </c>
      <c r="B2237" s="26" t="str">
        <f>IF('Paste SD Data'!A2234="","",'Paste SD Data'!A2234)</f>
        <v/>
      </c>
      <c r="C2237" s="26" t="str">
        <f>IF('Paste SD Data'!B2234="","",'Paste SD Data'!B2234)</f>
        <v/>
      </c>
      <c r="D2237" s="26" t="str">
        <f>IF('Paste SD Data'!C2234="","",'Paste SD Data'!C2234)</f>
        <v/>
      </c>
      <c r="E2237" s="27" t="str">
        <f>IF('Paste SD Data'!E2234="","",UPPER('Paste SD Data'!E2234))</f>
        <v/>
      </c>
      <c r="F2237" s="27" t="str">
        <f>IF('Paste SD Data'!G2234="","",UPPER('Paste SD Data'!G2234))</f>
        <v/>
      </c>
      <c r="G2237" s="27" t="str">
        <f>IF('Paste SD Data'!H2234="","",UPPER('Paste SD Data'!H2234))</f>
        <v/>
      </c>
      <c r="H2237" s="26" t="str">
        <f>IF('Paste SD Data'!I2234="","",IF('Paste SD Data'!I2234="M","BOY","GIRL"))</f>
        <v/>
      </c>
      <c r="I2237" s="28" t="str">
        <f>IF('Paste SD Data'!J2234="","",'Paste SD Data'!J2234)</f>
        <v/>
      </c>
      <c r="J2237" s="34">
        <f t="shared" si="34"/>
        <v>2663</v>
      </c>
      <c r="K2237" s="29" t="str">
        <f>IF('Paste SD Data'!O2234="","",'Paste SD Data'!O2234)</f>
        <v/>
      </c>
    </row>
    <row r="2238" spans="1:11" ht="30" customHeight="1" x14ac:dyDescent="0.25">
      <c r="A2238" s="25" t="str">
        <f>IF(Table1[[#This Row],[Name of Student]]="","",ROWS($A$1:A2234))</f>
        <v/>
      </c>
      <c r="B2238" s="26" t="str">
        <f>IF('Paste SD Data'!A2235="","",'Paste SD Data'!A2235)</f>
        <v/>
      </c>
      <c r="C2238" s="26" t="str">
        <f>IF('Paste SD Data'!B2235="","",'Paste SD Data'!B2235)</f>
        <v/>
      </c>
      <c r="D2238" s="26" t="str">
        <f>IF('Paste SD Data'!C2235="","",'Paste SD Data'!C2235)</f>
        <v/>
      </c>
      <c r="E2238" s="27" t="str">
        <f>IF('Paste SD Data'!E2235="","",UPPER('Paste SD Data'!E2235))</f>
        <v/>
      </c>
      <c r="F2238" s="27" t="str">
        <f>IF('Paste SD Data'!G2235="","",UPPER('Paste SD Data'!G2235))</f>
        <v/>
      </c>
      <c r="G2238" s="27" t="str">
        <f>IF('Paste SD Data'!H2235="","",UPPER('Paste SD Data'!H2235))</f>
        <v/>
      </c>
      <c r="H2238" s="26" t="str">
        <f>IF('Paste SD Data'!I2235="","",IF('Paste SD Data'!I2235="M","BOY","GIRL"))</f>
        <v/>
      </c>
      <c r="I2238" s="28" t="str">
        <f>IF('Paste SD Data'!J2235="","",'Paste SD Data'!J2235)</f>
        <v/>
      </c>
      <c r="J2238" s="34">
        <f t="shared" si="34"/>
        <v>2664</v>
      </c>
      <c r="K2238" s="29" t="str">
        <f>IF('Paste SD Data'!O2235="","",'Paste SD Data'!O2235)</f>
        <v/>
      </c>
    </row>
    <row r="2239" spans="1:11" ht="30" customHeight="1" x14ac:dyDescent="0.25">
      <c r="A2239" s="25" t="str">
        <f>IF(Table1[[#This Row],[Name of Student]]="","",ROWS($A$1:A2235))</f>
        <v/>
      </c>
      <c r="B2239" s="26" t="str">
        <f>IF('Paste SD Data'!A2236="","",'Paste SD Data'!A2236)</f>
        <v/>
      </c>
      <c r="C2239" s="26" t="str">
        <f>IF('Paste SD Data'!B2236="","",'Paste SD Data'!B2236)</f>
        <v/>
      </c>
      <c r="D2239" s="26" t="str">
        <f>IF('Paste SD Data'!C2236="","",'Paste SD Data'!C2236)</f>
        <v/>
      </c>
      <c r="E2239" s="27" t="str">
        <f>IF('Paste SD Data'!E2236="","",UPPER('Paste SD Data'!E2236))</f>
        <v/>
      </c>
      <c r="F2239" s="27" t="str">
        <f>IF('Paste SD Data'!G2236="","",UPPER('Paste SD Data'!G2236))</f>
        <v/>
      </c>
      <c r="G2239" s="27" t="str">
        <f>IF('Paste SD Data'!H2236="","",UPPER('Paste SD Data'!H2236))</f>
        <v/>
      </c>
      <c r="H2239" s="26" t="str">
        <f>IF('Paste SD Data'!I2236="","",IF('Paste SD Data'!I2236="M","BOY","GIRL"))</f>
        <v/>
      </c>
      <c r="I2239" s="28" t="str">
        <f>IF('Paste SD Data'!J2236="","",'Paste SD Data'!J2236)</f>
        <v/>
      </c>
      <c r="J2239" s="34">
        <f t="shared" si="34"/>
        <v>2665</v>
      </c>
      <c r="K2239" s="29" t="str">
        <f>IF('Paste SD Data'!O2236="","",'Paste SD Data'!O2236)</f>
        <v/>
      </c>
    </row>
    <row r="2240" spans="1:11" ht="30" customHeight="1" x14ac:dyDescent="0.25">
      <c r="A2240" s="25" t="str">
        <f>IF(Table1[[#This Row],[Name of Student]]="","",ROWS($A$1:A2236))</f>
        <v/>
      </c>
      <c r="B2240" s="26" t="str">
        <f>IF('Paste SD Data'!A2237="","",'Paste SD Data'!A2237)</f>
        <v/>
      </c>
      <c r="C2240" s="26" t="str">
        <f>IF('Paste SD Data'!B2237="","",'Paste SD Data'!B2237)</f>
        <v/>
      </c>
      <c r="D2240" s="26" t="str">
        <f>IF('Paste SD Data'!C2237="","",'Paste SD Data'!C2237)</f>
        <v/>
      </c>
      <c r="E2240" s="27" t="str">
        <f>IF('Paste SD Data'!E2237="","",UPPER('Paste SD Data'!E2237))</f>
        <v/>
      </c>
      <c r="F2240" s="27" t="str">
        <f>IF('Paste SD Data'!G2237="","",UPPER('Paste SD Data'!G2237))</f>
        <v/>
      </c>
      <c r="G2240" s="27" t="str">
        <f>IF('Paste SD Data'!H2237="","",UPPER('Paste SD Data'!H2237))</f>
        <v/>
      </c>
      <c r="H2240" s="26" t="str">
        <f>IF('Paste SD Data'!I2237="","",IF('Paste SD Data'!I2237="M","BOY","GIRL"))</f>
        <v/>
      </c>
      <c r="I2240" s="28" t="str">
        <f>IF('Paste SD Data'!J2237="","",'Paste SD Data'!J2237)</f>
        <v/>
      </c>
      <c r="J2240" s="34">
        <f t="shared" si="34"/>
        <v>2666</v>
      </c>
      <c r="K2240" s="29" t="str">
        <f>IF('Paste SD Data'!O2237="","",'Paste SD Data'!O2237)</f>
        <v/>
      </c>
    </row>
    <row r="2241" spans="1:11" ht="30" customHeight="1" x14ac:dyDescent="0.25">
      <c r="A2241" s="25" t="str">
        <f>IF(Table1[[#This Row],[Name of Student]]="","",ROWS($A$1:A2237))</f>
        <v/>
      </c>
      <c r="B2241" s="26" t="str">
        <f>IF('Paste SD Data'!A2238="","",'Paste SD Data'!A2238)</f>
        <v/>
      </c>
      <c r="C2241" s="26" t="str">
        <f>IF('Paste SD Data'!B2238="","",'Paste SD Data'!B2238)</f>
        <v/>
      </c>
      <c r="D2241" s="26" t="str">
        <f>IF('Paste SD Data'!C2238="","",'Paste SD Data'!C2238)</f>
        <v/>
      </c>
      <c r="E2241" s="27" t="str">
        <f>IF('Paste SD Data'!E2238="","",UPPER('Paste SD Data'!E2238))</f>
        <v/>
      </c>
      <c r="F2241" s="27" t="str">
        <f>IF('Paste SD Data'!G2238="","",UPPER('Paste SD Data'!G2238))</f>
        <v/>
      </c>
      <c r="G2241" s="27" t="str">
        <f>IF('Paste SD Data'!H2238="","",UPPER('Paste SD Data'!H2238))</f>
        <v/>
      </c>
      <c r="H2241" s="26" t="str">
        <f>IF('Paste SD Data'!I2238="","",IF('Paste SD Data'!I2238="M","BOY","GIRL"))</f>
        <v/>
      </c>
      <c r="I2241" s="28" t="str">
        <f>IF('Paste SD Data'!J2238="","",'Paste SD Data'!J2238)</f>
        <v/>
      </c>
      <c r="J2241" s="34">
        <f t="shared" si="34"/>
        <v>2667</v>
      </c>
      <c r="K2241" s="29" t="str">
        <f>IF('Paste SD Data'!O2238="","",'Paste SD Data'!O2238)</f>
        <v/>
      </c>
    </row>
    <row r="2242" spans="1:11" ht="30" customHeight="1" x14ac:dyDescent="0.25">
      <c r="A2242" s="25" t="str">
        <f>IF(Table1[[#This Row],[Name of Student]]="","",ROWS($A$1:A2238))</f>
        <v/>
      </c>
      <c r="B2242" s="26" t="str">
        <f>IF('Paste SD Data'!A2239="","",'Paste SD Data'!A2239)</f>
        <v/>
      </c>
      <c r="C2242" s="26" t="str">
        <f>IF('Paste SD Data'!B2239="","",'Paste SD Data'!B2239)</f>
        <v/>
      </c>
      <c r="D2242" s="26" t="str">
        <f>IF('Paste SD Data'!C2239="","",'Paste SD Data'!C2239)</f>
        <v/>
      </c>
      <c r="E2242" s="27" t="str">
        <f>IF('Paste SD Data'!E2239="","",UPPER('Paste SD Data'!E2239))</f>
        <v/>
      </c>
      <c r="F2242" s="27" t="str">
        <f>IF('Paste SD Data'!G2239="","",UPPER('Paste SD Data'!G2239))</f>
        <v/>
      </c>
      <c r="G2242" s="27" t="str">
        <f>IF('Paste SD Data'!H2239="","",UPPER('Paste SD Data'!H2239))</f>
        <v/>
      </c>
      <c r="H2242" s="26" t="str">
        <f>IF('Paste SD Data'!I2239="","",IF('Paste SD Data'!I2239="M","BOY","GIRL"))</f>
        <v/>
      </c>
      <c r="I2242" s="28" t="str">
        <f>IF('Paste SD Data'!J2239="","",'Paste SD Data'!J2239)</f>
        <v/>
      </c>
      <c r="J2242" s="34">
        <f t="shared" si="34"/>
        <v>2668</v>
      </c>
      <c r="K2242" s="29" t="str">
        <f>IF('Paste SD Data'!O2239="","",'Paste SD Data'!O2239)</f>
        <v/>
      </c>
    </row>
    <row r="2243" spans="1:11" ht="30" customHeight="1" x14ac:dyDescent="0.25">
      <c r="A2243" s="25" t="str">
        <f>IF(Table1[[#This Row],[Name of Student]]="","",ROWS($A$1:A2239))</f>
        <v/>
      </c>
      <c r="B2243" s="26" t="str">
        <f>IF('Paste SD Data'!A2240="","",'Paste SD Data'!A2240)</f>
        <v/>
      </c>
      <c r="C2243" s="26" t="str">
        <f>IF('Paste SD Data'!B2240="","",'Paste SD Data'!B2240)</f>
        <v/>
      </c>
      <c r="D2243" s="26" t="str">
        <f>IF('Paste SD Data'!C2240="","",'Paste SD Data'!C2240)</f>
        <v/>
      </c>
      <c r="E2243" s="27" t="str">
        <f>IF('Paste SD Data'!E2240="","",UPPER('Paste SD Data'!E2240))</f>
        <v/>
      </c>
      <c r="F2243" s="27" t="str">
        <f>IF('Paste SD Data'!G2240="","",UPPER('Paste SD Data'!G2240))</f>
        <v/>
      </c>
      <c r="G2243" s="27" t="str">
        <f>IF('Paste SD Data'!H2240="","",UPPER('Paste SD Data'!H2240))</f>
        <v/>
      </c>
      <c r="H2243" s="26" t="str">
        <f>IF('Paste SD Data'!I2240="","",IF('Paste SD Data'!I2240="M","BOY","GIRL"))</f>
        <v/>
      </c>
      <c r="I2243" s="28" t="str">
        <f>IF('Paste SD Data'!J2240="","",'Paste SD Data'!J2240)</f>
        <v/>
      </c>
      <c r="J2243" s="34">
        <f t="shared" si="34"/>
        <v>2669</v>
      </c>
      <c r="K2243" s="29" t="str">
        <f>IF('Paste SD Data'!O2240="","",'Paste SD Data'!O2240)</f>
        <v/>
      </c>
    </row>
    <row r="2244" spans="1:11" ht="30" customHeight="1" x14ac:dyDescent="0.25">
      <c r="A2244" s="25" t="str">
        <f>IF(Table1[[#This Row],[Name of Student]]="","",ROWS($A$1:A2240))</f>
        <v/>
      </c>
      <c r="B2244" s="26" t="str">
        <f>IF('Paste SD Data'!A2241="","",'Paste SD Data'!A2241)</f>
        <v/>
      </c>
      <c r="C2244" s="26" t="str">
        <f>IF('Paste SD Data'!B2241="","",'Paste SD Data'!B2241)</f>
        <v/>
      </c>
      <c r="D2244" s="26" t="str">
        <f>IF('Paste SD Data'!C2241="","",'Paste SD Data'!C2241)</f>
        <v/>
      </c>
      <c r="E2244" s="27" t="str">
        <f>IF('Paste SD Data'!E2241="","",UPPER('Paste SD Data'!E2241))</f>
        <v/>
      </c>
      <c r="F2244" s="27" t="str">
        <f>IF('Paste SD Data'!G2241="","",UPPER('Paste SD Data'!G2241))</f>
        <v/>
      </c>
      <c r="G2244" s="27" t="str">
        <f>IF('Paste SD Data'!H2241="","",UPPER('Paste SD Data'!H2241))</f>
        <v/>
      </c>
      <c r="H2244" s="26" t="str">
        <f>IF('Paste SD Data'!I2241="","",IF('Paste SD Data'!I2241="M","BOY","GIRL"))</f>
        <v/>
      </c>
      <c r="I2244" s="28" t="str">
        <f>IF('Paste SD Data'!J2241="","",'Paste SD Data'!J2241)</f>
        <v/>
      </c>
      <c r="J2244" s="34">
        <f t="shared" si="34"/>
        <v>2670</v>
      </c>
      <c r="K2244" s="29" t="str">
        <f>IF('Paste SD Data'!O2241="","",'Paste SD Data'!O2241)</f>
        <v/>
      </c>
    </row>
    <row r="2245" spans="1:11" ht="30" customHeight="1" x14ac:dyDescent="0.25">
      <c r="A2245" s="25" t="str">
        <f>IF(Table1[[#This Row],[Name of Student]]="","",ROWS($A$1:A2241))</f>
        <v/>
      </c>
      <c r="B2245" s="26" t="str">
        <f>IF('Paste SD Data'!A2242="","",'Paste SD Data'!A2242)</f>
        <v/>
      </c>
      <c r="C2245" s="26" t="str">
        <f>IF('Paste SD Data'!B2242="","",'Paste SD Data'!B2242)</f>
        <v/>
      </c>
      <c r="D2245" s="26" t="str">
        <f>IF('Paste SD Data'!C2242="","",'Paste SD Data'!C2242)</f>
        <v/>
      </c>
      <c r="E2245" s="27" t="str">
        <f>IF('Paste SD Data'!E2242="","",UPPER('Paste SD Data'!E2242))</f>
        <v/>
      </c>
      <c r="F2245" s="27" t="str">
        <f>IF('Paste SD Data'!G2242="","",UPPER('Paste SD Data'!G2242))</f>
        <v/>
      </c>
      <c r="G2245" s="27" t="str">
        <f>IF('Paste SD Data'!H2242="","",UPPER('Paste SD Data'!H2242))</f>
        <v/>
      </c>
      <c r="H2245" s="26" t="str">
        <f>IF('Paste SD Data'!I2242="","",IF('Paste SD Data'!I2242="M","BOY","GIRL"))</f>
        <v/>
      </c>
      <c r="I2245" s="28" t="str">
        <f>IF('Paste SD Data'!J2242="","",'Paste SD Data'!J2242)</f>
        <v/>
      </c>
      <c r="J2245" s="34">
        <f t="shared" si="34"/>
        <v>2671</v>
      </c>
      <c r="K2245" s="29" t="str">
        <f>IF('Paste SD Data'!O2242="","",'Paste SD Data'!O2242)</f>
        <v/>
      </c>
    </row>
    <row r="2246" spans="1:11" ht="30" customHeight="1" x14ac:dyDescent="0.25">
      <c r="A2246" s="25" t="str">
        <f>IF(Table1[[#This Row],[Name of Student]]="","",ROWS($A$1:A2242))</f>
        <v/>
      </c>
      <c r="B2246" s="26" t="str">
        <f>IF('Paste SD Data'!A2243="","",'Paste SD Data'!A2243)</f>
        <v/>
      </c>
      <c r="C2246" s="26" t="str">
        <f>IF('Paste SD Data'!B2243="","",'Paste SD Data'!B2243)</f>
        <v/>
      </c>
      <c r="D2246" s="26" t="str">
        <f>IF('Paste SD Data'!C2243="","",'Paste SD Data'!C2243)</f>
        <v/>
      </c>
      <c r="E2246" s="27" t="str">
        <f>IF('Paste SD Data'!E2243="","",UPPER('Paste SD Data'!E2243))</f>
        <v/>
      </c>
      <c r="F2246" s="27" t="str">
        <f>IF('Paste SD Data'!G2243="","",UPPER('Paste SD Data'!G2243))</f>
        <v/>
      </c>
      <c r="G2246" s="27" t="str">
        <f>IF('Paste SD Data'!H2243="","",UPPER('Paste SD Data'!H2243))</f>
        <v/>
      </c>
      <c r="H2246" s="26" t="str">
        <f>IF('Paste SD Data'!I2243="","",IF('Paste SD Data'!I2243="M","BOY","GIRL"))</f>
        <v/>
      </c>
      <c r="I2246" s="28" t="str">
        <f>IF('Paste SD Data'!J2243="","",'Paste SD Data'!J2243)</f>
        <v/>
      </c>
      <c r="J2246" s="34">
        <f t="shared" si="34"/>
        <v>2672</v>
      </c>
      <c r="K2246" s="29" t="str">
        <f>IF('Paste SD Data'!O2243="","",'Paste SD Data'!O2243)</f>
        <v/>
      </c>
    </row>
    <row r="2247" spans="1:11" ht="30" customHeight="1" x14ac:dyDescent="0.25">
      <c r="A2247" s="25" t="str">
        <f>IF(Table1[[#This Row],[Name of Student]]="","",ROWS($A$1:A2243))</f>
        <v/>
      </c>
      <c r="B2247" s="26" t="str">
        <f>IF('Paste SD Data'!A2244="","",'Paste SD Data'!A2244)</f>
        <v/>
      </c>
      <c r="C2247" s="26" t="str">
        <f>IF('Paste SD Data'!B2244="","",'Paste SD Data'!B2244)</f>
        <v/>
      </c>
      <c r="D2247" s="26" t="str">
        <f>IF('Paste SD Data'!C2244="","",'Paste SD Data'!C2244)</f>
        <v/>
      </c>
      <c r="E2247" s="27" t="str">
        <f>IF('Paste SD Data'!E2244="","",UPPER('Paste SD Data'!E2244))</f>
        <v/>
      </c>
      <c r="F2247" s="27" t="str">
        <f>IF('Paste SD Data'!G2244="","",UPPER('Paste SD Data'!G2244))</f>
        <v/>
      </c>
      <c r="G2247" s="27" t="str">
        <f>IF('Paste SD Data'!H2244="","",UPPER('Paste SD Data'!H2244))</f>
        <v/>
      </c>
      <c r="H2247" s="26" t="str">
        <f>IF('Paste SD Data'!I2244="","",IF('Paste SD Data'!I2244="M","BOY","GIRL"))</f>
        <v/>
      </c>
      <c r="I2247" s="28" t="str">
        <f>IF('Paste SD Data'!J2244="","",'Paste SD Data'!J2244)</f>
        <v/>
      </c>
      <c r="J2247" s="34">
        <f t="shared" ref="J2247:J2251" si="35">J2246+1</f>
        <v>2673</v>
      </c>
      <c r="K2247" s="29" t="str">
        <f>IF('Paste SD Data'!O2244="","",'Paste SD Data'!O2244)</f>
        <v/>
      </c>
    </row>
    <row r="2248" spans="1:11" ht="30" customHeight="1" x14ac:dyDescent="0.25">
      <c r="A2248" s="25" t="str">
        <f>IF(Table1[[#This Row],[Name of Student]]="","",ROWS($A$1:A2244))</f>
        <v/>
      </c>
      <c r="B2248" s="26" t="str">
        <f>IF('Paste SD Data'!A2245="","",'Paste SD Data'!A2245)</f>
        <v/>
      </c>
      <c r="C2248" s="26" t="str">
        <f>IF('Paste SD Data'!B2245="","",'Paste SD Data'!B2245)</f>
        <v/>
      </c>
      <c r="D2248" s="26" t="str">
        <f>IF('Paste SD Data'!C2245="","",'Paste SD Data'!C2245)</f>
        <v/>
      </c>
      <c r="E2248" s="27" t="str">
        <f>IF('Paste SD Data'!E2245="","",UPPER('Paste SD Data'!E2245))</f>
        <v/>
      </c>
      <c r="F2248" s="27" t="str">
        <f>IF('Paste SD Data'!G2245="","",UPPER('Paste SD Data'!G2245))</f>
        <v/>
      </c>
      <c r="G2248" s="27" t="str">
        <f>IF('Paste SD Data'!H2245="","",UPPER('Paste SD Data'!H2245))</f>
        <v/>
      </c>
      <c r="H2248" s="26" t="str">
        <f>IF('Paste SD Data'!I2245="","",IF('Paste SD Data'!I2245="M","BOY","GIRL"))</f>
        <v/>
      </c>
      <c r="I2248" s="28" t="str">
        <f>IF('Paste SD Data'!J2245="","",'Paste SD Data'!J2245)</f>
        <v/>
      </c>
      <c r="J2248" s="34">
        <f t="shared" si="35"/>
        <v>2674</v>
      </c>
      <c r="K2248" s="29" t="str">
        <f>IF('Paste SD Data'!O2245="","",'Paste SD Data'!O2245)</f>
        <v/>
      </c>
    </row>
    <row r="2249" spans="1:11" ht="30" customHeight="1" x14ac:dyDescent="0.25">
      <c r="A2249" s="25" t="str">
        <f>IF(Table1[[#This Row],[Name of Student]]="","",ROWS($A$1:A2245))</f>
        <v/>
      </c>
      <c r="B2249" s="26" t="str">
        <f>IF('Paste SD Data'!A2246="","",'Paste SD Data'!A2246)</f>
        <v/>
      </c>
      <c r="C2249" s="26" t="str">
        <f>IF('Paste SD Data'!B2246="","",'Paste SD Data'!B2246)</f>
        <v/>
      </c>
      <c r="D2249" s="26" t="str">
        <f>IF('Paste SD Data'!C2246="","",'Paste SD Data'!C2246)</f>
        <v/>
      </c>
      <c r="E2249" s="27" t="str">
        <f>IF('Paste SD Data'!E2246="","",UPPER('Paste SD Data'!E2246))</f>
        <v/>
      </c>
      <c r="F2249" s="27" t="str">
        <f>IF('Paste SD Data'!G2246="","",UPPER('Paste SD Data'!G2246))</f>
        <v/>
      </c>
      <c r="G2249" s="27" t="str">
        <f>IF('Paste SD Data'!H2246="","",UPPER('Paste SD Data'!H2246))</f>
        <v/>
      </c>
      <c r="H2249" s="26" t="str">
        <f>IF('Paste SD Data'!I2246="","",IF('Paste SD Data'!I2246="M","BOY","GIRL"))</f>
        <v/>
      </c>
      <c r="I2249" s="28" t="str">
        <f>IF('Paste SD Data'!J2246="","",'Paste SD Data'!J2246)</f>
        <v/>
      </c>
      <c r="J2249" s="34">
        <f t="shared" si="35"/>
        <v>2675</v>
      </c>
      <c r="K2249" s="29" t="str">
        <f>IF('Paste SD Data'!O2246="","",'Paste SD Data'!O2246)</f>
        <v/>
      </c>
    </row>
    <row r="2250" spans="1:11" ht="30" customHeight="1" x14ac:dyDescent="0.25">
      <c r="A2250" s="25" t="str">
        <f>IF(Table1[[#This Row],[Name of Student]]="","",ROWS($A$1:A2246))</f>
        <v/>
      </c>
      <c r="B2250" s="26" t="str">
        <f>IF('Paste SD Data'!A2247="","",'Paste SD Data'!A2247)</f>
        <v/>
      </c>
      <c r="C2250" s="26" t="str">
        <f>IF('Paste SD Data'!B2247="","",'Paste SD Data'!B2247)</f>
        <v/>
      </c>
      <c r="D2250" s="26" t="str">
        <f>IF('Paste SD Data'!C2247="","",'Paste SD Data'!C2247)</f>
        <v/>
      </c>
      <c r="E2250" s="27" t="str">
        <f>IF('Paste SD Data'!E2247="","",UPPER('Paste SD Data'!E2247))</f>
        <v/>
      </c>
      <c r="F2250" s="27" t="str">
        <f>IF('Paste SD Data'!G2247="","",UPPER('Paste SD Data'!G2247))</f>
        <v/>
      </c>
      <c r="G2250" s="27" t="str">
        <f>IF('Paste SD Data'!H2247="","",UPPER('Paste SD Data'!H2247))</f>
        <v/>
      </c>
      <c r="H2250" s="26" t="str">
        <f>IF('Paste SD Data'!I2247="","",IF('Paste SD Data'!I2247="M","BOY","GIRL"))</f>
        <v/>
      </c>
      <c r="I2250" s="28" t="str">
        <f>IF('Paste SD Data'!J2247="","",'Paste SD Data'!J2247)</f>
        <v/>
      </c>
      <c r="J2250" s="34">
        <f t="shared" si="35"/>
        <v>2676</v>
      </c>
      <c r="K2250" s="29" t="str">
        <f>IF('Paste SD Data'!O2247="","",'Paste SD Data'!O2247)</f>
        <v/>
      </c>
    </row>
    <row r="2251" spans="1:11" ht="30" customHeight="1" x14ac:dyDescent="0.25">
      <c r="A2251" s="25" t="str">
        <f>IF(Table1[[#This Row],[Name of Student]]="","",ROWS($A$1:A2247))</f>
        <v/>
      </c>
      <c r="B2251" s="26" t="str">
        <f>IF('Paste SD Data'!A2248="","",'Paste SD Data'!A2248)</f>
        <v/>
      </c>
      <c r="C2251" s="26" t="str">
        <f>IF('Paste SD Data'!B2248="","",'Paste SD Data'!B2248)</f>
        <v/>
      </c>
      <c r="D2251" s="26" t="str">
        <f>IF('Paste SD Data'!C2248="","",'Paste SD Data'!C2248)</f>
        <v/>
      </c>
      <c r="E2251" s="27" t="str">
        <f>IF('Paste SD Data'!E2248="","",UPPER('Paste SD Data'!E2248))</f>
        <v/>
      </c>
      <c r="F2251" s="27" t="str">
        <f>IF('Paste SD Data'!G2248="","",UPPER('Paste SD Data'!G2248))</f>
        <v/>
      </c>
      <c r="G2251" s="27" t="str">
        <f>IF('Paste SD Data'!H2248="","",UPPER('Paste SD Data'!H2248))</f>
        <v/>
      </c>
      <c r="H2251" s="26" t="str">
        <f>IF('Paste SD Data'!I2248="","",IF('Paste SD Data'!I2248="M","BOY","GIRL"))</f>
        <v/>
      </c>
      <c r="I2251" s="28" t="str">
        <f>IF('Paste SD Data'!J2248="","",'Paste SD Data'!J2248)</f>
        <v/>
      </c>
      <c r="J2251" s="34">
        <f t="shared" si="35"/>
        <v>2677</v>
      </c>
      <c r="K2251" s="29" t="str">
        <f>IF('Paste SD Data'!O2248="","",'Paste SD Data'!O2248)</f>
        <v/>
      </c>
    </row>
  </sheetData>
  <sheetProtection password="DB75" sheet="1" objects="1" scenarios="1" selectLockedCells="1"/>
  <mergeCells count="2">
    <mergeCell ref="A1:K1"/>
    <mergeCell ref="A2:K2"/>
  </mergeCells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17"/>
  <sheetViews>
    <sheetView workbookViewId="0">
      <pane ySplit="4" topLeftCell="A5" activePane="bottomLeft" state="frozen"/>
      <selection pane="bottomLeft" activeCell="N2" sqref="N2"/>
    </sheetView>
  </sheetViews>
  <sheetFormatPr defaultRowHeight="15" x14ac:dyDescent="0.25"/>
  <cols>
    <col min="1" max="1" width="4.42578125" customWidth="1"/>
    <col min="2" max="2" width="6.140625" style="15" customWidth="1"/>
    <col min="3" max="3" width="6" style="15" customWidth="1"/>
    <col min="4" max="4" width="9.140625" style="15"/>
    <col min="5" max="7" width="25.7109375" style="14" customWidth="1"/>
    <col min="8" max="8" width="7" style="15" customWidth="1"/>
    <col min="9" max="9" width="10.85546875" style="15" customWidth="1"/>
    <col min="10" max="11" width="9.140625" style="15"/>
    <col min="13" max="13" width="8.5703125" customWidth="1"/>
    <col min="14" max="14" width="10.28515625" customWidth="1"/>
  </cols>
  <sheetData>
    <row r="1" spans="1:15" ht="24.95" customHeight="1" x14ac:dyDescent="0.25">
      <c r="A1" s="163" t="str">
        <f>'Sch Name'!A1</f>
        <v>Government Senior Secondary School, Deograh (Rajsamand)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M1" s="11" t="s">
        <v>3</v>
      </c>
      <c r="N1" s="11" t="s">
        <v>8</v>
      </c>
    </row>
    <row r="2" spans="1:15" ht="24.95" customHeight="1" x14ac:dyDescent="0.25">
      <c r="A2" s="164" t="str">
        <f>"Result For Class "&amp;M2&amp;"th "&amp;N2</f>
        <v>Result For Class 11th B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M2" s="12">
        <v>11</v>
      </c>
      <c r="N2" s="12" t="s">
        <v>1108</v>
      </c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/>
      <c r="K3"/>
    </row>
    <row r="4" spans="1:15" ht="42.75" x14ac:dyDescent="0.25">
      <c r="A4" s="9" t="s">
        <v>3498</v>
      </c>
      <c r="B4" s="9" t="s">
        <v>3</v>
      </c>
      <c r="C4" s="9" t="s">
        <v>8</v>
      </c>
      <c r="D4" s="9" t="s">
        <v>9</v>
      </c>
      <c r="E4" s="9" t="s">
        <v>3501</v>
      </c>
      <c r="F4" s="9" t="s">
        <v>3499</v>
      </c>
      <c r="G4" s="9" t="s">
        <v>3500</v>
      </c>
      <c r="H4" s="9" t="s">
        <v>15</v>
      </c>
      <c r="I4" s="9" t="s">
        <v>16</v>
      </c>
      <c r="J4" s="9" t="s">
        <v>3502</v>
      </c>
      <c r="K4" s="9" t="s">
        <v>21</v>
      </c>
    </row>
    <row r="5" spans="1:15" ht="30" customHeight="1" x14ac:dyDescent="0.25">
      <c r="A5" s="10">
        <f>IF(E5="","",ROWS($A$1:A1))</f>
        <v>1</v>
      </c>
      <c r="B5" s="5">
        <v>11</v>
      </c>
      <c r="C5" s="5" t="s">
        <v>1108</v>
      </c>
      <c r="D5" s="5">
        <v>13204</v>
      </c>
      <c r="E5" s="6" t="s">
        <v>2187</v>
      </c>
      <c r="F5" s="6" t="s">
        <v>1763</v>
      </c>
      <c r="G5" s="6" t="s">
        <v>1157</v>
      </c>
      <c r="H5" s="5" t="s">
        <v>3503</v>
      </c>
      <c r="I5" s="7">
        <v>38696</v>
      </c>
      <c r="J5" s="16">
        <v>906</v>
      </c>
      <c r="K5" s="16" t="s">
        <v>53</v>
      </c>
      <c r="M5" s="165" t="s">
        <v>3504</v>
      </c>
      <c r="N5" s="165"/>
      <c r="O5" s="165"/>
    </row>
    <row r="6" spans="1:15" ht="30" customHeight="1" x14ac:dyDescent="0.25">
      <c r="A6" s="10">
        <f>IF(E6="","",ROWS($A$1:A2))</f>
        <v>2</v>
      </c>
      <c r="B6" s="5">
        <v>11</v>
      </c>
      <c r="C6" s="5" t="s">
        <v>1108</v>
      </c>
      <c r="D6" s="5">
        <v>12970</v>
      </c>
      <c r="E6" s="6" t="s">
        <v>2191</v>
      </c>
      <c r="F6" s="6" t="s">
        <v>904</v>
      </c>
      <c r="G6" s="6" t="s">
        <v>2192</v>
      </c>
      <c r="H6" s="5" t="s">
        <v>3503</v>
      </c>
      <c r="I6" s="7">
        <v>38563</v>
      </c>
      <c r="J6" s="16">
        <v>907</v>
      </c>
      <c r="K6" s="16" t="s">
        <v>53</v>
      </c>
      <c r="M6" s="165"/>
      <c r="N6" s="165"/>
      <c r="O6" s="165"/>
    </row>
    <row r="7" spans="1:15" ht="30" customHeight="1" x14ac:dyDescent="0.25">
      <c r="A7" s="10">
        <f>IF(E7="","",ROWS($A$1:A3))</f>
        <v>3</v>
      </c>
      <c r="B7" s="5">
        <v>11</v>
      </c>
      <c r="C7" s="5" t="s">
        <v>1108</v>
      </c>
      <c r="D7" s="5">
        <v>13028</v>
      </c>
      <c r="E7" s="6" t="s">
        <v>1787</v>
      </c>
      <c r="F7" s="6" t="s">
        <v>997</v>
      </c>
      <c r="G7" s="6" t="s">
        <v>2195</v>
      </c>
      <c r="H7" s="5" t="s">
        <v>3503</v>
      </c>
      <c r="I7" s="7">
        <v>37510</v>
      </c>
      <c r="J7" s="16">
        <v>908</v>
      </c>
      <c r="K7" s="16" t="s">
        <v>78</v>
      </c>
      <c r="M7" s="165"/>
      <c r="N7" s="165"/>
      <c r="O7" s="165"/>
    </row>
    <row r="8" spans="1:15" ht="30" customHeight="1" x14ac:dyDescent="0.25">
      <c r="A8" s="10">
        <f>IF(E8="","",ROWS($A$1:A4))</f>
        <v>4</v>
      </c>
      <c r="B8" s="5">
        <v>11</v>
      </c>
      <c r="C8" s="5" t="s">
        <v>1108</v>
      </c>
      <c r="D8" s="5">
        <v>13030</v>
      </c>
      <c r="E8" s="6" t="s">
        <v>2198</v>
      </c>
      <c r="F8" s="6" t="s">
        <v>2199</v>
      </c>
      <c r="G8" s="6" t="s">
        <v>2200</v>
      </c>
      <c r="H8" s="5" t="s">
        <v>3503</v>
      </c>
      <c r="I8" s="7">
        <v>37293</v>
      </c>
      <c r="J8" s="16">
        <v>909</v>
      </c>
      <c r="K8" s="16" t="s">
        <v>53</v>
      </c>
      <c r="M8" s="165"/>
      <c r="N8" s="165"/>
      <c r="O8" s="165"/>
    </row>
    <row r="9" spans="1:15" ht="30" customHeight="1" x14ac:dyDescent="0.25">
      <c r="A9" s="10">
        <f>IF(E9="","",ROWS($A$1:A5))</f>
        <v>5</v>
      </c>
      <c r="B9" s="5">
        <v>11</v>
      </c>
      <c r="C9" s="5" t="s">
        <v>1108</v>
      </c>
      <c r="D9" s="5">
        <v>13275</v>
      </c>
      <c r="E9" s="6" t="s">
        <v>2204</v>
      </c>
      <c r="F9" s="6" t="s">
        <v>1104</v>
      </c>
      <c r="G9" s="6" t="s">
        <v>599</v>
      </c>
      <c r="H9" s="5" t="s">
        <v>3503</v>
      </c>
      <c r="I9" s="7">
        <v>38918</v>
      </c>
      <c r="J9" s="16">
        <v>910</v>
      </c>
      <c r="K9" s="16" t="s">
        <v>773</v>
      </c>
      <c r="M9" s="165"/>
      <c r="N9" s="165"/>
      <c r="O9" s="165"/>
    </row>
    <row r="10" spans="1:15" ht="30" customHeight="1" x14ac:dyDescent="0.25">
      <c r="A10" s="10">
        <f>IF(E10="","",ROWS($A$1:A6))</f>
        <v>6</v>
      </c>
      <c r="B10" s="5">
        <v>11</v>
      </c>
      <c r="C10" s="5" t="s">
        <v>1108</v>
      </c>
      <c r="D10" s="5">
        <v>13337</v>
      </c>
      <c r="E10" s="6" t="s">
        <v>2207</v>
      </c>
      <c r="F10" s="6" t="s">
        <v>2208</v>
      </c>
      <c r="G10" s="6" t="s">
        <v>2209</v>
      </c>
      <c r="H10" s="5" t="s">
        <v>3503</v>
      </c>
      <c r="I10" s="7">
        <v>37957</v>
      </c>
      <c r="J10" s="16">
        <v>911</v>
      </c>
      <c r="K10" s="16" t="s">
        <v>53</v>
      </c>
      <c r="M10" s="165"/>
      <c r="N10" s="165"/>
      <c r="O10" s="165"/>
    </row>
    <row r="11" spans="1:15" ht="30" customHeight="1" x14ac:dyDescent="0.25">
      <c r="A11" s="10">
        <f>IF(E11="","",ROWS($A$1:A7))</f>
        <v>7</v>
      </c>
      <c r="B11" s="5">
        <v>11</v>
      </c>
      <c r="C11" s="5" t="s">
        <v>1108</v>
      </c>
      <c r="D11" s="5">
        <v>13238</v>
      </c>
      <c r="E11" s="6" t="s">
        <v>2213</v>
      </c>
      <c r="F11" s="6" t="s">
        <v>2214</v>
      </c>
      <c r="G11" s="6" t="s">
        <v>2215</v>
      </c>
      <c r="H11" s="5" t="s">
        <v>3503</v>
      </c>
      <c r="I11" s="7">
        <v>38812</v>
      </c>
      <c r="J11" s="16">
        <v>912</v>
      </c>
      <c r="K11" s="16" t="s">
        <v>53</v>
      </c>
    </row>
    <row r="12" spans="1:15" ht="30" customHeight="1" x14ac:dyDescent="0.25">
      <c r="A12" s="10">
        <f>IF(E12="","",ROWS($A$1:A8))</f>
        <v>8</v>
      </c>
      <c r="B12" s="5">
        <v>11</v>
      </c>
      <c r="C12" s="5" t="s">
        <v>1108</v>
      </c>
      <c r="D12" s="5">
        <v>12965</v>
      </c>
      <c r="E12" s="6" t="s">
        <v>2219</v>
      </c>
      <c r="F12" s="6" t="s">
        <v>2220</v>
      </c>
      <c r="G12" s="6" t="s">
        <v>591</v>
      </c>
      <c r="H12" s="5" t="s">
        <v>3503</v>
      </c>
      <c r="I12" s="7">
        <v>38327</v>
      </c>
      <c r="J12" s="16">
        <v>913</v>
      </c>
      <c r="K12" s="16" t="s">
        <v>773</v>
      </c>
    </row>
    <row r="13" spans="1:15" ht="30" customHeight="1" x14ac:dyDescent="0.25">
      <c r="A13" s="10">
        <f>IF(E13="","",ROWS($A$1:A9))</f>
        <v>9</v>
      </c>
      <c r="B13" s="5">
        <v>11</v>
      </c>
      <c r="C13" s="5" t="s">
        <v>1108</v>
      </c>
      <c r="D13" s="5">
        <v>13523</v>
      </c>
      <c r="E13" s="6" t="s">
        <v>2222</v>
      </c>
      <c r="F13" s="6" t="s">
        <v>2223</v>
      </c>
      <c r="G13" s="6" t="s">
        <v>936</v>
      </c>
      <c r="H13" s="5" t="s">
        <v>3503</v>
      </c>
      <c r="I13" s="7">
        <v>38543</v>
      </c>
      <c r="J13" s="16">
        <v>914</v>
      </c>
      <c r="K13" s="16" t="s">
        <v>78</v>
      </c>
    </row>
    <row r="14" spans="1:15" ht="30" customHeight="1" x14ac:dyDescent="0.25">
      <c r="A14" s="10">
        <f>IF(E14="","",ROWS($A$1:A10))</f>
        <v>10</v>
      </c>
      <c r="B14" s="5">
        <v>11</v>
      </c>
      <c r="C14" s="5" t="s">
        <v>1108</v>
      </c>
      <c r="D14" s="5">
        <v>13319</v>
      </c>
      <c r="E14" s="6" t="s">
        <v>2227</v>
      </c>
      <c r="F14" s="6" t="s">
        <v>2228</v>
      </c>
      <c r="G14" s="6" t="s">
        <v>2229</v>
      </c>
      <c r="H14" s="5" t="s">
        <v>3503</v>
      </c>
      <c r="I14" s="7">
        <v>37816</v>
      </c>
      <c r="J14" s="16">
        <v>915</v>
      </c>
      <c r="K14" s="16" t="s">
        <v>42</v>
      </c>
    </row>
    <row r="15" spans="1:15" ht="30" customHeight="1" x14ac:dyDescent="0.25">
      <c r="A15" s="10">
        <f>IF(E15="","",ROWS($A$1:A11))</f>
        <v>11</v>
      </c>
      <c r="B15" s="5">
        <v>11</v>
      </c>
      <c r="C15" s="5" t="s">
        <v>1108</v>
      </c>
      <c r="D15" s="5">
        <v>13423</v>
      </c>
      <c r="E15" s="6" t="s">
        <v>2233</v>
      </c>
      <c r="F15" s="6" t="s">
        <v>2234</v>
      </c>
      <c r="G15" s="6" t="s">
        <v>2235</v>
      </c>
      <c r="H15" s="5" t="s">
        <v>3503</v>
      </c>
      <c r="I15" s="7">
        <v>37726</v>
      </c>
      <c r="J15" s="16">
        <v>916</v>
      </c>
      <c r="K15" s="16" t="s">
        <v>53</v>
      </c>
    </row>
    <row r="16" spans="1:15" ht="30" customHeight="1" x14ac:dyDescent="0.25">
      <c r="A16" s="10">
        <f>IF(E16="","",ROWS($A$1:A12))</f>
        <v>12</v>
      </c>
      <c r="B16" s="5">
        <v>11</v>
      </c>
      <c r="C16" s="5" t="s">
        <v>1108</v>
      </c>
      <c r="D16" s="5">
        <v>12939</v>
      </c>
      <c r="E16" s="6" t="s">
        <v>2238</v>
      </c>
      <c r="F16" s="6" t="s">
        <v>2239</v>
      </c>
      <c r="G16" s="6" t="s">
        <v>2240</v>
      </c>
      <c r="H16" s="5" t="s">
        <v>3503</v>
      </c>
      <c r="I16" s="7">
        <v>38768</v>
      </c>
      <c r="J16" s="16">
        <v>917</v>
      </c>
      <c r="K16" s="16" t="s">
        <v>42</v>
      </c>
    </row>
    <row r="17" spans="1:11" ht="30" customHeight="1" x14ac:dyDescent="0.25">
      <c r="A17" s="10">
        <f>IF(E17="","",ROWS($A$1:A13))</f>
        <v>13</v>
      </c>
      <c r="B17" s="5">
        <v>11</v>
      </c>
      <c r="C17" s="5" t="s">
        <v>1108</v>
      </c>
      <c r="D17" s="5">
        <v>13263</v>
      </c>
      <c r="E17" s="6" t="s">
        <v>781</v>
      </c>
      <c r="F17" s="6" t="s">
        <v>2244</v>
      </c>
      <c r="G17" s="6" t="s">
        <v>2245</v>
      </c>
      <c r="H17" s="5" t="s">
        <v>3503</v>
      </c>
      <c r="I17" s="7">
        <v>37695</v>
      </c>
      <c r="J17" s="16">
        <v>918</v>
      </c>
      <c r="K17" s="16" t="s">
        <v>42</v>
      </c>
    </row>
    <row r="18" spans="1:11" ht="30" customHeight="1" x14ac:dyDescent="0.25">
      <c r="A18" s="10">
        <f>IF(E18="","",ROWS($A$1:A14))</f>
        <v>14</v>
      </c>
      <c r="B18" s="5">
        <v>11</v>
      </c>
      <c r="C18" s="5" t="s">
        <v>1108</v>
      </c>
      <c r="D18" s="5">
        <v>12336</v>
      </c>
      <c r="E18" s="6" t="s">
        <v>2249</v>
      </c>
      <c r="F18" s="6" t="s">
        <v>691</v>
      </c>
      <c r="G18" s="6" t="s">
        <v>2250</v>
      </c>
      <c r="H18" s="5" t="s">
        <v>3503</v>
      </c>
      <c r="I18" s="7">
        <v>38171</v>
      </c>
      <c r="J18" s="16">
        <v>919</v>
      </c>
      <c r="K18" s="16" t="s">
        <v>78</v>
      </c>
    </row>
    <row r="19" spans="1:11" ht="30" customHeight="1" x14ac:dyDescent="0.25">
      <c r="A19" s="10">
        <f>IF(E19="","",ROWS($A$1:A15))</f>
        <v>15</v>
      </c>
      <c r="B19" s="5">
        <v>11</v>
      </c>
      <c r="C19" s="5" t="s">
        <v>1108</v>
      </c>
      <c r="D19" s="5">
        <v>12323</v>
      </c>
      <c r="E19" s="6" t="s">
        <v>722</v>
      </c>
      <c r="F19" s="6" t="s">
        <v>1787</v>
      </c>
      <c r="G19" s="6" t="s">
        <v>2254</v>
      </c>
      <c r="H19" s="5" t="s">
        <v>3503</v>
      </c>
      <c r="I19" s="7">
        <v>37818</v>
      </c>
      <c r="J19" s="16">
        <v>920</v>
      </c>
      <c r="K19" s="16" t="s">
        <v>53</v>
      </c>
    </row>
    <row r="20" spans="1:11" ht="30" customHeight="1" x14ac:dyDescent="0.25">
      <c r="A20" s="10">
        <f>IF(E20="","",ROWS($A$1:A16))</f>
        <v>16</v>
      </c>
      <c r="B20" s="5">
        <v>11</v>
      </c>
      <c r="C20" s="5" t="s">
        <v>1108</v>
      </c>
      <c r="D20" s="5">
        <v>12824</v>
      </c>
      <c r="E20" s="6" t="s">
        <v>2256</v>
      </c>
      <c r="F20" s="6" t="s">
        <v>2257</v>
      </c>
      <c r="G20" s="6" t="s">
        <v>507</v>
      </c>
      <c r="H20" s="5" t="s">
        <v>3503</v>
      </c>
      <c r="I20" s="7">
        <v>38325</v>
      </c>
      <c r="J20" s="16">
        <v>921</v>
      </c>
      <c r="K20" s="16" t="s">
        <v>53</v>
      </c>
    </row>
    <row r="21" spans="1:11" ht="30" customHeight="1" x14ac:dyDescent="0.25">
      <c r="A21" s="10">
        <f>IF(E21="","",ROWS($A$1:A17))</f>
        <v>17</v>
      </c>
      <c r="B21" s="5">
        <v>11</v>
      </c>
      <c r="C21" s="5" t="s">
        <v>1108</v>
      </c>
      <c r="D21" s="5">
        <v>13188</v>
      </c>
      <c r="E21" s="6" t="s">
        <v>2260</v>
      </c>
      <c r="F21" s="6" t="s">
        <v>1413</v>
      </c>
      <c r="G21" s="6" t="s">
        <v>2261</v>
      </c>
      <c r="H21" s="5" t="s">
        <v>3503</v>
      </c>
      <c r="I21" s="7">
        <v>38918</v>
      </c>
      <c r="J21" s="16">
        <v>922</v>
      </c>
      <c r="K21" s="16" t="s">
        <v>53</v>
      </c>
    </row>
    <row r="22" spans="1:11" ht="30" customHeight="1" x14ac:dyDescent="0.25">
      <c r="A22" s="10" t="str">
        <f>IF(E22="","",ROWS($A$1:A18))</f>
        <v/>
      </c>
      <c r="B22" s="5"/>
      <c r="C22" s="5"/>
      <c r="D22" s="5"/>
      <c r="E22" s="6"/>
      <c r="F22" s="6"/>
      <c r="G22" s="6"/>
      <c r="H22" s="5"/>
      <c r="I22" s="7"/>
      <c r="J22" s="16"/>
      <c r="K22" s="16"/>
    </row>
    <row r="23" spans="1:11" ht="30" customHeight="1" x14ac:dyDescent="0.25">
      <c r="A23" s="10" t="str">
        <f>IF(E23="","",ROWS($A$1:A19))</f>
        <v/>
      </c>
      <c r="B23" s="5"/>
      <c r="C23" s="5"/>
      <c r="D23" s="5"/>
      <c r="E23" s="6"/>
      <c r="F23" s="6"/>
      <c r="G23" s="6"/>
      <c r="H23" s="5"/>
      <c r="I23" s="7"/>
      <c r="J23" s="16"/>
      <c r="K23" s="16"/>
    </row>
    <row r="24" spans="1:11" ht="30" customHeight="1" x14ac:dyDescent="0.25">
      <c r="A24" s="10" t="str">
        <f>IF(E24="","",ROWS($A$1:A20))</f>
        <v/>
      </c>
      <c r="B24" s="5"/>
      <c r="C24" s="5"/>
      <c r="D24" s="5"/>
      <c r="E24" s="6"/>
      <c r="F24" s="6"/>
      <c r="G24" s="6"/>
      <c r="H24" s="5"/>
      <c r="I24" s="7"/>
      <c r="J24" s="16"/>
      <c r="K24" s="16"/>
    </row>
    <row r="25" spans="1:11" ht="30" customHeight="1" x14ac:dyDescent="0.25">
      <c r="A25" s="10" t="str">
        <f>IF(E25="","",ROWS($A$1:A21))</f>
        <v/>
      </c>
      <c r="B25" s="5"/>
      <c r="C25" s="5"/>
      <c r="D25" s="5"/>
      <c r="E25" s="6"/>
      <c r="F25" s="6"/>
      <c r="G25" s="6"/>
      <c r="H25" s="5"/>
      <c r="I25" s="7"/>
      <c r="J25" s="16"/>
      <c r="K25" s="16"/>
    </row>
    <row r="26" spans="1:11" ht="30" customHeight="1" x14ac:dyDescent="0.25">
      <c r="A26" s="10" t="str">
        <f>IF(E26="","",ROWS($A$1:A22))</f>
        <v/>
      </c>
      <c r="B26" s="5"/>
      <c r="C26" s="5"/>
      <c r="D26" s="5"/>
      <c r="E26" s="6"/>
      <c r="F26" s="6"/>
      <c r="G26" s="6"/>
      <c r="H26" s="5"/>
      <c r="I26" s="7"/>
      <c r="J26" s="16"/>
      <c r="K26" s="16"/>
    </row>
    <row r="27" spans="1:11" ht="30" customHeight="1" x14ac:dyDescent="0.25">
      <c r="A27" s="10" t="str">
        <f>IF(E27="","",ROWS($A$1:A23))</f>
        <v/>
      </c>
      <c r="B27" s="5"/>
      <c r="C27" s="5"/>
      <c r="D27" s="5"/>
      <c r="E27" s="6"/>
      <c r="F27" s="6"/>
      <c r="G27" s="6"/>
      <c r="H27" s="5"/>
      <c r="I27" s="7"/>
      <c r="J27" s="16"/>
      <c r="K27" s="16"/>
    </row>
    <row r="28" spans="1:11" ht="30" customHeight="1" x14ac:dyDescent="0.25">
      <c r="A28" s="10" t="str">
        <f>IF(E28="","",ROWS($A$1:A24))</f>
        <v/>
      </c>
      <c r="B28" s="5"/>
      <c r="C28" s="5"/>
      <c r="D28" s="5"/>
      <c r="E28" s="6"/>
      <c r="F28" s="6"/>
      <c r="G28" s="6"/>
      <c r="H28" s="5"/>
      <c r="I28" s="7"/>
      <c r="J28" s="16"/>
      <c r="K28" s="16"/>
    </row>
    <row r="29" spans="1:11" ht="30" customHeight="1" x14ac:dyDescent="0.25">
      <c r="A29" s="10" t="str">
        <f>IF(E29="","",ROWS($A$1:A25))</f>
        <v/>
      </c>
      <c r="B29" s="5"/>
      <c r="C29" s="5"/>
      <c r="D29" s="5"/>
      <c r="E29" s="6"/>
      <c r="F29" s="6"/>
      <c r="G29" s="6"/>
      <c r="H29" s="5"/>
      <c r="I29" s="7"/>
      <c r="J29" s="16"/>
      <c r="K29" s="16"/>
    </row>
    <row r="30" spans="1:11" ht="30" customHeight="1" x14ac:dyDescent="0.25">
      <c r="A30" s="10" t="str">
        <f>IF(E30="","",ROWS($A$1:A26))</f>
        <v/>
      </c>
      <c r="B30" s="5"/>
      <c r="C30" s="5"/>
      <c r="D30" s="5"/>
      <c r="E30" s="6"/>
      <c r="F30" s="6"/>
      <c r="G30" s="6"/>
      <c r="H30" s="5"/>
      <c r="I30" s="7"/>
      <c r="J30" s="16"/>
      <c r="K30" s="16"/>
    </row>
    <row r="31" spans="1:11" ht="30" customHeight="1" x14ac:dyDescent="0.25">
      <c r="A31" s="10" t="str">
        <f>IF(E31="","",ROWS($A$1:A27))</f>
        <v/>
      </c>
      <c r="B31" s="5"/>
      <c r="C31" s="5"/>
      <c r="D31" s="5"/>
      <c r="E31" s="6"/>
      <c r="F31" s="6"/>
      <c r="G31" s="6"/>
      <c r="H31" s="5"/>
      <c r="I31" s="7"/>
      <c r="J31" s="16"/>
      <c r="K31" s="16"/>
    </row>
    <row r="32" spans="1:11" ht="30" customHeight="1" x14ac:dyDescent="0.25">
      <c r="A32" s="10" t="str">
        <f>IF(E32="","",ROWS($A$1:A28))</f>
        <v/>
      </c>
      <c r="B32" s="5"/>
      <c r="C32" s="5"/>
      <c r="D32" s="5"/>
      <c r="E32" s="6"/>
      <c r="F32" s="6"/>
      <c r="G32" s="6"/>
      <c r="H32" s="5"/>
      <c r="I32" s="7"/>
      <c r="J32" s="16"/>
      <c r="K32" s="16"/>
    </row>
    <row r="33" spans="1:11" ht="30" customHeight="1" x14ac:dyDescent="0.25">
      <c r="A33" s="10" t="str">
        <f>IF(E33="","",ROWS($A$1:A29))</f>
        <v/>
      </c>
      <c r="B33" s="5"/>
      <c r="C33" s="5"/>
      <c r="D33" s="5"/>
      <c r="E33" s="6"/>
      <c r="F33" s="6"/>
      <c r="G33" s="6"/>
      <c r="H33" s="5"/>
      <c r="I33" s="7"/>
      <c r="J33" s="16"/>
      <c r="K33" s="16"/>
    </row>
    <row r="34" spans="1:11" ht="30" customHeight="1" x14ac:dyDescent="0.25">
      <c r="A34" s="10" t="str">
        <f>IF(E34="","",ROWS($A$1:A30))</f>
        <v/>
      </c>
      <c r="B34" s="5"/>
      <c r="C34" s="5"/>
      <c r="D34" s="5"/>
      <c r="E34" s="6"/>
      <c r="F34" s="6"/>
      <c r="G34" s="6"/>
      <c r="H34" s="5"/>
      <c r="I34" s="7"/>
      <c r="J34" s="16"/>
      <c r="K34" s="16"/>
    </row>
    <row r="35" spans="1:11" ht="30" customHeight="1" x14ac:dyDescent="0.25">
      <c r="A35" s="10" t="str">
        <f>IF(E35="","",ROWS($A$1:A31))</f>
        <v/>
      </c>
      <c r="B35" s="5"/>
      <c r="C35" s="5"/>
      <c r="D35" s="5"/>
      <c r="E35" s="6"/>
      <c r="F35" s="6"/>
      <c r="G35" s="6"/>
      <c r="H35" s="5"/>
      <c r="I35" s="7"/>
      <c r="J35" s="16"/>
      <c r="K35" s="16"/>
    </row>
    <row r="36" spans="1:11" ht="30" customHeight="1" x14ac:dyDescent="0.25">
      <c r="A36" s="10" t="str">
        <f>IF(E36="","",ROWS($A$1:A32))</f>
        <v/>
      </c>
      <c r="B36" s="5"/>
      <c r="C36" s="5"/>
      <c r="D36" s="5"/>
      <c r="E36" s="6"/>
      <c r="F36" s="6"/>
      <c r="G36" s="6"/>
      <c r="H36" s="5"/>
      <c r="I36" s="7"/>
      <c r="J36" s="16"/>
      <c r="K36" s="16"/>
    </row>
    <row r="37" spans="1:11" ht="30" customHeight="1" x14ac:dyDescent="0.25">
      <c r="A37" s="10" t="str">
        <f>IF(E37="","",ROWS($A$1:A33))</f>
        <v/>
      </c>
      <c r="B37" s="5"/>
      <c r="C37" s="5"/>
      <c r="D37" s="5"/>
      <c r="E37" s="6"/>
      <c r="F37" s="6"/>
      <c r="G37" s="6"/>
      <c r="H37" s="5"/>
      <c r="I37" s="7"/>
      <c r="J37" s="16"/>
      <c r="K37" s="16"/>
    </row>
    <row r="38" spans="1:11" ht="30" customHeight="1" x14ac:dyDescent="0.25">
      <c r="A38" s="10" t="str">
        <f>IF(E38="","",ROWS($A$1:A34))</f>
        <v/>
      </c>
      <c r="B38" s="5"/>
      <c r="C38" s="5"/>
      <c r="D38" s="5"/>
      <c r="E38" s="6"/>
      <c r="F38" s="6"/>
      <c r="G38" s="6"/>
      <c r="H38" s="5"/>
      <c r="I38" s="7"/>
      <c r="J38" s="16"/>
      <c r="K38" s="16"/>
    </row>
    <row r="39" spans="1:11" ht="30" customHeight="1" x14ac:dyDescent="0.25">
      <c r="A39" s="10" t="str">
        <f>IF(E39="","",ROWS($A$1:A35))</f>
        <v/>
      </c>
      <c r="B39" s="5"/>
      <c r="C39" s="5"/>
      <c r="D39" s="5"/>
      <c r="E39" s="6"/>
      <c r="F39" s="6"/>
      <c r="G39" s="6"/>
      <c r="H39" s="5"/>
      <c r="I39" s="7"/>
      <c r="J39" s="16"/>
      <c r="K39" s="16"/>
    </row>
    <row r="40" spans="1:11" ht="30" customHeight="1" x14ac:dyDescent="0.25">
      <c r="A40" s="10" t="str">
        <f>IF(E40="","",ROWS($A$1:A36))</f>
        <v/>
      </c>
      <c r="B40" s="5"/>
      <c r="C40" s="5"/>
      <c r="D40" s="5"/>
      <c r="E40" s="6"/>
      <c r="F40" s="6"/>
      <c r="G40" s="6"/>
      <c r="H40" s="5"/>
      <c r="I40" s="7"/>
      <c r="J40" s="16"/>
      <c r="K40" s="16"/>
    </row>
    <row r="41" spans="1:11" ht="30" customHeight="1" x14ac:dyDescent="0.25">
      <c r="A41" s="10" t="str">
        <f>IF(E41="","",ROWS($A$1:A37))</f>
        <v/>
      </c>
      <c r="B41" s="5"/>
      <c r="C41" s="5"/>
      <c r="D41" s="5"/>
      <c r="E41" s="6"/>
      <c r="F41" s="6"/>
      <c r="G41" s="6"/>
      <c r="H41" s="5"/>
      <c r="I41" s="7"/>
      <c r="J41" s="16"/>
      <c r="K41" s="16"/>
    </row>
    <row r="42" spans="1:11" ht="30" customHeight="1" x14ac:dyDescent="0.25">
      <c r="A42" s="10" t="str">
        <f>IF(E42="","",ROWS($A$1:A38))</f>
        <v/>
      </c>
      <c r="B42" s="5"/>
      <c r="C42" s="5"/>
      <c r="D42" s="5"/>
      <c r="E42" s="6"/>
      <c r="F42" s="6"/>
      <c r="G42" s="6"/>
      <c r="H42" s="5"/>
      <c r="I42" s="7"/>
      <c r="J42" s="16"/>
      <c r="K42" s="16"/>
    </row>
    <row r="43" spans="1:11" ht="30" customHeight="1" x14ac:dyDescent="0.25">
      <c r="A43" s="10" t="str">
        <f>IF(E43="","",ROWS($A$1:A39))</f>
        <v/>
      </c>
      <c r="B43" s="5"/>
      <c r="C43" s="5"/>
      <c r="D43" s="5"/>
      <c r="E43" s="6"/>
      <c r="F43" s="6"/>
      <c r="G43" s="6"/>
      <c r="H43" s="5"/>
      <c r="I43" s="7"/>
      <c r="J43" s="16"/>
      <c r="K43" s="16"/>
    </row>
    <row r="44" spans="1:11" ht="30" customHeight="1" x14ac:dyDescent="0.25">
      <c r="A44" s="10" t="str">
        <f>IF(E44="","",ROWS($A$1:A40))</f>
        <v/>
      </c>
      <c r="B44" s="5"/>
      <c r="C44" s="5"/>
      <c r="D44" s="5"/>
      <c r="E44" s="6"/>
      <c r="F44" s="6"/>
      <c r="G44" s="6"/>
      <c r="H44" s="5"/>
      <c r="I44" s="7"/>
      <c r="J44" s="16"/>
      <c r="K44" s="16"/>
    </row>
    <row r="45" spans="1:11" ht="30" customHeight="1" x14ac:dyDescent="0.25">
      <c r="A45" s="10" t="str">
        <f>IF(E45="","",ROWS($A$1:A41))</f>
        <v/>
      </c>
      <c r="B45" s="5"/>
      <c r="C45" s="5"/>
      <c r="D45" s="5"/>
      <c r="E45" s="6"/>
      <c r="F45" s="6"/>
      <c r="G45" s="6"/>
      <c r="H45" s="5"/>
      <c r="I45" s="7"/>
      <c r="J45" s="16"/>
      <c r="K45" s="16"/>
    </row>
    <row r="46" spans="1:11" ht="30" customHeight="1" x14ac:dyDescent="0.25">
      <c r="A46" s="10" t="str">
        <f>IF(E46="","",ROWS($A$1:A42))</f>
        <v/>
      </c>
      <c r="B46" s="5"/>
      <c r="C46" s="5"/>
      <c r="D46" s="5"/>
      <c r="E46" s="6"/>
      <c r="F46" s="6"/>
      <c r="G46" s="6"/>
      <c r="H46" s="5"/>
      <c r="I46" s="7"/>
      <c r="J46" s="16"/>
      <c r="K46" s="16"/>
    </row>
    <row r="47" spans="1:11" ht="30" customHeight="1" x14ac:dyDescent="0.25">
      <c r="A47" s="10" t="str">
        <f>IF(E47="","",ROWS($A$1:A43))</f>
        <v/>
      </c>
      <c r="B47" s="5"/>
      <c r="C47" s="5"/>
      <c r="D47" s="5"/>
      <c r="E47" s="6"/>
      <c r="F47" s="6"/>
      <c r="G47" s="6"/>
      <c r="H47" s="5"/>
      <c r="I47" s="7"/>
      <c r="J47" s="16"/>
      <c r="K47" s="16"/>
    </row>
    <row r="48" spans="1:11" ht="30" customHeight="1" x14ac:dyDescent="0.25">
      <c r="A48" s="10" t="str">
        <f>IF(E48="","",ROWS($A$1:A44))</f>
        <v/>
      </c>
      <c r="B48" s="5"/>
      <c r="C48" s="5"/>
      <c r="D48" s="5"/>
      <c r="E48" s="6"/>
      <c r="F48" s="6"/>
      <c r="G48" s="6"/>
      <c r="H48" s="5"/>
      <c r="I48" s="7"/>
      <c r="J48" s="16"/>
      <c r="K48" s="16"/>
    </row>
    <row r="49" spans="1:11" ht="30" customHeight="1" x14ac:dyDescent="0.25">
      <c r="A49" s="10" t="str">
        <f>IF(E49="","",ROWS($A$1:A45))</f>
        <v/>
      </c>
      <c r="B49" s="5"/>
      <c r="C49" s="5"/>
      <c r="D49" s="5"/>
      <c r="E49" s="6"/>
      <c r="F49" s="6"/>
      <c r="G49" s="6"/>
      <c r="H49" s="5"/>
      <c r="I49" s="7"/>
      <c r="J49" s="16"/>
      <c r="K49" s="16"/>
    </row>
    <row r="50" spans="1:11" ht="30" customHeight="1" x14ac:dyDescent="0.25">
      <c r="A50" s="10" t="str">
        <f>IF(E50="","",ROWS($A$1:A46))</f>
        <v/>
      </c>
      <c r="B50" s="5"/>
      <c r="C50" s="5"/>
      <c r="D50" s="5"/>
      <c r="E50" s="6"/>
      <c r="F50" s="6"/>
      <c r="G50" s="6"/>
      <c r="H50" s="5"/>
      <c r="I50" s="7"/>
      <c r="J50" s="16"/>
      <c r="K50" s="16"/>
    </row>
    <row r="51" spans="1:11" ht="30" customHeight="1" x14ac:dyDescent="0.25">
      <c r="A51" s="10" t="str">
        <f>IF(E51="","",ROWS($A$1:A47))</f>
        <v/>
      </c>
      <c r="B51" s="5"/>
      <c r="C51" s="5"/>
      <c r="D51" s="5"/>
      <c r="E51" s="6"/>
      <c r="F51" s="6"/>
      <c r="G51" s="6"/>
      <c r="H51" s="5"/>
      <c r="I51" s="7"/>
      <c r="J51" s="16"/>
      <c r="K51" s="16"/>
    </row>
    <row r="52" spans="1:11" ht="30" customHeight="1" x14ac:dyDescent="0.25">
      <c r="A52" s="10" t="str">
        <f>IF(E52="","",ROWS($A$1:A48))</f>
        <v/>
      </c>
      <c r="B52" s="5"/>
      <c r="C52" s="5"/>
      <c r="D52" s="5"/>
      <c r="E52" s="6"/>
      <c r="F52" s="6"/>
      <c r="G52" s="6"/>
      <c r="H52" s="5"/>
      <c r="I52" s="7"/>
      <c r="J52" s="16"/>
      <c r="K52" s="16"/>
    </row>
    <row r="53" spans="1:11" ht="30" customHeight="1" x14ac:dyDescent="0.25">
      <c r="A53" s="10" t="str">
        <f>IF(E53="","",ROWS($A$1:A49))</f>
        <v/>
      </c>
      <c r="B53" s="5"/>
      <c r="C53" s="5"/>
      <c r="D53" s="5"/>
      <c r="E53" s="6"/>
      <c r="F53" s="6"/>
      <c r="G53" s="6"/>
      <c r="H53" s="5"/>
      <c r="I53" s="7"/>
      <c r="J53" s="16"/>
      <c r="K53" s="16"/>
    </row>
    <row r="54" spans="1:11" ht="30" customHeight="1" x14ac:dyDescent="0.25">
      <c r="A54" s="10" t="str">
        <f>IF(E54="","",ROWS($A$1:A50))</f>
        <v/>
      </c>
      <c r="B54" s="5"/>
      <c r="C54" s="5"/>
      <c r="D54" s="5"/>
      <c r="E54" s="6"/>
      <c r="F54" s="6"/>
      <c r="G54" s="6"/>
      <c r="H54" s="5"/>
      <c r="I54" s="7"/>
      <c r="J54" s="16"/>
      <c r="K54" s="16"/>
    </row>
    <row r="55" spans="1:11" ht="30" customHeight="1" x14ac:dyDescent="0.25">
      <c r="A55" s="10" t="str">
        <f>IF(E55="","",ROWS($A$1:A51))</f>
        <v/>
      </c>
      <c r="B55" s="5"/>
      <c r="C55" s="5"/>
      <c r="D55" s="5"/>
      <c r="E55" s="6"/>
      <c r="F55" s="6"/>
      <c r="G55" s="6"/>
      <c r="H55" s="5"/>
      <c r="I55" s="7"/>
      <c r="J55" s="16"/>
      <c r="K55" s="16"/>
    </row>
    <row r="56" spans="1:11" ht="30" customHeight="1" x14ac:dyDescent="0.25">
      <c r="A56" s="10" t="str">
        <f>IF(E56="","",ROWS($A$1:A52))</f>
        <v/>
      </c>
      <c r="B56" s="5"/>
      <c r="C56" s="5"/>
      <c r="D56" s="5"/>
      <c r="E56" s="6"/>
      <c r="F56" s="6"/>
      <c r="G56" s="6"/>
      <c r="H56" s="5"/>
      <c r="I56" s="7"/>
      <c r="J56" s="16"/>
      <c r="K56" s="16"/>
    </row>
    <row r="57" spans="1:11" ht="30" customHeight="1" x14ac:dyDescent="0.25">
      <c r="A57" s="10" t="str">
        <f>IF(E57="","",ROWS($A$1:A53))</f>
        <v/>
      </c>
      <c r="B57" s="5"/>
      <c r="C57" s="5"/>
      <c r="D57" s="5"/>
      <c r="E57" s="6"/>
      <c r="F57" s="6"/>
      <c r="G57" s="6"/>
      <c r="H57" s="5"/>
      <c r="I57" s="7"/>
      <c r="J57" s="16"/>
      <c r="K57" s="16"/>
    </row>
    <row r="58" spans="1:11" ht="30" customHeight="1" x14ac:dyDescent="0.25">
      <c r="A58" s="10" t="str">
        <f>IF(E58="","",ROWS($A$1:A54))</f>
        <v/>
      </c>
      <c r="B58" s="5"/>
      <c r="C58" s="5"/>
      <c r="D58" s="5"/>
      <c r="E58" s="6"/>
      <c r="F58" s="6"/>
      <c r="G58" s="6"/>
      <c r="H58" s="5"/>
      <c r="I58" s="7"/>
      <c r="J58" s="16"/>
      <c r="K58" s="16"/>
    </row>
    <row r="59" spans="1:11" ht="30" customHeight="1" x14ac:dyDescent="0.25">
      <c r="A59" s="10" t="str">
        <f>IF(E59="","",ROWS($A$1:A55))</f>
        <v/>
      </c>
      <c r="B59" s="5"/>
      <c r="C59" s="5"/>
      <c r="D59" s="5"/>
      <c r="E59" s="6"/>
      <c r="F59" s="6"/>
      <c r="G59" s="6"/>
      <c r="H59" s="5"/>
      <c r="I59" s="7"/>
      <c r="J59" s="16"/>
      <c r="K59" s="16"/>
    </row>
    <row r="60" spans="1:11" ht="30" customHeight="1" x14ac:dyDescent="0.25">
      <c r="A60" s="10" t="str">
        <f>IF(E60="","",ROWS($A$1:A56))</f>
        <v/>
      </c>
      <c r="B60" s="5"/>
      <c r="C60" s="5"/>
      <c r="D60" s="5"/>
      <c r="E60" s="6"/>
      <c r="F60" s="6"/>
      <c r="G60" s="6"/>
      <c r="H60" s="5"/>
      <c r="I60" s="7"/>
      <c r="J60" s="16"/>
      <c r="K60" s="16"/>
    </row>
    <row r="61" spans="1:11" ht="30" customHeight="1" x14ac:dyDescent="0.25">
      <c r="A61" s="10" t="str">
        <f>IF(E61="","",ROWS($A$1:A57))</f>
        <v/>
      </c>
      <c r="B61" s="5"/>
      <c r="C61" s="5"/>
      <c r="D61" s="5"/>
      <c r="E61" s="6"/>
      <c r="F61" s="6"/>
      <c r="G61" s="6"/>
      <c r="H61" s="5"/>
      <c r="I61" s="7"/>
      <c r="J61" s="16"/>
      <c r="K61" s="16"/>
    </row>
    <row r="62" spans="1:11" ht="30" customHeight="1" x14ac:dyDescent="0.25">
      <c r="A62" s="10" t="str">
        <f>IF(E62="","",ROWS($A$1:A58))</f>
        <v/>
      </c>
      <c r="B62" s="5"/>
      <c r="C62" s="5"/>
      <c r="D62" s="5"/>
      <c r="E62" s="6"/>
      <c r="F62" s="6"/>
      <c r="G62" s="6"/>
      <c r="H62" s="5"/>
      <c r="I62" s="7"/>
      <c r="J62" s="16"/>
      <c r="K62" s="16"/>
    </row>
    <row r="63" spans="1:11" ht="30" customHeight="1" x14ac:dyDescent="0.25">
      <c r="A63" s="10" t="str">
        <f>IF(E63="","",ROWS($A$1:A59))</f>
        <v/>
      </c>
      <c r="B63" s="5"/>
      <c r="C63" s="5"/>
      <c r="D63" s="5"/>
      <c r="E63" s="6"/>
      <c r="F63" s="6"/>
      <c r="G63" s="6"/>
      <c r="H63" s="5"/>
      <c r="I63" s="7"/>
      <c r="J63" s="16"/>
      <c r="K63" s="16"/>
    </row>
    <row r="64" spans="1:11" ht="30" customHeight="1" x14ac:dyDescent="0.25">
      <c r="A64" s="10" t="str">
        <f>IF(E64="","",ROWS($A$1:A60))</f>
        <v/>
      </c>
      <c r="B64" s="5"/>
      <c r="C64" s="5"/>
      <c r="D64" s="5"/>
      <c r="E64" s="6"/>
      <c r="F64" s="6"/>
      <c r="G64" s="6"/>
      <c r="H64" s="5"/>
      <c r="I64" s="7"/>
      <c r="J64" s="16"/>
      <c r="K64" s="16"/>
    </row>
    <row r="65" spans="1:11" ht="30" customHeight="1" x14ac:dyDescent="0.25">
      <c r="A65" s="10" t="str">
        <f>IF(E65="","",ROWS($A$1:A61))</f>
        <v/>
      </c>
      <c r="B65" s="5"/>
      <c r="C65" s="5"/>
      <c r="D65" s="5"/>
      <c r="E65" s="6"/>
      <c r="F65" s="6"/>
      <c r="G65" s="6"/>
      <c r="H65" s="5"/>
      <c r="I65" s="7"/>
      <c r="J65" s="16"/>
      <c r="K65" s="16"/>
    </row>
    <row r="66" spans="1:11" ht="30" customHeight="1" x14ac:dyDescent="0.25">
      <c r="A66" s="10" t="str">
        <f>IF(E66="","",ROWS($A$1:A62))</f>
        <v/>
      </c>
      <c r="B66" s="5"/>
      <c r="C66" s="5"/>
      <c r="D66" s="5"/>
      <c r="E66" s="6"/>
      <c r="F66" s="6"/>
      <c r="G66" s="6"/>
      <c r="H66" s="5"/>
      <c r="I66" s="7"/>
      <c r="J66" s="16"/>
      <c r="K66" s="16"/>
    </row>
    <row r="67" spans="1:11" ht="30" customHeight="1" x14ac:dyDescent="0.25">
      <c r="A67" s="10" t="str">
        <f>IF(E67="","",ROWS($A$1:A63))</f>
        <v/>
      </c>
      <c r="B67" s="5"/>
      <c r="C67" s="5"/>
      <c r="D67" s="5"/>
      <c r="E67" s="6"/>
      <c r="F67" s="6"/>
      <c r="G67" s="6"/>
      <c r="H67" s="5"/>
      <c r="I67" s="7"/>
      <c r="J67" s="16"/>
      <c r="K67" s="16"/>
    </row>
    <row r="68" spans="1:11" ht="30" customHeight="1" x14ac:dyDescent="0.25">
      <c r="A68" s="10" t="str">
        <f>IF(E68="","",ROWS($A$1:A64))</f>
        <v/>
      </c>
      <c r="B68" s="5"/>
      <c r="C68" s="5"/>
      <c r="D68" s="5"/>
      <c r="E68" s="6"/>
      <c r="F68" s="6"/>
      <c r="G68" s="6"/>
      <c r="H68" s="5"/>
      <c r="I68" s="7"/>
      <c r="J68" s="16"/>
      <c r="K68" s="16"/>
    </row>
    <row r="69" spans="1:11" ht="30" customHeight="1" x14ac:dyDescent="0.25">
      <c r="A69" s="10" t="str">
        <f>IF(E69="","",ROWS($A$1:A65))</f>
        <v/>
      </c>
      <c r="B69" s="5"/>
      <c r="C69" s="5"/>
      <c r="D69" s="5"/>
      <c r="E69" s="6"/>
      <c r="F69" s="6"/>
      <c r="G69" s="6"/>
      <c r="H69" s="5"/>
      <c r="I69" s="7"/>
      <c r="J69" s="16"/>
      <c r="K69" s="16"/>
    </row>
    <row r="70" spans="1:11" ht="30" customHeight="1" x14ac:dyDescent="0.25">
      <c r="A70" s="10" t="str">
        <f>IF(E70="","",ROWS($A$1:A66))</f>
        <v/>
      </c>
      <c r="B70" s="5"/>
      <c r="C70" s="5"/>
      <c r="D70" s="5"/>
      <c r="E70" s="6"/>
      <c r="F70" s="6"/>
      <c r="G70" s="6"/>
      <c r="H70" s="5"/>
      <c r="I70" s="7"/>
      <c r="J70" s="16"/>
      <c r="K70" s="16"/>
    </row>
    <row r="71" spans="1:11" ht="30" customHeight="1" x14ac:dyDescent="0.25">
      <c r="A71" s="10" t="str">
        <f>IF(E71="","",ROWS($A$1:A67))</f>
        <v/>
      </c>
      <c r="B71" s="5"/>
      <c r="C71" s="5"/>
      <c r="D71" s="5"/>
      <c r="E71" s="6"/>
      <c r="F71" s="6"/>
      <c r="G71" s="6"/>
      <c r="H71" s="5"/>
      <c r="I71" s="7"/>
      <c r="J71" s="16"/>
      <c r="K71" s="16"/>
    </row>
    <row r="72" spans="1:11" ht="30" customHeight="1" x14ac:dyDescent="0.25">
      <c r="A72" s="10" t="str">
        <f>IF(E72="","",ROWS($A$1:A68))</f>
        <v/>
      </c>
      <c r="B72" s="5"/>
      <c r="C72" s="5"/>
      <c r="D72" s="5"/>
      <c r="E72" s="6"/>
      <c r="F72" s="6"/>
      <c r="G72" s="6"/>
      <c r="H72" s="5"/>
      <c r="I72" s="7"/>
      <c r="J72" s="16"/>
      <c r="K72" s="16"/>
    </row>
    <row r="73" spans="1:11" ht="30" customHeight="1" x14ac:dyDescent="0.25">
      <c r="A73" s="10" t="str">
        <f>IF(E73="","",ROWS($A$1:A69))</f>
        <v/>
      </c>
      <c r="B73" s="5"/>
      <c r="C73" s="5"/>
      <c r="D73" s="5"/>
      <c r="E73" s="6"/>
      <c r="F73" s="6"/>
      <c r="G73" s="6"/>
      <c r="H73" s="5"/>
      <c r="I73" s="7"/>
      <c r="J73" s="16"/>
      <c r="K73" s="16"/>
    </row>
    <row r="74" spans="1:11" ht="30" customHeight="1" x14ac:dyDescent="0.25">
      <c r="A74" s="10" t="str">
        <f>IF(E74="","",ROWS($A$1:A70))</f>
        <v/>
      </c>
      <c r="B74" s="5"/>
      <c r="C74" s="5"/>
      <c r="D74" s="5"/>
      <c r="E74" s="6"/>
      <c r="F74" s="6"/>
      <c r="G74" s="6"/>
      <c r="H74" s="5"/>
      <c r="I74" s="7"/>
      <c r="J74" s="16"/>
      <c r="K74" s="16"/>
    </row>
    <row r="75" spans="1:11" ht="30" customHeight="1" x14ac:dyDescent="0.25">
      <c r="A75" s="10" t="str">
        <f>IF(E75="","",ROWS($A$1:A71))</f>
        <v/>
      </c>
      <c r="B75" s="5"/>
      <c r="C75" s="5"/>
      <c r="D75" s="5"/>
      <c r="E75" s="6"/>
      <c r="F75" s="6"/>
      <c r="G75" s="6"/>
      <c r="H75" s="5"/>
      <c r="I75" s="7"/>
      <c r="J75" s="16"/>
      <c r="K75" s="16"/>
    </row>
    <row r="76" spans="1:11" ht="30" customHeight="1" x14ac:dyDescent="0.25">
      <c r="A76" s="10" t="str">
        <f>IF(E76="","",ROWS($A$1:A72))</f>
        <v/>
      </c>
      <c r="B76" s="5"/>
      <c r="C76" s="5"/>
      <c r="D76" s="5"/>
      <c r="E76" s="6"/>
      <c r="F76" s="6"/>
      <c r="G76" s="6"/>
      <c r="H76" s="5"/>
      <c r="I76" s="7"/>
      <c r="J76" s="16"/>
      <c r="K76" s="16"/>
    </row>
    <row r="77" spans="1:11" ht="30" customHeight="1" x14ac:dyDescent="0.25">
      <c r="A77" s="10" t="str">
        <f>IF(E77="","",ROWS($A$1:A73))</f>
        <v/>
      </c>
      <c r="B77" s="5"/>
      <c r="C77" s="5"/>
      <c r="D77" s="5"/>
      <c r="E77" s="6"/>
      <c r="F77" s="6"/>
      <c r="G77" s="6"/>
      <c r="H77" s="5"/>
      <c r="I77" s="7"/>
      <c r="J77" s="16"/>
      <c r="K77" s="16"/>
    </row>
    <row r="78" spans="1:11" ht="30" customHeight="1" x14ac:dyDescent="0.25">
      <c r="A78" s="10" t="str">
        <f>IF(E78="","",ROWS($A$1:A74))</f>
        <v/>
      </c>
      <c r="B78" s="5"/>
      <c r="C78" s="5"/>
      <c r="D78" s="5"/>
      <c r="E78" s="6"/>
      <c r="F78" s="6"/>
      <c r="G78" s="6"/>
      <c r="H78" s="5"/>
      <c r="I78" s="7"/>
      <c r="J78" s="16"/>
      <c r="K78" s="16"/>
    </row>
    <row r="79" spans="1:11" ht="30" customHeight="1" x14ac:dyDescent="0.25">
      <c r="A79" s="10" t="str">
        <f>IF(E79="","",ROWS($A$1:A75))</f>
        <v/>
      </c>
      <c r="B79" s="5"/>
      <c r="C79" s="5"/>
      <c r="D79" s="5"/>
      <c r="E79" s="6"/>
      <c r="F79" s="6"/>
      <c r="G79" s="6"/>
      <c r="H79" s="5"/>
      <c r="I79" s="7"/>
      <c r="J79" s="16"/>
      <c r="K79" s="16"/>
    </row>
    <row r="80" spans="1:11" ht="30" customHeight="1" x14ac:dyDescent="0.25">
      <c r="A80" s="10" t="str">
        <f>IF(E80="","",ROWS($A$1:A76))</f>
        <v/>
      </c>
      <c r="B80" s="8"/>
      <c r="C80" s="8"/>
      <c r="D80" s="8"/>
      <c r="E80" s="13"/>
      <c r="F80" s="13"/>
      <c r="G80" s="13"/>
      <c r="H80" s="8"/>
      <c r="I80" s="8"/>
      <c r="J80" s="16"/>
      <c r="K80" s="8"/>
    </row>
    <row r="81" spans="1:11" ht="30" customHeight="1" x14ac:dyDescent="0.25">
      <c r="A81" s="10" t="str">
        <f>IF(E81="","",ROWS($A$1:A77))</f>
        <v/>
      </c>
      <c r="B81" s="8"/>
      <c r="C81" s="8"/>
      <c r="D81" s="8"/>
      <c r="E81" s="13"/>
      <c r="F81" s="13"/>
      <c r="G81" s="13"/>
      <c r="H81" s="8"/>
      <c r="I81" s="8"/>
      <c r="J81" s="16"/>
      <c r="K81" s="8"/>
    </row>
    <row r="82" spans="1:11" ht="30" customHeight="1" x14ac:dyDescent="0.25">
      <c r="A82" s="10" t="str">
        <f>IF(E82="","",ROWS($A$1:A78))</f>
        <v/>
      </c>
      <c r="B82" s="8"/>
      <c r="C82" s="8"/>
      <c r="D82" s="8"/>
      <c r="E82" s="13"/>
      <c r="F82" s="13"/>
      <c r="G82" s="13"/>
      <c r="H82" s="8"/>
      <c r="I82" s="8"/>
      <c r="J82" s="16"/>
      <c r="K82" s="8"/>
    </row>
    <row r="83" spans="1:11" ht="30" customHeight="1" x14ac:dyDescent="0.25">
      <c r="A83" s="10" t="str">
        <f>IF(E83="","",ROWS($A$1:A79))</f>
        <v/>
      </c>
      <c r="B83" s="8"/>
      <c r="C83" s="8"/>
      <c r="D83" s="8"/>
      <c r="E83" s="13"/>
      <c r="F83" s="13"/>
      <c r="G83" s="13"/>
      <c r="H83" s="8"/>
      <c r="I83" s="8"/>
      <c r="J83" s="16"/>
      <c r="K83" s="8"/>
    </row>
    <row r="84" spans="1:11" ht="30" customHeight="1" x14ac:dyDescent="0.25">
      <c r="A84" s="10" t="str">
        <f>IF(E84="","",ROWS($A$1:A80))</f>
        <v/>
      </c>
      <c r="B84" s="8"/>
      <c r="C84" s="8"/>
      <c r="D84" s="8"/>
      <c r="E84" s="13"/>
      <c r="F84" s="13"/>
      <c r="G84" s="13"/>
      <c r="H84" s="8"/>
      <c r="I84" s="8"/>
      <c r="J84" s="16"/>
      <c r="K84" s="8"/>
    </row>
    <row r="85" spans="1:11" ht="30" customHeight="1" x14ac:dyDescent="0.25">
      <c r="A85" s="10" t="str">
        <f>IF(E85="","",ROWS($A$1:A81))</f>
        <v/>
      </c>
      <c r="B85" s="8"/>
      <c r="C85" s="8"/>
      <c r="D85" s="8"/>
      <c r="E85" s="13"/>
      <c r="F85" s="13"/>
      <c r="G85" s="13"/>
      <c r="H85" s="8"/>
      <c r="I85" s="8"/>
      <c r="J85" s="16"/>
      <c r="K85" s="8"/>
    </row>
    <row r="86" spans="1:11" ht="30" customHeight="1" x14ac:dyDescent="0.25">
      <c r="A86" s="10" t="str">
        <f>IF(E86="","",ROWS($A$1:A82))</f>
        <v/>
      </c>
      <c r="B86" s="8"/>
      <c r="C86" s="8"/>
      <c r="D86" s="8"/>
      <c r="E86" s="13"/>
      <c r="F86" s="13"/>
      <c r="G86" s="13"/>
      <c r="H86" s="8"/>
      <c r="I86" s="8"/>
      <c r="J86" s="16"/>
      <c r="K86" s="8"/>
    </row>
    <row r="87" spans="1:11" ht="30" customHeight="1" x14ac:dyDescent="0.25">
      <c r="A87" s="10" t="str">
        <f>IF(E87="","",ROWS($A$1:A83))</f>
        <v/>
      </c>
      <c r="B87" s="8"/>
      <c r="C87" s="8"/>
      <c r="D87" s="8"/>
      <c r="E87" s="13"/>
      <c r="F87" s="13"/>
      <c r="G87" s="13"/>
      <c r="H87" s="8"/>
      <c r="I87" s="8"/>
      <c r="J87" s="16"/>
      <c r="K87" s="8"/>
    </row>
    <row r="88" spans="1:11" ht="30" customHeight="1" x14ac:dyDescent="0.25">
      <c r="A88" s="10" t="str">
        <f>IF(E88="","",ROWS($A$1:A84))</f>
        <v/>
      </c>
      <c r="B88" s="8"/>
      <c r="C88" s="8"/>
      <c r="D88" s="8"/>
      <c r="E88" s="13"/>
      <c r="F88" s="13"/>
      <c r="G88" s="13"/>
      <c r="H88" s="8"/>
      <c r="I88" s="8"/>
      <c r="J88" s="16"/>
      <c r="K88" s="8"/>
    </row>
    <row r="89" spans="1:11" ht="30" customHeight="1" x14ac:dyDescent="0.25">
      <c r="A89" s="10" t="str">
        <f>IF(E89="","",ROWS($A$1:A85))</f>
        <v/>
      </c>
      <c r="B89" s="8"/>
      <c r="C89" s="8"/>
      <c r="D89" s="8"/>
      <c r="E89" s="13"/>
      <c r="F89" s="13"/>
      <c r="G89" s="13"/>
      <c r="H89" s="8"/>
      <c r="I89" s="8"/>
      <c r="J89" s="16"/>
      <c r="K89" s="8"/>
    </row>
    <row r="90" spans="1:11" ht="30" customHeight="1" x14ac:dyDescent="0.25">
      <c r="A90" s="10" t="str">
        <f>IF(E90="","",ROWS($A$1:A86))</f>
        <v/>
      </c>
      <c r="B90" s="8"/>
      <c r="C90" s="8"/>
      <c r="D90" s="8"/>
      <c r="E90" s="13"/>
      <c r="F90" s="13"/>
      <c r="G90" s="13"/>
      <c r="H90" s="8"/>
      <c r="I90" s="8"/>
      <c r="J90" s="16"/>
      <c r="K90" s="8"/>
    </row>
    <row r="91" spans="1:11" ht="30" customHeight="1" x14ac:dyDescent="0.25">
      <c r="A91" s="10" t="str">
        <f>IF(E91="","",ROWS($A$1:A87))</f>
        <v/>
      </c>
      <c r="B91" s="8"/>
      <c r="C91" s="8"/>
      <c r="D91" s="8"/>
      <c r="E91" s="13"/>
      <c r="F91" s="13"/>
      <c r="G91" s="13"/>
      <c r="H91" s="8"/>
      <c r="I91" s="8"/>
      <c r="J91" s="16"/>
      <c r="K91" s="8"/>
    </row>
    <row r="92" spans="1:11" ht="30" customHeight="1" x14ac:dyDescent="0.25">
      <c r="A92" s="10" t="str">
        <f>IF(E92="","",ROWS($A$1:A88))</f>
        <v/>
      </c>
      <c r="B92" s="8"/>
      <c r="C92" s="8"/>
      <c r="D92" s="8"/>
      <c r="E92" s="13"/>
      <c r="F92" s="13"/>
      <c r="G92" s="13"/>
      <c r="H92" s="8"/>
      <c r="I92" s="8"/>
      <c r="J92" s="16"/>
      <c r="K92" s="8"/>
    </row>
    <row r="93" spans="1:11" ht="30" customHeight="1" x14ac:dyDescent="0.25">
      <c r="A93" s="10" t="str">
        <f>IF(E93="","",ROWS($A$1:A89))</f>
        <v/>
      </c>
      <c r="B93" s="8"/>
      <c r="C93" s="8"/>
      <c r="D93" s="8"/>
      <c r="E93" s="13"/>
      <c r="F93" s="13"/>
      <c r="G93" s="13"/>
      <c r="H93" s="8"/>
      <c r="I93" s="8"/>
      <c r="J93" s="16"/>
      <c r="K93" s="8"/>
    </row>
    <row r="94" spans="1:11" ht="30" customHeight="1" x14ac:dyDescent="0.25">
      <c r="A94" s="10" t="str">
        <f>IF(E94="","",ROWS($A$1:A90))</f>
        <v/>
      </c>
      <c r="B94" s="8"/>
      <c r="C94" s="8"/>
      <c r="D94" s="8"/>
      <c r="E94" s="13"/>
      <c r="F94" s="13"/>
      <c r="G94" s="13"/>
      <c r="H94" s="8"/>
      <c r="I94" s="8"/>
      <c r="J94" s="16"/>
      <c r="K94" s="8"/>
    </row>
    <row r="95" spans="1:11" ht="30" customHeight="1" x14ac:dyDescent="0.25">
      <c r="A95" s="10" t="str">
        <f>IF(E95="","",ROWS($A$1:A91))</f>
        <v/>
      </c>
      <c r="B95" s="8"/>
      <c r="C95" s="8"/>
      <c r="D95" s="8"/>
      <c r="E95" s="13"/>
      <c r="F95" s="13"/>
      <c r="G95" s="13"/>
      <c r="H95" s="8"/>
      <c r="I95" s="8"/>
      <c r="J95" s="16"/>
      <c r="K95" s="8"/>
    </row>
    <row r="96" spans="1:11" ht="30" customHeight="1" x14ac:dyDescent="0.25">
      <c r="A96" s="10" t="str">
        <f>IF(E96="","",ROWS($A$1:A92))</f>
        <v/>
      </c>
      <c r="B96" s="8"/>
      <c r="C96" s="8"/>
      <c r="D96" s="8"/>
      <c r="E96" s="13"/>
      <c r="F96" s="13"/>
      <c r="G96" s="13"/>
      <c r="H96" s="8"/>
      <c r="I96" s="8"/>
      <c r="J96" s="16"/>
      <c r="K96" s="8"/>
    </row>
    <row r="97" spans="1:11" ht="30" customHeight="1" x14ac:dyDescent="0.25">
      <c r="A97" s="10" t="str">
        <f>IF(E97="","",ROWS($A$1:A93))</f>
        <v/>
      </c>
      <c r="B97" s="8"/>
      <c r="C97" s="8"/>
      <c r="D97" s="8"/>
      <c r="E97" s="13"/>
      <c r="F97" s="13"/>
      <c r="G97" s="13"/>
      <c r="H97" s="8"/>
      <c r="I97" s="8"/>
      <c r="J97" s="16"/>
      <c r="K97" s="8"/>
    </row>
    <row r="98" spans="1:11" ht="30" customHeight="1" x14ac:dyDescent="0.25">
      <c r="A98" s="10" t="str">
        <f>IF(E98="","",ROWS($A$1:A94))</f>
        <v/>
      </c>
      <c r="B98" s="8"/>
      <c r="C98" s="8"/>
      <c r="D98" s="8"/>
      <c r="E98" s="13"/>
      <c r="F98" s="13"/>
      <c r="G98" s="13"/>
      <c r="H98" s="8"/>
      <c r="I98" s="8"/>
      <c r="J98" s="16"/>
      <c r="K98" s="8"/>
    </row>
    <row r="99" spans="1:11" ht="30" customHeight="1" x14ac:dyDescent="0.25">
      <c r="A99" s="10" t="str">
        <f>IF(E99="","",ROWS($A$1:A95))</f>
        <v/>
      </c>
      <c r="B99" s="8"/>
      <c r="C99" s="8"/>
      <c r="D99" s="8"/>
      <c r="E99" s="13"/>
      <c r="F99" s="13"/>
      <c r="G99" s="13"/>
      <c r="H99" s="8"/>
      <c r="I99" s="8"/>
      <c r="J99" s="16"/>
      <c r="K99" s="8"/>
    </row>
    <row r="100" spans="1:11" ht="30" customHeight="1" x14ac:dyDescent="0.25">
      <c r="A100" s="10" t="str">
        <f>IF(E100="","",ROWS($A$1:A96))</f>
        <v/>
      </c>
      <c r="B100" s="8"/>
      <c r="C100" s="8"/>
      <c r="D100" s="8"/>
      <c r="E100" s="13"/>
      <c r="F100" s="13"/>
      <c r="G100" s="13"/>
      <c r="H100" s="8"/>
      <c r="I100" s="8"/>
      <c r="J100" s="16"/>
      <c r="K100" s="8"/>
    </row>
    <row r="101" spans="1:11" ht="30" customHeight="1" x14ac:dyDescent="0.25">
      <c r="A101" s="10" t="str">
        <f>IF(E101="","",ROWS($A$1:A97))</f>
        <v/>
      </c>
      <c r="B101" s="8"/>
      <c r="C101" s="8"/>
      <c r="D101" s="8"/>
      <c r="E101" s="13"/>
      <c r="F101" s="13"/>
      <c r="G101" s="13"/>
      <c r="H101" s="8"/>
      <c r="I101" s="8"/>
      <c r="J101" s="16"/>
      <c r="K101" s="8"/>
    </row>
    <row r="102" spans="1:11" ht="30" customHeight="1" x14ac:dyDescent="0.25">
      <c r="A102" s="10" t="str">
        <f>IF(E102="","",ROWS($A$1:A98))</f>
        <v/>
      </c>
      <c r="B102" s="8"/>
      <c r="C102" s="8"/>
      <c r="D102" s="8"/>
      <c r="E102" s="13"/>
      <c r="F102" s="13"/>
      <c r="G102" s="13"/>
      <c r="H102" s="8"/>
      <c r="I102" s="8"/>
      <c r="J102" s="16"/>
      <c r="K102" s="8"/>
    </row>
    <row r="103" spans="1:11" ht="30" customHeight="1" x14ac:dyDescent="0.25">
      <c r="A103" s="10" t="str">
        <f>IF(E103="","",ROWS($A$1:A99))</f>
        <v/>
      </c>
      <c r="B103" s="8"/>
      <c r="C103" s="8"/>
      <c r="D103" s="8"/>
      <c r="E103" s="13"/>
      <c r="F103" s="13"/>
      <c r="G103" s="13"/>
      <c r="H103" s="8"/>
      <c r="I103" s="8"/>
      <c r="J103" s="16"/>
      <c r="K103" s="8"/>
    </row>
    <row r="104" spans="1:11" ht="30" customHeight="1" x14ac:dyDescent="0.25">
      <c r="A104" s="10" t="str">
        <f>IF(E104="","",ROWS($A$1:A100))</f>
        <v/>
      </c>
      <c r="B104" s="8"/>
      <c r="C104" s="8"/>
      <c r="D104" s="8"/>
      <c r="E104" s="13"/>
      <c r="F104" s="13"/>
      <c r="G104" s="13"/>
      <c r="H104" s="8"/>
      <c r="I104" s="8"/>
      <c r="J104" s="16"/>
      <c r="K104" s="8"/>
    </row>
    <row r="105" spans="1:11" ht="30" customHeight="1" x14ac:dyDescent="0.25">
      <c r="A105" s="10" t="str">
        <f>IF(E105="","",ROWS($A$1:A101))</f>
        <v/>
      </c>
      <c r="B105" s="8"/>
      <c r="C105" s="8"/>
      <c r="D105" s="8"/>
      <c r="E105" s="13"/>
      <c r="F105" s="13"/>
      <c r="G105" s="13"/>
      <c r="H105" s="8"/>
      <c r="I105" s="8"/>
      <c r="J105" s="16"/>
      <c r="K105" s="8"/>
    </row>
    <row r="106" spans="1:11" ht="30" customHeight="1" x14ac:dyDescent="0.25">
      <c r="A106" s="10" t="str">
        <f>IF(E106="","",ROWS($A$1:A102))</f>
        <v/>
      </c>
      <c r="B106" s="8"/>
      <c r="C106" s="8"/>
      <c r="D106" s="8"/>
      <c r="E106" s="13"/>
      <c r="F106" s="13"/>
      <c r="G106" s="13"/>
      <c r="H106" s="8"/>
      <c r="I106" s="8"/>
      <c r="J106" s="16"/>
      <c r="K106" s="8"/>
    </row>
    <row r="107" spans="1:11" ht="30" customHeight="1" x14ac:dyDescent="0.25">
      <c r="A107" s="10"/>
      <c r="B107" s="8"/>
      <c r="C107" s="8"/>
      <c r="D107" s="8"/>
      <c r="E107" s="13"/>
      <c r="F107" s="13"/>
      <c r="G107" s="13"/>
      <c r="H107" s="8"/>
      <c r="I107" s="8"/>
      <c r="J107" s="16"/>
      <c r="K107" s="8"/>
    </row>
    <row r="108" spans="1:11" ht="30" customHeight="1" x14ac:dyDescent="0.25">
      <c r="A108" s="10"/>
      <c r="B108" s="8"/>
      <c r="C108" s="8"/>
      <c r="D108" s="8"/>
      <c r="E108" s="13"/>
      <c r="F108" s="13"/>
      <c r="G108" s="13"/>
      <c r="H108" s="8"/>
      <c r="I108" s="8"/>
      <c r="J108" s="16"/>
      <c r="K108" s="8"/>
    </row>
    <row r="109" spans="1:11" ht="30" customHeight="1" x14ac:dyDescent="0.25">
      <c r="A109" s="10"/>
      <c r="B109" s="8"/>
      <c r="C109" s="8"/>
      <c r="D109" s="8"/>
      <c r="E109" s="13"/>
      <c r="F109" s="13"/>
      <c r="G109" s="13"/>
      <c r="H109" s="8"/>
      <c r="I109" s="8"/>
      <c r="J109" s="16"/>
      <c r="K109" s="8"/>
    </row>
    <row r="110" spans="1:11" ht="30" customHeight="1" x14ac:dyDescent="0.25">
      <c r="A110" s="10"/>
      <c r="B110" s="8"/>
      <c r="C110" s="8"/>
      <c r="D110" s="8"/>
      <c r="E110" s="13"/>
      <c r="F110" s="13"/>
      <c r="G110" s="13"/>
      <c r="H110" s="8"/>
      <c r="I110" s="8"/>
      <c r="J110" s="16"/>
      <c r="K110" s="8"/>
    </row>
    <row r="111" spans="1:11" ht="30" customHeight="1" x14ac:dyDescent="0.25">
      <c r="A111" s="10"/>
      <c r="B111" s="8"/>
      <c r="C111" s="8"/>
      <c r="D111" s="8"/>
      <c r="E111" s="13"/>
      <c r="F111" s="13"/>
      <c r="G111" s="13"/>
      <c r="H111" s="8"/>
      <c r="I111" s="8"/>
      <c r="J111" s="16"/>
      <c r="K111" s="8"/>
    </row>
    <row r="112" spans="1:11" ht="30" customHeight="1" x14ac:dyDescent="0.25">
      <c r="A112" s="10"/>
      <c r="B112" s="8"/>
      <c r="C112" s="8"/>
      <c r="D112" s="8"/>
      <c r="E112" s="13"/>
      <c r="F112" s="13"/>
      <c r="G112" s="13"/>
      <c r="H112" s="8"/>
      <c r="I112" s="8"/>
      <c r="J112" s="16"/>
      <c r="K112" s="8"/>
    </row>
    <row r="113" spans="1:11" ht="30" customHeight="1" x14ac:dyDescent="0.25">
      <c r="A113" s="10"/>
      <c r="B113" s="8"/>
      <c r="C113" s="8"/>
      <c r="D113" s="8"/>
      <c r="E113" s="13"/>
      <c r="F113" s="13"/>
      <c r="G113" s="13"/>
      <c r="H113" s="8"/>
      <c r="I113" s="8"/>
      <c r="J113" s="16"/>
      <c r="K113" s="8"/>
    </row>
    <row r="114" spans="1:11" ht="30" customHeight="1" x14ac:dyDescent="0.25">
      <c r="A114" s="10"/>
      <c r="B114" s="8"/>
      <c r="C114" s="8"/>
      <c r="D114" s="8"/>
      <c r="E114" s="13"/>
      <c r="F114" s="13"/>
      <c r="G114" s="13"/>
      <c r="H114" s="8"/>
      <c r="I114" s="8"/>
      <c r="J114" s="16"/>
      <c r="K114" s="8"/>
    </row>
    <row r="115" spans="1:11" ht="30" customHeight="1" x14ac:dyDescent="0.25">
      <c r="A115" s="10"/>
      <c r="B115" s="8"/>
      <c r="C115" s="8"/>
      <c r="D115" s="8"/>
      <c r="E115" s="13"/>
      <c r="F115" s="13"/>
      <c r="G115" s="13"/>
      <c r="H115" s="8"/>
      <c r="I115" s="8"/>
      <c r="J115" s="16"/>
      <c r="K115" s="8"/>
    </row>
    <row r="116" spans="1:11" ht="30" customHeight="1" x14ac:dyDescent="0.25">
      <c r="A116" s="10"/>
      <c r="B116" s="8"/>
      <c r="C116" s="8"/>
      <c r="D116" s="8"/>
      <c r="E116" s="13"/>
      <c r="F116" s="13"/>
      <c r="G116" s="13"/>
      <c r="H116" s="8"/>
      <c r="I116" s="8"/>
      <c r="J116" s="16"/>
      <c r="K116" s="8"/>
    </row>
    <row r="117" spans="1:11" ht="30" customHeight="1" x14ac:dyDescent="0.25">
      <c r="A117" s="10"/>
      <c r="B117" s="8"/>
      <c r="C117" s="8"/>
      <c r="D117" s="8"/>
      <c r="E117" s="13"/>
      <c r="F117" s="13"/>
      <c r="G117" s="13"/>
      <c r="H117" s="8"/>
      <c r="I117" s="8"/>
      <c r="J117" s="16"/>
      <c r="K117" s="8"/>
    </row>
  </sheetData>
  <mergeCells count="3">
    <mergeCell ref="A1:K1"/>
    <mergeCell ref="A2:K2"/>
    <mergeCell ref="M5:O10"/>
  </mergeCells>
  <conditionalFormatting sqref="A5:K117">
    <cfRule type="expression" dxfId="11" priority="1">
      <formula>$B5&gt;0</formula>
    </cfRule>
    <cfRule type="expression" dxfId="10" priority="2">
      <formula>$A5=""</formula>
    </cfRule>
  </conditionalFormatting>
  <dataValidations count="2">
    <dataValidation type="list" allowBlank="1" showInputMessage="1" showErrorMessage="1" sqref="N2">
      <formula1>"A,B,C,D,E,F,G,H,I,J"</formula1>
    </dataValidation>
    <dataValidation type="list" allowBlank="1" showInputMessage="1" showErrorMessage="1" sqref="M2">
      <formula1>"11,12"</formula1>
    </dataValidation>
  </dataValidations>
  <pageMargins left="0.39370078740157483" right="0.39370078740157483" top="0.39370078740157483" bottom="0.39370078740157483" header="0.39370078740157483" footer="0.3937007874015748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Z110"/>
  <sheetViews>
    <sheetView zoomScale="55" zoomScaleNormal="55" workbookViewId="0">
      <pane xSplit="4" topLeftCell="E1" activePane="topRight" state="frozen"/>
      <selection pane="topRight" activeCell="AD2" sqref="AD2:AG2"/>
    </sheetView>
  </sheetViews>
  <sheetFormatPr defaultColWidth="6.7109375" defaultRowHeight="30" customHeight="1" zeroHeight="1" x14ac:dyDescent="0.25"/>
  <cols>
    <col min="1" max="1" width="7.28515625" style="24" bestFit="1" customWidth="1"/>
    <col min="2" max="3" width="9.140625" style="24" customWidth="1"/>
    <col min="4" max="6" width="25.7109375" style="24" customWidth="1"/>
    <col min="7" max="7" width="8.5703125" style="24" bestFit="1" customWidth="1"/>
    <col min="8" max="8" width="12.140625" style="24" customWidth="1"/>
    <col min="9" max="9" width="7.140625" style="24" customWidth="1"/>
    <col min="10" max="10" width="2.7109375" style="35" customWidth="1"/>
    <col min="11" max="16" width="6.7109375" style="38" customWidth="1"/>
    <col min="17" max="17" width="2.7109375" style="35" customWidth="1"/>
    <col min="18" max="23" width="6.7109375" style="35" customWidth="1"/>
    <col min="24" max="24" width="2.7109375" style="35" customWidth="1"/>
    <col min="25" max="25" width="13.7109375" style="35" customWidth="1"/>
    <col min="26" max="33" width="6.7109375" style="35" customWidth="1"/>
    <col min="34" max="34" width="2.7109375" style="35" customWidth="1"/>
    <col min="35" max="35" width="13.7109375" style="35" customWidth="1"/>
    <col min="36" max="43" width="6.7109375" style="35" customWidth="1"/>
    <col min="44" max="44" width="2.7109375" style="35" customWidth="1"/>
    <col min="45" max="45" width="13.7109375" style="35" customWidth="1"/>
    <col min="46" max="53" width="6.7109375" style="35" customWidth="1"/>
    <col min="54" max="54" width="2.7109375" style="35" customWidth="1"/>
    <col min="55" max="60" width="6.7109375" style="35" customWidth="1"/>
    <col min="61" max="61" width="2.7109375" style="35" customWidth="1"/>
    <col min="62" max="67" width="6.7109375" style="35" customWidth="1"/>
    <col min="68" max="68" width="2.7109375" style="35" customWidth="1"/>
    <col min="69" max="74" width="6.7109375" style="35" customWidth="1"/>
    <col min="75" max="76" width="2.7109375" style="35" customWidth="1"/>
    <col min="77" max="79" width="6.7109375" style="35" customWidth="1"/>
    <col min="80" max="16384" width="6.7109375" style="35"/>
  </cols>
  <sheetData>
    <row r="1" spans="1:78" ht="30" customHeight="1" x14ac:dyDescent="0.25">
      <c r="A1" s="185" t="str">
        <f>'Sch Name'!$A$1</f>
        <v>Government Senior Secondary School, Deograh (Rajsamand)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8" ht="30" customHeight="1" x14ac:dyDescent="0.25">
      <c r="A2" s="186" t="str">
        <f>'11th Data'!A2</f>
        <v>Result For Class 11th B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32"/>
      <c r="Y2" s="190" t="s">
        <v>3666</v>
      </c>
      <c r="Z2" s="190"/>
      <c r="AA2" s="190"/>
      <c r="AB2" s="190"/>
      <c r="AC2" s="190"/>
      <c r="AD2" s="190" t="s">
        <v>3633</v>
      </c>
      <c r="AE2" s="190"/>
      <c r="AF2" s="190"/>
      <c r="AG2" s="190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3" spans="1:78" ht="15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78" ht="15" customHeight="1" x14ac:dyDescent="0.25">
      <c r="A4" s="169" t="s">
        <v>3498</v>
      </c>
      <c r="B4" s="169" t="s">
        <v>3505</v>
      </c>
      <c r="C4" s="169" t="s">
        <v>3610</v>
      </c>
      <c r="D4" s="169" t="s">
        <v>3501</v>
      </c>
      <c r="E4" s="169" t="s">
        <v>3499</v>
      </c>
      <c r="F4" s="169" t="s">
        <v>3500</v>
      </c>
      <c r="G4" s="169" t="s">
        <v>15</v>
      </c>
      <c r="H4" s="169" t="s">
        <v>16</v>
      </c>
      <c r="I4" s="172" t="s">
        <v>21</v>
      </c>
      <c r="K4" s="175" t="str">
        <f>'Sch Name'!$C$8</f>
        <v>HINDI Comp.</v>
      </c>
      <c r="L4" s="175"/>
      <c r="M4" s="175"/>
      <c r="N4" s="175"/>
      <c r="O4" s="175"/>
      <c r="P4" s="175"/>
      <c r="R4" s="175" t="str">
        <f>'Sch Name'!$C$9</f>
        <v>ENGLISH Comp.</v>
      </c>
      <c r="S4" s="175"/>
      <c r="T4" s="175"/>
      <c r="U4" s="175"/>
      <c r="V4" s="175"/>
      <c r="W4" s="175"/>
      <c r="Y4" s="176" t="str">
        <f>'Sch Name'!$C$10</f>
        <v>History</v>
      </c>
      <c r="Z4" s="191"/>
      <c r="AA4" s="191"/>
      <c r="AB4" s="191"/>
      <c r="AC4" s="191"/>
      <c r="AD4" s="191"/>
      <c r="AE4" s="191"/>
      <c r="AF4" s="191"/>
      <c r="AG4" s="177"/>
      <c r="AI4" s="175" t="str">
        <f>'Sch Name'!$C$11</f>
        <v>Political Science</v>
      </c>
      <c r="AJ4" s="175"/>
      <c r="AK4" s="175"/>
      <c r="AL4" s="175"/>
      <c r="AM4" s="175"/>
      <c r="AN4" s="175"/>
      <c r="AO4" s="175"/>
      <c r="AP4" s="175"/>
      <c r="AQ4" s="175"/>
      <c r="AS4" s="175" t="str">
        <f>'Sch Name'!$C$12</f>
        <v>Geography</v>
      </c>
      <c r="AT4" s="175"/>
      <c r="AU4" s="175"/>
      <c r="AV4" s="175"/>
      <c r="AW4" s="175"/>
      <c r="AX4" s="175"/>
      <c r="AY4" s="175"/>
      <c r="AZ4" s="175"/>
      <c r="BA4" s="175"/>
      <c r="BC4" s="175" t="str">
        <f>'Sch Name'!$C$14</f>
        <v>Jeewan Kaushal</v>
      </c>
      <c r="BD4" s="175"/>
      <c r="BE4" s="175"/>
      <c r="BF4" s="175"/>
      <c r="BG4" s="175"/>
      <c r="BH4" s="175"/>
      <c r="BJ4" s="175" t="str">
        <f>'Sch Name'!$C$15</f>
        <v>Swarnim Bharat</v>
      </c>
      <c r="BK4" s="175"/>
      <c r="BL4" s="175"/>
      <c r="BM4" s="175"/>
      <c r="BN4" s="175"/>
      <c r="BO4" s="175"/>
      <c r="BQ4" s="175" t="str">
        <f>'Sch Name'!$C$16</f>
        <v>other2</v>
      </c>
      <c r="BR4" s="175"/>
      <c r="BS4" s="175"/>
      <c r="BT4" s="175"/>
      <c r="BU4" s="175"/>
      <c r="BV4" s="175"/>
      <c r="BY4" s="176" t="s">
        <v>3521</v>
      </c>
      <c r="BZ4" s="177"/>
    </row>
    <row r="5" spans="1:78" ht="15" customHeight="1" x14ac:dyDescent="0.25">
      <c r="A5" s="170"/>
      <c r="B5" s="170"/>
      <c r="C5" s="170"/>
      <c r="D5" s="170"/>
      <c r="E5" s="170"/>
      <c r="F5" s="170"/>
      <c r="G5" s="170"/>
      <c r="H5" s="170"/>
      <c r="I5" s="173"/>
      <c r="K5" s="180" t="s">
        <v>3513</v>
      </c>
      <c r="L5" s="181"/>
      <c r="M5" s="181"/>
      <c r="N5" s="181"/>
      <c r="O5" s="181"/>
      <c r="P5" s="182"/>
      <c r="R5" s="180" t="s">
        <v>3514</v>
      </c>
      <c r="S5" s="181"/>
      <c r="T5" s="181"/>
      <c r="U5" s="181"/>
      <c r="V5" s="181"/>
      <c r="W5" s="182"/>
      <c r="Y5" s="188" t="s">
        <v>3680</v>
      </c>
      <c r="Z5" s="189" t="s">
        <v>3515</v>
      </c>
      <c r="AA5" s="189"/>
      <c r="AB5" s="189"/>
      <c r="AC5" s="189"/>
      <c r="AD5" s="189"/>
      <c r="AE5" s="189"/>
      <c r="AF5" s="189"/>
      <c r="AG5" s="189"/>
      <c r="AI5" s="188" t="s">
        <v>3680</v>
      </c>
      <c r="AJ5" s="189" t="s">
        <v>3515</v>
      </c>
      <c r="AK5" s="189"/>
      <c r="AL5" s="189"/>
      <c r="AM5" s="189"/>
      <c r="AN5" s="189"/>
      <c r="AO5" s="189"/>
      <c r="AP5" s="189"/>
      <c r="AQ5" s="189"/>
      <c r="AS5" s="188" t="s">
        <v>3680</v>
      </c>
      <c r="AT5" s="189" t="s">
        <v>3516</v>
      </c>
      <c r="AU5" s="189"/>
      <c r="AV5" s="189"/>
      <c r="AW5" s="189"/>
      <c r="AX5" s="189"/>
      <c r="AY5" s="189"/>
      <c r="AZ5" s="189"/>
      <c r="BA5" s="189"/>
      <c r="BC5" s="180" t="s">
        <v>3517</v>
      </c>
      <c r="BD5" s="181"/>
      <c r="BE5" s="181"/>
      <c r="BF5" s="181"/>
      <c r="BG5" s="181"/>
      <c r="BH5" s="182"/>
      <c r="BJ5" s="180" t="s">
        <v>3518</v>
      </c>
      <c r="BK5" s="181"/>
      <c r="BL5" s="181"/>
      <c r="BM5" s="181"/>
      <c r="BN5" s="181"/>
      <c r="BO5" s="182"/>
      <c r="BQ5" s="180" t="s">
        <v>3518</v>
      </c>
      <c r="BR5" s="181"/>
      <c r="BS5" s="181"/>
      <c r="BT5" s="181"/>
      <c r="BU5" s="181"/>
      <c r="BV5" s="182"/>
      <c r="BY5" s="178"/>
      <c r="BZ5" s="179"/>
    </row>
    <row r="6" spans="1:78" ht="15" customHeight="1" x14ac:dyDescent="0.25">
      <c r="A6" s="170"/>
      <c r="B6" s="170"/>
      <c r="C6" s="170"/>
      <c r="D6" s="170"/>
      <c r="E6" s="170"/>
      <c r="F6" s="170"/>
      <c r="G6" s="170"/>
      <c r="H6" s="170"/>
      <c r="I6" s="173"/>
      <c r="K6" s="172" t="s">
        <v>3510</v>
      </c>
      <c r="L6" s="172" t="s">
        <v>3511</v>
      </c>
      <c r="M6" s="175" t="s">
        <v>3506</v>
      </c>
      <c r="N6" s="175"/>
      <c r="O6" s="175" t="s">
        <v>3509</v>
      </c>
      <c r="P6" s="175"/>
      <c r="R6" s="172" t="s">
        <v>3510</v>
      </c>
      <c r="S6" s="172" t="s">
        <v>3511</v>
      </c>
      <c r="T6" s="175" t="s">
        <v>3506</v>
      </c>
      <c r="U6" s="175"/>
      <c r="V6" s="183" t="s">
        <v>3509</v>
      </c>
      <c r="W6" s="184"/>
      <c r="Y6" s="188"/>
      <c r="Z6" s="188" t="s">
        <v>3510</v>
      </c>
      <c r="AA6" s="188" t="s">
        <v>3511</v>
      </c>
      <c r="AB6" s="175" t="s">
        <v>3506</v>
      </c>
      <c r="AC6" s="175"/>
      <c r="AD6" s="175"/>
      <c r="AE6" s="175" t="s">
        <v>3509</v>
      </c>
      <c r="AF6" s="175"/>
      <c r="AG6" s="175"/>
      <c r="AI6" s="188"/>
      <c r="AJ6" s="188" t="s">
        <v>3510</v>
      </c>
      <c r="AK6" s="188" t="s">
        <v>3511</v>
      </c>
      <c r="AL6" s="175" t="s">
        <v>3506</v>
      </c>
      <c r="AM6" s="175"/>
      <c r="AN6" s="175"/>
      <c r="AO6" s="175" t="s">
        <v>3509</v>
      </c>
      <c r="AP6" s="175"/>
      <c r="AQ6" s="175"/>
      <c r="AS6" s="188"/>
      <c r="AT6" s="188" t="s">
        <v>3510</v>
      </c>
      <c r="AU6" s="188" t="s">
        <v>3511</v>
      </c>
      <c r="AV6" s="175" t="s">
        <v>3506</v>
      </c>
      <c r="AW6" s="175"/>
      <c r="AX6" s="175"/>
      <c r="AY6" s="175" t="s">
        <v>3509</v>
      </c>
      <c r="AZ6" s="175"/>
      <c r="BA6" s="175"/>
      <c r="BC6" s="172" t="s">
        <v>3510</v>
      </c>
      <c r="BD6" s="172" t="s">
        <v>3511</v>
      </c>
      <c r="BE6" s="175" t="s">
        <v>3506</v>
      </c>
      <c r="BF6" s="175"/>
      <c r="BG6" s="183" t="s">
        <v>3509</v>
      </c>
      <c r="BH6" s="184"/>
      <c r="BJ6" s="172" t="s">
        <v>3510</v>
      </c>
      <c r="BK6" s="172" t="s">
        <v>3511</v>
      </c>
      <c r="BL6" s="175" t="s">
        <v>3506</v>
      </c>
      <c r="BM6" s="175"/>
      <c r="BN6" s="183" t="s">
        <v>3509</v>
      </c>
      <c r="BO6" s="184"/>
      <c r="BQ6" s="172" t="s">
        <v>3510</v>
      </c>
      <c r="BR6" s="172" t="s">
        <v>3511</v>
      </c>
      <c r="BS6" s="175" t="s">
        <v>3506</v>
      </c>
      <c r="BT6" s="175"/>
      <c r="BU6" s="183" t="s">
        <v>3509</v>
      </c>
      <c r="BV6" s="184"/>
      <c r="BY6" s="172" t="s">
        <v>3519</v>
      </c>
      <c r="BZ6" s="172" t="s">
        <v>3520</v>
      </c>
    </row>
    <row r="7" spans="1:78" ht="54" x14ac:dyDescent="0.25">
      <c r="A7" s="171"/>
      <c r="B7" s="171"/>
      <c r="C7" s="171"/>
      <c r="D7" s="171"/>
      <c r="E7" s="171"/>
      <c r="F7" s="171"/>
      <c r="G7" s="171"/>
      <c r="H7" s="171"/>
      <c r="I7" s="174"/>
      <c r="K7" s="174"/>
      <c r="L7" s="174"/>
      <c r="M7" s="100" t="s">
        <v>3507</v>
      </c>
      <c r="N7" s="71" t="s">
        <v>3508</v>
      </c>
      <c r="O7" s="100" t="s">
        <v>3507</v>
      </c>
      <c r="P7" s="71" t="s">
        <v>3508</v>
      </c>
      <c r="R7" s="174"/>
      <c r="S7" s="174"/>
      <c r="T7" s="100" t="s">
        <v>3507</v>
      </c>
      <c r="U7" s="100" t="s">
        <v>3508</v>
      </c>
      <c r="V7" s="100" t="s">
        <v>3507</v>
      </c>
      <c r="W7" s="71" t="s">
        <v>3508</v>
      </c>
      <c r="Y7" s="188"/>
      <c r="Z7" s="188"/>
      <c r="AA7" s="188"/>
      <c r="AB7" s="100" t="s">
        <v>3507</v>
      </c>
      <c r="AC7" s="100" t="s">
        <v>3508</v>
      </c>
      <c r="AD7" s="100" t="s">
        <v>3678</v>
      </c>
      <c r="AE7" s="100" t="s">
        <v>3507</v>
      </c>
      <c r="AF7" s="71" t="s">
        <v>3508</v>
      </c>
      <c r="AG7" s="100" t="s">
        <v>3678</v>
      </c>
      <c r="AI7" s="188"/>
      <c r="AJ7" s="188"/>
      <c r="AK7" s="188"/>
      <c r="AL7" s="100" t="s">
        <v>3507</v>
      </c>
      <c r="AM7" s="100" t="s">
        <v>3508</v>
      </c>
      <c r="AN7" s="100" t="s">
        <v>3678</v>
      </c>
      <c r="AO7" s="100" t="s">
        <v>3507</v>
      </c>
      <c r="AP7" s="71" t="s">
        <v>3508</v>
      </c>
      <c r="AQ7" s="100" t="s">
        <v>3678</v>
      </c>
      <c r="AS7" s="188"/>
      <c r="AT7" s="188"/>
      <c r="AU7" s="188"/>
      <c r="AV7" s="100" t="s">
        <v>3507</v>
      </c>
      <c r="AW7" s="100" t="s">
        <v>3508</v>
      </c>
      <c r="AX7" s="100" t="s">
        <v>3678</v>
      </c>
      <c r="AY7" s="100" t="s">
        <v>3507</v>
      </c>
      <c r="AZ7" s="71" t="s">
        <v>3508</v>
      </c>
      <c r="BA7" s="100" t="s">
        <v>3678</v>
      </c>
      <c r="BC7" s="174"/>
      <c r="BD7" s="174"/>
      <c r="BE7" s="100" t="s">
        <v>3507</v>
      </c>
      <c r="BF7" s="100" t="s">
        <v>3508</v>
      </c>
      <c r="BG7" s="100" t="s">
        <v>3507</v>
      </c>
      <c r="BH7" s="71" t="s">
        <v>3508</v>
      </c>
      <c r="BJ7" s="174"/>
      <c r="BK7" s="174"/>
      <c r="BL7" s="100" t="s">
        <v>3507</v>
      </c>
      <c r="BM7" s="100" t="s">
        <v>3508</v>
      </c>
      <c r="BN7" s="100" t="s">
        <v>3507</v>
      </c>
      <c r="BO7" s="71" t="s">
        <v>3508</v>
      </c>
      <c r="BQ7" s="174"/>
      <c r="BR7" s="174"/>
      <c r="BS7" s="100" t="s">
        <v>3507</v>
      </c>
      <c r="BT7" s="100" t="s">
        <v>3508</v>
      </c>
      <c r="BU7" s="100" t="s">
        <v>3507</v>
      </c>
      <c r="BV7" s="71" t="s">
        <v>3508</v>
      </c>
      <c r="BY7" s="174"/>
      <c r="BZ7" s="173"/>
    </row>
    <row r="8" spans="1:78" ht="24.75" customHeight="1" x14ac:dyDescent="0.25">
      <c r="A8" s="166" t="s">
        <v>3512</v>
      </c>
      <c r="B8" s="167"/>
      <c r="C8" s="167"/>
      <c r="D8" s="167"/>
      <c r="E8" s="167"/>
      <c r="F8" s="167"/>
      <c r="G8" s="167"/>
      <c r="H8" s="167"/>
      <c r="I8" s="168"/>
      <c r="K8" s="133">
        <v>20</v>
      </c>
      <c r="L8" s="133">
        <v>20</v>
      </c>
      <c r="M8" s="133">
        <v>48</v>
      </c>
      <c r="N8" s="133">
        <v>12</v>
      </c>
      <c r="O8" s="133">
        <v>80</v>
      </c>
      <c r="P8" s="133">
        <v>20</v>
      </c>
      <c r="R8" s="133">
        <v>20</v>
      </c>
      <c r="S8" s="133">
        <v>20</v>
      </c>
      <c r="T8" s="133">
        <v>48</v>
      </c>
      <c r="U8" s="133">
        <v>12</v>
      </c>
      <c r="V8" s="133">
        <v>80</v>
      </c>
      <c r="W8" s="133">
        <v>20</v>
      </c>
      <c r="Y8" s="188"/>
      <c r="Z8" s="43">
        <f>IF($Y$4="","",20)</f>
        <v>20</v>
      </c>
      <c r="AA8" s="43">
        <f>IF(Y4="","",20)</f>
        <v>20</v>
      </c>
      <c r="AB8" s="43">
        <f>IFERROR(VLOOKUP(Y4,Marks,2,0),0)</f>
        <v>48</v>
      </c>
      <c r="AC8" s="43">
        <f>IFERROR(VLOOKUP(Y4,Marks,3,0),0)</f>
        <v>12</v>
      </c>
      <c r="AD8" s="95">
        <f>IFERROR(VLOOKUP(Y4,Marks,4,0),0)</f>
        <v>0</v>
      </c>
      <c r="AE8" s="95">
        <f>IFERROR(VLOOKUP(Y4,Marks,5,0),0)</f>
        <v>80</v>
      </c>
      <c r="AF8" s="95">
        <f>IFERROR(VLOOKUP(Y4,Marks,6,0),0)</f>
        <v>20</v>
      </c>
      <c r="AG8" s="94">
        <f>IFERROR(VLOOKUP(Y4,Marks,7,0),0)</f>
        <v>0</v>
      </c>
      <c r="AI8" s="188"/>
      <c r="AJ8" s="43">
        <f>IF(AI4="","",20)</f>
        <v>20</v>
      </c>
      <c r="AK8" s="43">
        <f>IF(AI4="","",20)</f>
        <v>20</v>
      </c>
      <c r="AL8" s="43">
        <f>IFERROR(VLOOKUP(AI4,Marks,2,0),0)</f>
        <v>48</v>
      </c>
      <c r="AM8" s="43">
        <f>IFERROR(VLOOKUP(AI4,Marks,3,0),0)</f>
        <v>12</v>
      </c>
      <c r="AN8" s="43">
        <f>IFERROR(VLOOKUP(AI4,Marks,4,0),0)</f>
        <v>0</v>
      </c>
      <c r="AO8" s="43">
        <f>IFERROR(VLOOKUP(AI4,Marks,5,0),0)</f>
        <v>80</v>
      </c>
      <c r="AP8" s="43">
        <f>IFERROR(VLOOKUP(AI4,Marks,6,0),0)</f>
        <v>20</v>
      </c>
      <c r="AQ8" s="43">
        <f>IFERROR(VLOOKUP(AI4,Marks,7,0),0)</f>
        <v>0</v>
      </c>
      <c r="AS8" s="188"/>
      <c r="AT8" s="43">
        <f>IF(AS4="","",20)</f>
        <v>20</v>
      </c>
      <c r="AU8" s="43">
        <f>IF(AS4="","",20)</f>
        <v>20</v>
      </c>
      <c r="AV8" s="43">
        <f>IFERROR(VLOOKUP(AS4,Marks,2,0),0)</f>
        <v>34</v>
      </c>
      <c r="AW8" s="43">
        <f>IFERROR(VLOOKUP(AS4,Marks,3,0),0)</f>
        <v>12</v>
      </c>
      <c r="AX8" s="43">
        <f>IFERROR(VLOOKUP(AS4,Marks,4,0),0)</f>
        <v>14</v>
      </c>
      <c r="AY8" s="43">
        <f>IFERROR(VLOOKUP(AS4,Marks,5,0),0)</f>
        <v>56</v>
      </c>
      <c r="AZ8" s="43">
        <f>IFERROR(VLOOKUP(AS4,Marks,6,0),0)</f>
        <v>14</v>
      </c>
      <c r="BA8" s="43">
        <f>IFERROR(VLOOKUP(AS4,Marks,7,0),0)</f>
        <v>30</v>
      </c>
      <c r="BC8" s="133">
        <v>20</v>
      </c>
      <c r="BD8" s="133">
        <v>20</v>
      </c>
      <c r="BE8" s="133">
        <v>48</v>
      </c>
      <c r="BF8" s="133">
        <v>12</v>
      </c>
      <c r="BG8" s="133">
        <v>80</v>
      </c>
      <c r="BH8" s="133">
        <v>20</v>
      </c>
      <c r="BJ8" s="133">
        <v>20</v>
      </c>
      <c r="BK8" s="133">
        <v>20</v>
      </c>
      <c r="BL8" s="133">
        <v>48</v>
      </c>
      <c r="BM8" s="133">
        <v>12</v>
      </c>
      <c r="BN8" s="133">
        <v>80</v>
      </c>
      <c r="BO8" s="133">
        <v>20</v>
      </c>
      <c r="BQ8" s="133">
        <v>20</v>
      </c>
      <c r="BR8" s="133">
        <v>20</v>
      </c>
      <c r="BS8" s="133">
        <v>48</v>
      </c>
      <c r="BT8" s="133">
        <v>12</v>
      </c>
      <c r="BU8" s="133">
        <v>80</v>
      </c>
      <c r="BV8" s="133">
        <v>20</v>
      </c>
      <c r="BY8" s="36">
        <v>400</v>
      </c>
      <c r="BZ8" s="174"/>
    </row>
    <row r="9" spans="1:78" ht="30" customHeight="1" x14ac:dyDescent="0.25">
      <c r="A9" s="108">
        <f>IF('11th Data'!A5="","",'11th Data'!A5)</f>
        <v>1</v>
      </c>
      <c r="B9" s="108">
        <f>IF('11th Data'!J5="","",'11th Data'!J5)</f>
        <v>906</v>
      </c>
      <c r="C9" s="108">
        <f>IF('11th Data'!D5="","",'11th Data'!D5)</f>
        <v>13204</v>
      </c>
      <c r="D9" s="40" t="str">
        <f>IF('11th Data'!E5="","",'11th Data'!E5)</f>
        <v>ASHOK SINGH</v>
      </c>
      <c r="E9" s="40" t="str">
        <f>IF('11th Data'!F5="","",'11th Data'!F5)</f>
        <v>PRAKASH SINGH</v>
      </c>
      <c r="F9" s="40" t="str">
        <f>IF('11th Data'!G5="","",'11th Data'!G5)</f>
        <v>SEETA DEVI</v>
      </c>
      <c r="G9" s="108" t="str">
        <f>IF('11th Data'!H5="","",'11th Data'!H5)</f>
        <v>BOY</v>
      </c>
      <c r="H9" s="41">
        <f>IF('11th Data'!I5="","",'11th Data'!I5)</f>
        <v>38696</v>
      </c>
      <c r="I9" s="108" t="str">
        <f>IF('11th Data'!K5="","",'11th Data'!K5)</f>
        <v>OBC</v>
      </c>
      <c r="K9" s="37">
        <v>10</v>
      </c>
      <c r="L9" s="37">
        <v>10</v>
      </c>
      <c r="M9" s="37">
        <v>30</v>
      </c>
      <c r="N9" s="37">
        <v>10</v>
      </c>
      <c r="O9" s="37">
        <v>31</v>
      </c>
      <c r="P9" s="37">
        <v>16</v>
      </c>
      <c r="R9" s="37">
        <v>15</v>
      </c>
      <c r="S9" s="37">
        <v>15</v>
      </c>
      <c r="T9" s="37">
        <v>30</v>
      </c>
      <c r="U9" s="37">
        <v>10</v>
      </c>
      <c r="V9" s="37">
        <v>25</v>
      </c>
      <c r="W9" s="37">
        <v>13</v>
      </c>
      <c r="Y9" s="109"/>
      <c r="Z9" s="37">
        <v>15</v>
      </c>
      <c r="AA9" s="37">
        <v>15</v>
      </c>
      <c r="AB9" s="37">
        <v>30</v>
      </c>
      <c r="AC9" s="37">
        <v>10</v>
      </c>
      <c r="AD9" s="37"/>
      <c r="AE9" s="37">
        <v>60</v>
      </c>
      <c r="AF9" s="37">
        <v>11</v>
      </c>
      <c r="AG9" s="37"/>
      <c r="AI9" s="109"/>
      <c r="AJ9" s="37">
        <v>15</v>
      </c>
      <c r="AK9" s="37">
        <v>15</v>
      </c>
      <c r="AL9" s="37">
        <v>30</v>
      </c>
      <c r="AM9" s="37">
        <v>10</v>
      </c>
      <c r="AN9" s="37"/>
      <c r="AO9" s="37">
        <v>60</v>
      </c>
      <c r="AP9" s="37">
        <v>15</v>
      </c>
      <c r="AQ9" s="37"/>
      <c r="AS9" s="109"/>
      <c r="AT9" s="37">
        <v>15</v>
      </c>
      <c r="AU9" s="37">
        <v>15</v>
      </c>
      <c r="AV9" s="37">
        <v>18</v>
      </c>
      <c r="AW9" s="37">
        <v>5</v>
      </c>
      <c r="AX9" s="37">
        <v>10</v>
      </c>
      <c r="AY9" s="37">
        <v>31</v>
      </c>
      <c r="AZ9" s="37">
        <v>10</v>
      </c>
      <c r="BA9" s="37">
        <v>12</v>
      </c>
      <c r="BC9" s="37">
        <v>15</v>
      </c>
      <c r="BD9" s="37">
        <v>15</v>
      </c>
      <c r="BE9" s="37">
        <v>15</v>
      </c>
      <c r="BF9" s="37">
        <v>10</v>
      </c>
      <c r="BG9" s="37">
        <v>70</v>
      </c>
      <c r="BH9" s="37">
        <v>12</v>
      </c>
      <c r="BJ9" s="37">
        <v>15</v>
      </c>
      <c r="BK9" s="37">
        <v>15</v>
      </c>
      <c r="BL9" s="37">
        <v>15</v>
      </c>
      <c r="BM9" s="37">
        <v>10</v>
      </c>
      <c r="BN9" s="37">
        <v>70</v>
      </c>
      <c r="BO9" s="37">
        <v>12</v>
      </c>
      <c r="BQ9" s="37"/>
      <c r="BR9" s="37"/>
      <c r="BS9" s="37"/>
      <c r="BT9" s="37"/>
      <c r="BU9" s="37"/>
      <c r="BV9" s="37"/>
      <c r="BY9" s="42">
        <f>IF(BY8=0,"",IF(BY8="","",BY8))</f>
        <v>400</v>
      </c>
      <c r="BZ9" s="37">
        <v>300</v>
      </c>
    </row>
    <row r="10" spans="1:78" ht="30" customHeight="1" x14ac:dyDescent="0.25">
      <c r="A10" s="108">
        <f>IF('11th Data'!A6="","",'11th Data'!A6)</f>
        <v>2</v>
      </c>
      <c r="B10" s="108">
        <f>IF('11th Data'!J6="","",'11th Data'!J6)</f>
        <v>907</v>
      </c>
      <c r="C10" s="108">
        <f>IF('11th Data'!D6="","",'11th Data'!D6)</f>
        <v>12970</v>
      </c>
      <c r="D10" s="40" t="str">
        <f>IF('11th Data'!E6="","",'11th Data'!E6)</f>
        <v>ASHOK SINGH RAWAT</v>
      </c>
      <c r="E10" s="40" t="str">
        <f>IF('11th Data'!F6="","",'11th Data'!F6)</f>
        <v>MOHAN SINGH</v>
      </c>
      <c r="F10" s="40" t="str">
        <f>IF('11th Data'!G6="","",'11th Data'!G6)</f>
        <v>BHANWARI BAI</v>
      </c>
      <c r="G10" s="108" t="str">
        <f>IF('11th Data'!H6="","",'11th Data'!H6)</f>
        <v>BOY</v>
      </c>
      <c r="H10" s="41">
        <f>IF('11th Data'!I6="","",'11th Data'!I6)</f>
        <v>38563</v>
      </c>
      <c r="I10" s="108" t="str">
        <f>IF('11th Data'!K6="","",'11th Data'!K6)</f>
        <v>OBC</v>
      </c>
      <c r="K10" s="37">
        <v>10</v>
      </c>
      <c r="L10" s="37">
        <v>10</v>
      </c>
      <c r="M10" s="37">
        <v>12</v>
      </c>
      <c r="N10" s="37">
        <v>4</v>
      </c>
      <c r="O10" s="37">
        <v>32</v>
      </c>
      <c r="P10" s="37">
        <v>16</v>
      </c>
      <c r="R10" s="37">
        <v>5</v>
      </c>
      <c r="S10" s="37">
        <v>10</v>
      </c>
      <c r="T10" s="37">
        <v>12</v>
      </c>
      <c r="U10" s="37">
        <v>4</v>
      </c>
      <c r="V10" s="37">
        <v>26</v>
      </c>
      <c r="W10" s="37">
        <v>13</v>
      </c>
      <c r="Y10" s="109"/>
      <c r="Z10" s="37">
        <v>12</v>
      </c>
      <c r="AA10" s="37">
        <v>10</v>
      </c>
      <c r="AB10" s="37">
        <v>12</v>
      </c>
      <c r="AC10" s="37">
        <v>4</v>
      </c>
      <c r="AD10" s="37"/>
      <c r="AE10" s="37">
        <v>40</v>
      </c>
      <c r="AF10" s="37">
        <v>11</v>
      </c>
      <c r="AG10" s="37"/>
      <c r="AI10" s="109"/>
      <c r="AJ10" s="37">
        <v>6</v>
      </c>
      <c r="AK10" s="37">
        <v>10</v>
      </c>
      <c r="AL10" s="37">
        <v>12</v>
      </c>
      <c r="AM10" s="37">
        <v>4</v>
      </c>
      <c r="AN10" s="37"/>
      <c r="AO10" s="37">
        <v>40</v>
      </c>
      <c r="AP10" s="37">
        <v>10</v>
      </c>
      <c r="AQ10" s="37"/>
      <c r="AS10" s="109"/>
      <c r="AT10" s="37">
        <v>15</v>
      </c>
      <c r="AU10" s="37">
        <v>10</v>
      </c>
      <c r="AV10" s="37">
        <v>17</v>
      </c>
      <c r="AW10" s="37">
        <v>8</v>
      </c>
      <c r="AX10" s="37">
        <v>11</v>
      </c>
      <c r="AY10" s="37">
        <v>32</v>
      </c>
      <c r="AZ10" s="37">
        <v>11</v>
      </c>
      <c r="BA10" s="37">
        <v>13</v>
      </c>
      <c r="BC10" s="37">
        <v>15</v>
      </c>
      <c r="BD10" s="37">
        <v>15</v>
      </c>
      <c r="BE10" s="37">
        <v>15</v>
      </c>
      <c r="BF10" s="37">
        <v>10</v>
      </c>
      <c r="BG10" s="37">
        <v>70</v>
      </c>
      <c r="BH10" s="37">
        <v>12</v>
      </c>
      <c r="BJ10" s="37">
        <v>15</v>
      </c>
      <c r="BK10" s="37">
        <v>15</v>
      </c>
      <c r="BL10" s="37">
        <v>15</v>
      </c>
      <c r="BM10" s="37">
        <v>10</v>
      </c>
      <c r="BN10" s="37">
        <v>70</v>
      </c>
      <c r="BO10" s="37">
        <v>12</v>
      </c>
      <c r="BQ10" s="37"/>
      <c r="BR10" s="37"/>
      <c r="BS10" s="37"/>
      <c r="BT10" s="37"/>
      <c r="BU10" s="37"/>
      <c r="BV10" s="37"/>
      <c r="BY10" s="42">
        <f>BY9</f>
        <v>400</v>
      </c>
      <c r="BZ10" s="37">
        <v>300</v>
      </c>
    </row>
    <row r="11" spans="1:78" ht="30" customHeight="1" x14ac:dyDescent="0.25">
      <c r="A11" s="108">
        <f>IF('11th Data'!A7="","",'11th Data'!A7)</f>
        <v>3</v>
      </c>
      <c r="B11" s="108">
        <f>IF('11th Data'!J7="","",'11th Data'!J7)</f>
        <v>908</v>
      </c>
      <c r="C11" s="108">
        <f>IF('11th Data'!D7="","",'11th Data'!D7)</f>
        <v>13028</v>
      </c>
      <c r="D11" s="40" t="str">
        <f>IF('11th Data'!E7="","",'11th Data'!E7)</f>
        <v>BHERU LAL</v>
      </c>
      <c r="E11" s="40" t="str">
        <f>IF('11th Data'!F7="","",'11th Data'!F7)</f>
        <v>BHADA RAM</v>
      </c>
      <c r="F11" s="40" t="str">
        <f>IF('11th Data'!G7="","",'11th Data'!G7)</f>
        <v>CHAINI DEVI</v>
      </c>
      <c r="G11" s="108" t="str">
        <f>IF('11th Data'!H7="","",'11th Data'!H7)</f>
        <v>BOY</v>
      </c>
      <c r="H11" s="41">
        <f>IF('11th Data'!I7="","",'11th Data'!I7)</f>
        <v>37510</v>
      </c>
      <c r="I11" s="108" t="str">
        <f>IF('11th Data'!K7="","",'11th Data'!K7)</f>
        <v>SC</v>
      </c>
      <c r="K11" s="37">
        <v>15</v>
      </c>
      <c r="L11" s="37">
        <v>15</v>
      </c>
      <c r="M11" s="37">
        <v>20</v>
      </c>
      <c r="N11" s="37">
        <v>10</v>
      </c>
      <c r="O11" s="37">
        <v>33</v>
      </c>
      <c r="P11" s="37">
        <v>16</v>
      </c>
      <c r="R11" s="37">
        <v>10</v>
      </c>
      <c r="S11" s="37">
        <v>10</v>
      </c>
      <c r="T11" s="37">
        <v>10</v>
      </c>
      <c r="U11" s="37">
        <v>10</v>
      </c>
      <c r="V11" s="37">
        <v>27</v>
      </c>
      <c r="W11" s="37">
        <v>13</v>
      </c>
      <c r="Y11" s="109"/>
      <c r="Z11" s="37">
        <v>10</v>
      </c>
      <c r="AA11" s="37">
        <v>10</v>
      </c>
      <c r="AB11" s="37">
        <v>30</v>
      </c>
      <c r="AC11" s="37">
        <v>10</v>
      </c>
      <c r="AD11" s="37"/>
      <c r="AE11" s="37">
        <v>30</v>
      </c>
      <c r="AF11" s="37">
        <v>11</v>
      </c>
      <c r="AG11" s="37"/>
      <c r="AI11" s="109"/>
      <c r="AJ11" s="37">
        <v>10</v>
      </c>
      <c r="AK11" s="37">
        <v>10</v>
      </c>
      <c r="AL11" s="37">
        <v>30</v>
      </c>
      <c r="AM11" s="37">
        <v>10</v>
      </c>
      <c r="AN11" s="37"/>
      <c r="AO11" s="37">
        <v>50</v>
      </c>
      <c r="AP11" s="37">
        <v>9</v>
      </c>
      <c r="AQ11" s="37"/>
      <c r="AS11" s="109"/>
      <c r="AT11" s="37">
        <v>10</v>
      </c>
      <c r="AU11" s="37">
        <v>10</v>
      </c>
      <c r="AV11" s="37">
        <v>16</v>
      </c>
      <c r="AW11" s="37">
        <v>7</v>
      </c>
      <c r="AX11" s="37">
        <v>10</v>
      </c>
      <c r="AY11" s="37">
        <v>30</v>
      </c>
      <c r="AZ11" s="37">
        <v>10</v>
      </c>
      <c r="BA11" s="37">
        <v>14</v>
      </c>
      <c r="BC11" s="37">
        <v>15</v>
      </c>
      <c r="BD11" s="37">
        <v>15</v>
      </c>
      <c r="BE11" s="37">
        <v>15</v>
      </c>
      <c r="BF11" s="37">
        <v>10</v>
      </c>
      <c r="BG11" s="37">
        <v>70</v>
      </c>
      <c r="BH11" s="37">
        <v>12</v>
      </c>
      <c r="BJ11" s="37">
        <v>15</v>
      </c>
      <c r="BK11" s="37">
        <v>15</v>
      </c>
      <c r="BL11" s="37">
        <v>15</v>
      </c>
      <c r="BM11" s="37">
        <v>10</v>
      </c>
      <c r="BN11" s="37">
        <v>70</v>
      </c>
      <c r="BO11" s="37">
        <v>12</v>
      </c>
      <c r="BQ11" s="37"/>
      <c r="BR11" s="37"/>
      <c r="BS11" s="37"/>
      <c r="BT11" s="37"/>
      <c r="BU11" s="37"/>
      <c r="BV11" s="37"/>
      <c r="BY11" s="42">
        <f t="shared" ref="BY11:BY74" si="0">BY10</f>
        <v>400</v>
      </c>
      <c r="BZ11" s="37">
        <v>300</v>
      </c>
    </row>
    <row r="12" spans="1:78" ht="30" customHeight="1" x14ac:dyDescent="0.25">
      <c r="A12" s="108">
        <f>IF('11th Data'!A8="","",'11th Data'!A8)</f>
        <v>4</v>
      </c>
      <c r="B12" s="108">
        <f>IF('11th Data'!J8="","",'11th Data'!J8)</f>
        <v>909</v>
      </c>
      <c r="C12" s="108">
        <f>IF('11th Data'!D8="","",'11th Data'!D8)</f>
        <v>13030</v>
      </c>
      <c r="D12" s="40" t="str">
        <f>IF('11th Data'!E8="","",'11th Data'!E8)</f>
        <v>CHANDRA SINGH</v>
      </c>
      <c r="E12" s="40" t="str">
        <f>IF('11th Data'!F8="","",'11th Data'!F8)</f>
        <v>HEERA SINGH</v>
      </c>
      <c r="F12" s="40" t="str">
        <f>IF('11th Data'!G8="","",'11th Data'!G8)</f>
        <v>SAINA DEVI</v>
      </c>
      <c r="G12" s="108" t="str">
        <f>IF('11th Data'!H8="","",'11th Data'!H8)</f>
        <v>BOY</v>
      </c>
      <c r="H12" s="41">
        <f>IF('11th Data'!I8="","",'11th Data'!I8)</f>
        <v>37293</v>
      </c>
      <c r="I12" s="108" t="str">
        <f>IF('11th Data'!K8="","",'11th Data'!K8)</f>
        <v>OBC</v>
      </c>
      <c r="K12" s="37">
        <v>5</v>
      </c>
      <c r="L12" s="37">
        <v>5</v>
      </c>
      <c r="M12" s="37">
        <v>5</v>
      </c>
      <c r="N12" s="37">
        <v>5</v>
      </c>
      <c r="O12" s="37">
        <v>34</v>
      </c>
      <c r="P12" s="37">
        <v>16</v>
      </c>
      <c r="R12" s="37">
        <v>5</v>
      </c>
      <c r="S12" s="37">
        <v>5</v>
      </c>
      <c r="T12" s="37">
        <v>5</v>
      </c>
      <c r="U12" s="37">
        <v>5</v>
      </c>
      <c r="V12" s="37">
        <v>28</v>
      </c>
      <c r="W12" s="37">
        <v>13</v>
      </c>
      <c r="Y12" s="109"/>
      <c r="Z12" s="37">
        <v>10</v>
      </c>
      <c r="AA12" s="37">
        <v>10</v>
      </c>
      <c r="AB12" s="37">
        <v>30</v>
      </c>
      <c r="AC12" s="37">
        <v>10</v>
      </c>
      <c r="AD12" s="37"/>
      <c r="AE12" s="37">
        <v>30</v>
      </c>
      <c r="AF12" s="37">
        <v>11</v>
      </c>
      <c r="AG12" s="37"/>
      <c r="AI12" s="109"/>
      <c r="AJ12" s="37">
        <v>10</v>
      </c>
      <c r="AK12" s="37">
        <v>10</v>
      </c>
      <c r="AL12" s="37">
        <v>30</v>
      </c>
      <c r="AM12" s="37">
        <v>10</v>
      </c>
      <c r="AN12" s="37"/>
      <c r="AO12" s="37">
        <v>50</v>
      </c>
      <c r="AP12" s="37">
        <v>9</v>
      </c>
      <c r="AQ12" s="37"/>
      <c r="AS12" s="109"/>
      <c r="AT12" s="37">
        <v>10</v>
      </c>
      <c r="AU12" s="37">
        <v>10</v>
      </c>
      <c r="AV12" s="37">
        <v>16</v>
      </c>
      <c r="AW12" s="37">
        <v>7</v>
      </c>
      <c r="AX12" s="37">
        <v>10</v>
      </c>
      <c r="AY12" s="37">
        <v>30</v>
      </c>
      <c r="AZ12" s="37">
        <v>10</v>
      </c>
      <c r="BA12" s="37">
        <v>14</v>
      </c>
      <c r="BC12" s="37">
        <v>15</v>
      </c>
      <c r="BD12" s="37">
        <v>15</v>
      </c>
      <c r="BE12" s="37">
        <v>15</v>
      </c>
      <c r="BF12" s="37">
        <v>10</v>
      </c>
      <c r="BG12" s="37">
        <v>70</v>
      </c>
      <c r="BH12" s="37">
        <v>12</v>
      </c>
      <c r="BJ12" s="37">
        <v>15</v>
      </c>
      <c r="BK12" s="37">
        <v>15</v>
      </c>
      <c r="BL12" s="37">
        <v>15</v>
      </c>
      <c r="BM12" s="37">
        <v>10</v>
      </c>
      <c r="BN12" s="37">
        <v>70</v>
      </c>
      <c r="BO12" s="37">
        <v>12</v>
      </c>
      <c r="BQ12" s="37"/>
      <c r="BR12" s="37"/>
      <c r="BS12" s="37"/>
      <c r="BT12" s="37"/>
      <c r="BU12" s="37"/>
      <c r="BV12" s="37"/>
      <c r="BY12" s="42">
        <f t="shared" si="0"/>
        <v>400</v>
      </c>
      <c r="BZ12" s="37">
        <v>300</v>
      </c>
    </row>
    <row r="13" spans="1:78" ht="30" customHeight="1" x14ac:dyDescent="0.25">
      <c r="A13" s="108">
        <f>IF('11th Data'!A9="","",'11th Data'!A9)</f>
        <v>5</v>
      </c>
      <c r="B13" s="108">
        <f>IF('11th Data'!J9="","",'11th Data'!J9)</f>
        <v>910</v>
      </c>
      <c r="C13" s="108">
        <f>IF('11th Data'!D9="","",'11th Data'!D9)</f>
        <v>13275</v>
      </c>
      <c r="D13" s="40" t="str">
        <f>IF('11th Data'!E9="","",'11th Data'!E9)</f>
        <v>CHETAN KUMAR GURJAR</v>
      </c>
      <c r="E13" s="40" t="str">
        <f>IF('11th Data'!F9="","",'11th Data'!F9)</f>
        <v>DHARM CHAND GURJAR</v>
      </c>
      <c r="F13" s="40" t="str">
        <f>IF('11th Data'!G9="","",'11th Data'!G9)</f>
        <v>SITA DEVI</v>
      </c>
      <c r="G13" s="108" t="str">
        <f>IF('11th Data'!H9="","",'11th Data'!H9)</f>
        <v>BOY</v>
      </c>
      <c r="H13" s="41">
        <f>IF('11th Data'!I9="","",'11th Data'!I9)</f>
        <v>38918</v>
      </c>
      <c r="I13" s="108" t="str">
        <f>IF('11th Data'!K9="","",'11th Data'!K9)</f>
        <v>SBC</v>
      </c>
      <c r="K13" s="37">
        <v>10</v>
      </c>
      <c r="L13" s="37">
        <v>9</v>
      </c>
      <c r="M13" s="37">
        <v>5</v>
      </c>
      <c r="N13" s="37">
        <v>5</v>
      </c>
      <c r="O13" s="37">
        <v>35</v>
      </c>
      <c r="P13" s="37">
        <v>16</v>
      </c>
      <c r="R13" s="37">
        <v>10</v>
      </c>
      <c r="S13" s="37">
        <v>10</v>
      </c>
      <c r="T13" s="37">
        <v>30</v>
      </c>
      <c r="U13" s="37">
        <v>10</v>
      </c>
      <c r="V13" s="37">
        <v>29</v>
      </c>
      <c r="W13" s="37">
        <v>13</v>
      </c>
      <c r="Y13" s="109" t="s">
        <v>3652</v>
      </c>
      <c r="Z13" s="37">
        <v>18</v>
      </c>
      <c r="AA13" s="37">
        <v>18</v>
      </c>
      <c r="AB13" s="37">
        <v>40</v>
      </c>
      <c r="AC13" s="37">
        <v>10</v>
      </c>
      <c r="AD13" s="37"/>
      <c r="AE13" s="37">
        <v>65</v>
      </c>
      <c r="AF13" s="37">
        <v>11</v>
      </c>
      <c r="AG13" s="37"/>
      <c r="AI13" s="109"/>
      <c r="AJ13" s="37">
        <v>5</v>
      </c>
      <c r="AK13" s="37">
        <v>5</v>
      </c>
      <c r="AL13" s="37">
        <v>18</v>
      </c>
      <c r="AM13" s="37">
        <v>10</v>
      </c>
      <c r="AN13" s="37"/>
      <c r="AO13" s="37">
        <v>30</v>
      </c>
      <c r="AP13" s="37">
        <v>10</v>
      </c>
      <c r="AQ13" s="37"/>
      <c r="AS13" s="109"/>
      <c r="AT13" s="37">
        <v>10</v>
      </c>
      <c r="AU13" s="37">
        <v>10</v>
      </c>
      <c r="AV13" s="37">
        <v>14</v>
      </c>
      <c r="AW13" s="37">
        <v>8</v>
      </c>
      <c r="AX13" s="37">
        <v>14</v>
      </c>
      <c r="AY13" s="37">
        <v>30</v>
      </c>
      <c r="AZ13" s="37">
        <v>10</v>
      </c>
      <c r="BA13" s="37">
        <v>16</v>
      </c>
      <c r="BC13" s="37">
        <v>15</v>
      </c>
      <c r="BD13" s="37">
        <v>15</v>
      </c>
      <c r="BE13" s="37">
        <v>15</v>
      </c>
      <c r="BF13" s="37">
        <v>10</v>
      </c>
      <c r="BG13" s="37">
        <v>70</v>
      </c>
      <c r="BH13" s="37">
        <v>12</v>
      </c>
      <c r="BJ13" s="37">
        <v>15</v>
      </c>
      <c r="BK13" s="37">
        <v>15</v>
      </c>
      <c r="BL13" s="37">
        <v>15</v>
      </c>
      <c r="BM13" s="37">
        <v>10</v>
      </c>
      <c r="BN13" s="37">
        <v>70</v>
      </c>
      <c r="BO13" s="37">
        <v>12</v>
      </c>
      <c r="BQ13" s="37"/>
      <c r="BR13" s="37"/>
      <c r="BS13" s="37"/>
      <c r="BT13" s="37"/>
      <c r="BU13" s="37"/>
      <c r="BV13" s="37"/>
      <c r="BY13" s="42">
        <f t="shared" si="0"/>
        <v>400</v>
      </c>
      <c r="BZ13" s="37">
        <v>300</v>
      </c>
    </row>
    <row r="14" spans="1:78" ht="30" customHeight="1" x14ac:dyDescent="0.25">
      <c r="A14" s="108">
        <f>IF('11th Data'!A10="","",'11th Data'!A10)</f>
        <v>6</v>
      </c>
      <c r="B14" s="108">
        <f>IF('11th Data'!J10="","",'11th Data'!J10)</f>
        <v>911</v>
      </c>
      <c r="C14" s="108">
        <f>IF('11th Data'!D10="","",'11th Data'!D10)</f>
        <v>13337</v>
      </c>
      <c r="D14" s="40" t="str">
        <f>IF('11th Data'!E10="","",'11th Data'!E10)</f>
        <v>DHANNA SINGH</v>
      </c>
      <c r="E14" s="40" t="str">
        <f>IF('11th Data'!F10="","",'11th Data'!F10)</f>
        <v>MADHU SINGH</v>
      </c>
      <c r="F14" s="40" t="str">
        <f>IF('11th Data'!G10="","",'11th Data'!G10)</f>
        <v>SAYARI DEVI</v>
      </c>
      <c r="G14" s="108" t="str">
        <f>IF('11th Data'!H10="","",'11th Data'!H10)</f>
        <v>BOY</v>
      </c>
      <c r="H14" s="41">
        <f>IF('11th Data'!I10="","",'11th Data'!I10)</f>
        <v>37957</v>
      </c>
      <c r="I14" s="108" t="str">
        <f>IF('11th Data'!K10="","",'11th Data'!K10)</f>
        <v>OBC</v>
      </c>
      <c r="K14" s="37">
        <v>10</v>
      </c>
      <c r="L14" s="37">
        <v>20</v>
      </c>
      <c r="M14" s="37">
        <v>10</v>
      </c>
      <c r="N14" s="37">
        <v>5</v>
      </c>
      <c r="O14" s="37">
        <v>36</v>
      </c>
      <c r="P14" s="37">
        <v>16</v>
      </c>
      <c r="R14" s="37">
        <v>10</v>
      </c>
      <c r="S14" s="37">
        <v>10</v>
      </c>
      <c r="T14" s="37">
        <v>30</v>
      </c>
      <c r="U14" s="37">
        <v>10</v>
      </c>
      <c r="V14" s="37">
        <v>30</v>
      </c>
      <c r="W14" s="37">
        <v>13</v>
      </c>
      <c r="Y14" s="109"/>
      <c r="Z14" s="37">
        <v>10</v>
      </c>
      <c r="AA14" s="37">
        <v>10</v>
      </c>
      <c r="AB14" s="37">
        <v>30</v>
      </c>
      <c r="AC14" s="37">
        <v>10</v>
      </c>
      <c r="AD14" s="37"/>
      <c r="AE14" s="37">
        <v>30</v>
      </c>
      <c r="AF14" s="37">
        <v>11</v>
      </c>
      <c r="AG14" s="37"/>
      <c r="AI14" s="109"/>
      <c r="AJ14" s="37">
        <v>10</v>
      </c>
      <c r="AK14" s="37">
        <v>10</v>
      </c>
      <c r="AL14" s="37">
        <v>30</v>
      </c>
      <c r="AM14" s="37">
        <v>10</v>
      </c>
      <c r="AN14" s="37"/>
      <c r="AO14" s="37">
        <v>50</v>
      </c>
      <c r="AP14" s="37">
        <v>12</v>
      </c>
      <c r="AQ14" s="37"/>
      <c r="AS14" s="109"/>
      <c r="AT14" s="37">
        <v>10</v>
      </c>
      <c r="AU14" s="37">
        <v>10</v>
      </c>
      <c r="AV14" s="37">
        <v>15</v>
      </c>
      <c r="AW14" s="37">
        <v>7</v>
      </c>
      <c r="AX14" s="37">
        <v>10</v>
      </c>
      <c r="AY14" s="37">
        <v>21</v>
      </c>
      <c r="AZ14" s="37">
        <v>9</v>
      </c>
      <c r="BA14" s="37">
        <v>10</v>
      </c>
      <c r="BC14" s="37">
        <v>15</v>
      </c>
      <c r="BD14" s="37">
        <v>15</v>
      </c>
      <c r="BE14" s="37">
        <v>15</v>
      </c>
      <c r="BF14" s="37">
        <v>10</v>
      </c>
      <c r="BG14" s="37">
        <v>70</v>
      </c>
      <c r="BH14" s="37">
        <v>12</v>
      </c>
      <c r="BJ14" s="37">
        <v>15</v>
      </c>
      <c r="BK14" s="37">
        <v>15</v>
      </c>
      <c r="BL14" s="37">
        <v>15</v>
      </c>
      <c r="BM14" s="37">
        <v>10</v>
      </c>
      <c r="BN14" s="37">
        <v>70</v>
      </c>
      <c r="BO14" s="37">
        <v>12</v>
      </c>
      <c r="BQ14" s="37"/>
      <c r="BR14" s="37"/>
      <c r="BS14" s="37"/>
      <c r="BT14" s="37"/>
      <c r="BU14" s="37"/>
      <c r="BV14" s="37"/>
      <c r="BY14" s="42">
        <f t="shared" si="0"/>
        <v>400</v>
      </c>
      <c r="BZ14" s="37">
        <v>300</v>
      </c>
    </row>
    <row r="15" spans="1:78" ht="30" customHeight="1" x14ac:dyDescent="0.25">
      <c r="A15" s="108">
        <f>IF('11th Data'!A11="","",'11th Data'!A11)</f>
        <v>7</v>
      </c>
      <c r="B15" s="108">
        <f>IF('11th Data'!J11="","",'11th Data'!J11)</f>
        <v>912</v>
      </c>
      <c r="C15" s="108">
        <f>IF('11th Data'!D11="","",'11th Data'!D11)</f>
        <v>13238</v>
      </c>
      <c r="D15" s="40" t="str">
        <f>IF('11th Data'!E11="","",'11th Data'!E11)</f>
        <v>DHEERAJ NATH</v>
      </c>
      <c r="E15" s="40" t="str">
        <f>IF('11th Data'!F11="","",'11th Data'!F11)</f>
        <v>CHHITAR NATH</v>
      </c>
      <c r="F15" s="40" t="str">
        <f>IF('11th Data'!G11="","",'11th Data'!G11)</f>
        <v>SUNDAR DEVI</v>
      </c>
      <c r="G15" s="108" t="str">
        <f>IF('11th Data'!H11="","",'11th Data'!H11)</f>
        <v>BOY</v>
      </c>
      <c r="H15" s="41">
        <f>IF('11th Data'!I11="","",'11th Data'!I11)</f>
        <v>38812</v>
      </c>
      <c r="I15" s="108" t="str">
        <f>IF('11th Data'!K11="","",'11th Data'!K11)</f>
        <v>OBC</v>
      </c>
      <c r="K15" s="37">
        <v>10</v>
      </c>
      <c r="L15" s="37">
        <v>20</v>
      </c>
      <c r="M15" s="37">
        <v>10</v>
      </c>
      <c r="N15" s="37">
        <v>5</v>
      </c>
      <c r="O15" s="37">
        <v>37</v>
      </c>
      <c r="P15" s="37">
        <v>16</v>
      </c>
      <c r="R15" s="37">
        <v>10</v>
      </c>
      <c r="S15" s="37">
        <v>10</v>
      </c>
      <c r="T15" s="37">
        <v>30</v>
      </c>
      <c r="U15" s="37">
        <v>10</v>
      </c>
      <c r="V15" s="37">
        <v>31</v>
      </c>
      <c r="W15" s="37">
        <v>13</v>
      </c>
      <c r="Y15" s="109"/>
      <c r="Z15" s="37">
        <v>10</v>
      </c>
      <c r="AA15" s="37">
        <v>10</v>
      </c>
      <c r="AB15" s="37">
        <v>30</v>
      </c>
      <c r="AC15" s="37">
        <v>10</v>
      </c>
      <c r="AD15" s="37"/>
      <c r="AE15" s="37">
        <v>30</v>
      </c>
      <c r="AF15" s="37">
        <v>11</v>
      </c>
      <c r="AG15" s="37"/>
      <c r="AI15" s="109"/>
      <c r="AJ15" s="37">
        <v>10</v>
      </c>
      <c r="AK15" s="37">
        <v>10</v>
      </c>
      <c r="AL15" s="37">
        <v>30</v>
      </c>
      <c r="AM15" s="37">
        <v>10</v>
      </c>
      <c r="AN15" s="37"/>
      <c r="AO15" s="37">
        <v>50</v>
      </c>
      <c r="AP15" s="37">
        <v>15</v>
      </c>
      <c r="AQ15" s="37"/>
      <c r="AS15" s="109"/>
      <c r="AT15" s="37">
        <v>10</v>
      </c>
      <c r="AU15" s="37">
        <v>10</v>
      </c>
      <c r="AV15" s="37">
        <v>12</v>
      </c>
      <c r="AW15" s="37">
        <v>6</v>
      </c>
      <c r="AX15" s="37">
        <v>8</v>
      </c>
      <c r="AY15" s="37">
        <v>25</v>
      </c>
      <c r="AZ15" s="37">
        <v>10</v>
      </c>
      <c r="BA15" s="37">
        <v>15</v>
      </c>
      <c r="BC15" s="37">
        <v>15</v>
      </c>
      <c r="BD15" s="37">
        <v>15</v>
      </c>
      <c r="BE15" s="37">
        <v>15</v>
      </c>
      <c r="BF15" s="37">
        <v>10</v>
      </c>
      <c r="BG15" s="37">
        <v>70</v>
      </c>
      <c r="BH15" s="37">
        <v>12</v>
      </c>
      <c r="BJ15" s="37">
        <v>15</v>
      </c>
      <c r="BK15" s="37">
        <v>15</v>
      </c>
      <c r="BL15" s="37">
        <v>15</v>
      </c>
      <c r="BM15" s="37">
        <v>10</v>
      </c>
      <c r="BN15" s="37">
        <v>70</v>
      </c>
      <c r="BO15" s="37">
        <v>12</v>
      </c>
      <c r="BQ15" s="37"/>
      <c r="BR15" s="37"/>
      <c r="BS15" s="37"/>
      <c r="BT15" s="37"/>
      <c r="BU15" s="37"/>
      <c r="BV15" s="37"/>
      <c r="BY15" s="42">
        <f t="shared" si="0"/>
        <v>400</v>
      </c>
      <c r="BZ15" s="37">
        <v>300</v>
      </c>
    </row>
    <row r="16" spans="1:78" ht="30" customHeight="1" x14ac:dyDescent="0.25">
      <c r="A16" s="108">
        <f>IF('11th Data'!A12="","",'11th Data'!A12)</f>
        <v>8</v>
      </c>
      <c r="B16" s="108">
        <f>IF('11th Data'!J12="","",'11th Data'!J12)</f>
        <v>913</v>
      </c>
      <c r="C16" s="108">
        <f>IF('11th Data'!D12="","",'11th Data'!D12)</f>
        <v>12965</v>
      </c>
      <c r="D16" s="40" t="str">
        <f>IF('11th Data'!E12="","",'11th Data'!E12)</f>
        <v>DINESH GURJAR</v>
      </c>
      <c r="E16" s="40" t="str">
        <f>IF('11th Data'!F12="","",'11th Data'!F12)</f>
        <v>KANHEYA LAL GURJAR</v>
      </c>
      <c r="F16" s="40" t="str">
        <f>IF('11th Data'!G12="","",'11th Data'!G12)</f>
        <v>NARAYANI DEVI</v>
      </c>
      <c r="G16" s="108" t="str">
        <f>IF('11th Data'!H12="","",'11th Data'!H12)</f>
        <v>BOY</v>
      </c>
      <c r="H16" s="41">
        <f>IF('11th Data'!I12="","",'11th Data'!I12)</f>
        <v>38327</v>
      </c>
      <c r="I16" s="108" t="str">
        <f>IF('11th Data'!K12="","",'11th Data'!K12)</f>
        <v>SBC</v>
      </c>
      <c r="K16" s="37">
        <v>10</v>
      </c>
      <c r="L16" s="37">
        <v>20</v>
      </c>
      <c r="M16" s="37">
        <v>10</v>
      </c>
      <c r="N16" s="37">
        <v>5</v>
      </c>
      <c r="O16" s="37">
        <v>38</v>
      </c>
      <c r="P16" s="37">
        <v>16</v>
      </c>
      <c r="R16" s="37">
        <v>10</v>
      </c>
      <c r="S16" s="37">
        <v>10</v>
      </c>
      <c r="T16" s="37">
        <v>30</v>
      </c>
      <c r="U16" s="37">
        <v>10</v>
      </c>
      <c r="V16" s="37">
        <v>32</v>
      </c>
      <c r="W16" s="37">
        <v>13</v>
      </c>
      <c r="Y16" s="109"/>
      <c r="Z16" s="37">
        <v>10</v>
      </c>
      <c r="AA16" s="37">
        <v>10</v>
      </c>
      <c r="AB16" s="37">
        <v>30</v>
      </c>
      <c r="AC16" s="37">
        <v>10</v>
      </c>
      <c r="AD16" s="37"/>
      <c r="AE16" s="37">
        <v>30</v>
      </c>
      <c r="AF16" s="37">
        <v>11</v>
      </c>
      <c r="AG16" s="37"/>
      <c r="AI16" s="109"/>
      <c r="AJ16" s="37">
        <v>10</v>
      </c>
      <c r="AK16" s="37">
        <v>10</v>
      </c>
      <c r="AL16" s="37">
        <v>30</v>
      </c>
      <c r="AM16" s="37">
        <v>10</v>
      </c>
      <c r="AN16" s="37"/>
      <c r="AO16" s="37">
        <v>50</v>
      </c>
      <c r="AP16" s="37">
        <v>10</v>
      </c>
      <c r="AQ16" s="37"/>
      <c r="AS16" s="109"/>
      <c r="AT16" s="37">
        <v>10</v>
      </c>
      <c r="AU16" s="37">
        <v>10</v>
      </c>
      <c r="AV16" s="37">
        <v>18</v>
      </c>
      <c r="AW16" s="37">
        <v>4</v>
      </c>
      <c r="AX16" s="37">
        <v>10</v>
      </c>
      <c r="AY16" s="37">
        <v>28</v>
      </c>
      <c r="AZ16" s="37">
        <v>8</v>
      </c>
      <c r="BA16" s="37">
        <v>18</v>
      </c>
      <c r="BC16" s="37">
        <v>15</v>
      </c>
      <c r="BD16" s="37">
        <v>15</v>
      </c>
      <c r="BE16" s="37">
        <v>15</v>
      </c>
      <c r="BF16" s="37">
        <v>10</v>
      </c>
      <c r="BG16" s="37">
        <v>70</v>
      </c>
      <c r="BH16" s="37">
        <v>12</v>
      </c>
      <c r="BJ16" s="37">
        <v>15</v>
      </c>
      <c r="BK16" s="37">
        <v>15</v>
      </c>
      <c r="BL16" s="37">
        <v>15</v>
      </c>
      <c r="BM16" s="37">
        <v>10</v>
      </c>
      <c r="BN16" s="37">
        <v>70</v>
      </c>
      <c r="BO16" s="37">
        <v>12</v>
      </c>
      <c r="BQ16" s="37"/>
      <c r="BR16" s="37"/>
      <c r="BS16" s="37"/>
      <c r="BT16" s="37"/>
      <c r="BU16" s="37"/>
      <c r="BV16" s="37"/>
      <c r="BY16" s="42">
        <f t="shared" si="0"/>
        <v>400</v>
      </c>
      <c r="BZ16" s="37">
        <v>300</v>
      </c>
    </row>
    <row r="17" spans="1:78" ht="30" customHeight="1" x14ac:dyDescent="0.25">
      <c r="A17" s="108">
        <f>IF('11th Data'!A13="","",'11th Data'!A13)</f>
        <v>9</v>
      </c>
      <c r="B17" s="108">
        <f>IF('11th Data'!J13="","",'11th Data'!J13)</f>
        <v>914</v>
      </c>
      <c r="C17" s="108">
        <f>IF('11th Data'!D13="","",'11th Data'!D13)</f>
        <v>13523</v>
      </c>
      <c r="D17" s="40" t="str">
        <f>IF('11th Data'!E13="","",'11th Data'!E13)</f>
        <v>GOVIND NANGARACHI</v>
      </c>
      <c r="E17" s="40" t="str">
        <f>IF('11th Data'!F13="","",'11th Data'!F13)</f>
        <v>MANGI LAL NANGARACHI</v>
      </c>
      <c r="F17" s="40" t="str">
        <f>IF('11th Data'!G13="","",'11th Data'!G13)</f>
        <v>KAILASHI DEVI</v>
      </c>
      <c r="G17" s="108" t="str">
        <f>IF('11th Data'!H13="","",'11th Data'!H13)</f>
        <v>BOY</v>
      </c>
      <c r="H17" s="41">
        <f>IF('11th Data'!I13="","",'11th Data'!I13)</f>
        <v>38543</v>
      </c>
      <c r="I17" s="108" t="str">
        <f>IF('11th Data'!K13="","",'11th Data'!K13)</f>
        <v>SC</v>
      </c>
      <c r="K17" s="37">
        <v>10</v>
      </c>
      <c r="L17" s="37">
        <v>10</v>
      </c>
      <c r="M17" s="37">
        <v>30</v>
      </c>
      <c r="N17" s="37">
        <v>10</v>
      </c>
      <c r="O17" s="37">
        <v>39</v>
      </c>
      <c r="P17" s="37">
        <v>16</v>
      </c>
      <c r="R17" s="37">
        <v>15</v>
      </c>
      <c r="S17" s="37">
        <v>15</v>
      </c>
      <c r="T17" s="37">
        <v>30</v>
      </c>
      <c r="U17" s="37">
        <v>10</v>
      </c>
      <c r="V17" s="37">
        <v>33</v>
      </c>
      <c r="W17" s="37">
        <v>13</v>
      </c>
      <c r="Y17" s="109"/>
      <c r="Z17" s="37">
        <v>15</v>
      </c>
      <c r="AA17" s="37">
        <v>15</v>
      </c>
      <c r="AB17" s="37">
        <v>30</v>
      </c>
      <c r="AC17" s="37">
        <v>10</v>
      </c>
      <c r="AD17" s="37"/>
      <c r="AE17" s="37">
        <v>60</v>
      </c>
      <c r="AF17" s="37">
        <v>11</v>
      </c>
      <c r="AG17" s="37"/>
      <c r="AI17" s="109"/>
      <c r="AJ17" s="37">
        <v>15</v>
      </c>
      <c r="AK17" s="37">
        <v>15</v>
      </c>
      <c r="AL17" s="37">
        <v>30</v>
      </c>
      <c r="AM17" s="37">
        <v>10</v>
      </c>
      <c r="AN17" s="37"/>
      <c r="AO17" s="37">
        <v>60</v>
      </c>
      <c r="AP17" s="37">
        <v>5</v>
      </c>
      <c r="AQ17" s="37"/>
      <c r="AS17" s="109"/>
      <c r="AT17" s="37">
        <v>15</v>
      </c>
      <c r="AU17" s="37">
        <v>15</v>
      </c>
      <c r="AV17" s="37">
        <v>15</v>
      </c>
      <c r="AW17" s="37">
        <v>10</v>
      </c>
      <c r="AX17" s="37">
        <v>12</v>
      </c>
      <c r="AY17" s="37">
        <v>29</v>
      </c>
      <c r="AZ17" s="37">
        <v>10</v>
      </c>
      <c r="BA17" s="37">
        <v>18</v>
      </c>
      <c r="BC17" s="37">
        <v>15</v>
      </c>
      <c r="BD17" s="37">
        <v>15</v>
      </c>
      <c r="BE17" s="37">
        <v>15</v>
      </c>
      <c r="BF17" s="37">
        <v>10</v>
      </c>
      <c r="BG17" s="37">
        <v>70</v>
      </c>
      <c r="BH17" s="37">
        <v>12</v>
      </c>
      <c r="BJ17" s="37">
        <v>15</v>
      </c>
      <c r="BK17" s="37">
        <v>15</v>
      </c>
      <c r="BL17" s="37">
        <v>15</v>
      </c>
      <c r="BM17" s="37">
        <v>10</v>
      </c>
      <c r="BN17" s="37">
        <v>70</v>
      </c>
      <c r="BO17" s="37">
        <v>12</v>
      </c>
      <c r="BQ17" s="37"/>
      <c r="BR17" s="37"/>
      <c r="BS17" s="37"/>
      <c r="BT17" s="37"/>
      <c r="BU17" s="37"/>
      <c r="BV17" s="37"/>
      <c r="BY17" s="42">
        <f t="shared" si="0"/>
        <v>400</v>
      </c>
      <c r="BZ17" s="37">
        <v>300</v>
      </c>
    </row>
    <row r="18" spans="1:78" ht="30" customHeight="1" x14ac:dyDescent="0.25">
      <c r="A18" s="108">
        <f>IF('11th Data'!A14="","",'11th Data'!A14)</f>
        <v>10</v>
      </c>
      <c r="B18" s="108">
        <f>IF('11th Data'!J14="","",'11th Data'!J14)</f>
        <v>915</v>
      </c>
      <c r="C18" s="108">
        <f>IF('11th Data'!D14="","",'11th Data'!D14)</f>
        <v>13319</v>
      </c>
      <c r="D18" s="40" t="str">
        <f>IF('11th Data'!E14="","",'11th Data'!E14)</f>
        <v>INDRA SINGH</v>
      </c>
      <c r="E18" s="40" t="str">
        <f>IF('11th Data'!F14="","",'11th Data'!F14)</f>
        <v>NAIN SINGH</v>
      </c>
      <c r="F18" s="40" t="str">
        <f>IF('11th Data'!G14="","",'11th Data'!G14)</f>
        <v>MEETHU KANWAR</v>
      </c>
      <c r="G18" s="108" t="str">
        <f>IF('11th Data'!H14="","",'11th Data'!H14)</f>
        <v>BOY</v>
      </c>
      <c r="H18" s="41">
        <f>IF('11th Data'!I14="","",'11th Data'!I14)</f>
        <v>37816</v>
      </c>
      <c r="I18" s="108" t="str">
        <f>IF('11th Data'!K14="","",'11th Data'!K14)</f>
        <v>GEN</v>
      </c>
      <c r="K18" s="37">
        <v>10</v>
      </c>
      <c r="L18" s="37">
        <v>10</v>
      </c>
      <c r="M18" s="37">
        <v>12</v>
      </c>
      <c r="N18" s="37">
        <v>4</v>
      </c>
      <c r="O18" s="37">
        <v>40</v>
      </c>
      <c r="P18" s="37">
        <v>16</v>
      </c>
      <c r="R18" s="37">
        <v>5</v>
      </c>
      <c r="S18" s="37">
        <v>10</v>
      </c>
      <c r="T18" s="37">
        <v>12</v>
      </c>
      <c r="U18" s="37">
        <v>4</v>
      </c>
      <c r="V18" s="37">
        <v>34</v>
      </c>
      <c r="W18" s="37">
        <v>13</v>
      </c>
      <c r="Y18" s="109"/>
      <c r="Z18" s="37">
        <v>12</v>
      </c>
      <c r="AA18" s="37">
        <v>10</v>
      </c>
      <c r="AB18" s="37">
        <v>12</v>
      </c>
      <c r="AC18" s="37">
        <v>4</v>
      </c>
      <c r="AD18" s="37"/>
      <c r="AE18" s="37">
        <v>40</v>
      </c>
      <c r="AF18" s="37">
        <v>11</v>
      </c>
      <c r="AG18" s="37"/>
      <c r="AI18" s="109"/>
      <c r="AJ18" s="37">
        <v>6</v>
      </c>
      <c r="AK18" s="37">
        <v>10</v>
      </c>
      <c r="AL18" s="37">
        <v>12</v>
      </c>
      <c r="AM18" s="37">
        <v>4</v>
      </c>
      <c r="AN18" s="37"/>
      <c r="AO18" s="37">
        <v>40</v>
      </c>
      <c r="AP18" s="37">
        <v>4</v>
      </c>
      <c r="AQ18" s="37"/>
      <c r="AS18" s="109"/>
      <c r="AT18" s="37">
        <v>15</v>
      </c>
      <c r="AU18" s="37">
        <v>10</v>
      </c>
      <c r="AV18" s="37">
        <v>12</v>
      </c>
      <c r="AW18" s="37">
        <v>1</v>
      </c>
      <c r="AX18" s="37">
        <v>10</v>
      </c>
      <c r="AY18" s="37">
        <v>15</v>
      </c>
      <c r="AZ18" s="37">
        <v>12</v>
      </c>
      <c r="BA18" s="37">
        <v>15</v>
      </c>
      <c r="BC18" s="37">
        <v>15</v>
      </c>
      <c r="BD18" s="37">
        <v>15</v>
      </c>
      <c r="BE18" s="37">
        <v>15</v>
      </c>
      <c r="BF18" s="37">
        <v>10</v>
      </c>
      <c r="BG18" s="37">
        <v>70</v>
      </c>
      <c r="BH18" s="37">
        <v>12</v>
      </c>
      <c r="BJ18" s="37">
        <v>15</v>
      </c>
      <c r="BK18" s="37">
        <v>15</v>
      </c>
      <c r="BL18" s="37">
        <v>15</v>
      </c>
      <c r="BM18" s="37">
        <v>10</v>
      </c>
      <c r="BN18" s="37">
        <v>70</v>
      </c>
      <c r="BO18" s="37">
        <v>12</v>
      </c>
      <c r="BQ18" s="37"/>
      <c r="BR18" s="37"/>
      <c r="BS18" s="37"/>
      <c r="BT18" s="37"/>
      <c r="BU18" s="37"/>
      <c r="BV18" s="37"/>
      <c r="BY18" s="42">
        <f t="shared" si="0"/>
        <v>400</v>
      </c>
      <c r="BZ18" s="37">
        <v>300</v>
      </c>
    </row>
    <row r="19" spans="1:78" ht="30" customHeight="1" x14ac:dyDescent="0.25">
      <c r="A19" s="108">
        <f>IF('11th Data'!A15="","",'11th Data'!A15)</f>
        <v>11</v>
      </c>
      <c r="B19" s="108">
        <f>IF('11th Data'!J15="","",'11th Data'!J15)</f>
        <v>916</v>
      </c>
      <c r="C19" s="108">
        <f>IF('11th Data'!D15="","",'11th Data'!D15)</f>
        <v>13423</v>
      </c>
      <c r="D19" s="40" t="str">
        <f>IF('11th Data'!E15="","",'11th Data'!E15)</f>
        <v>JITENDRA SINGH</v>
      </c>
      <c r="E19" s="40" t="str">
        <f>IF('11th Data'!F15="","",'11th Data'!F15)</f>
        <v>BHAN SINGH</v>
      </c>
      <c r="F19" s="40" t="str">
        <f>IF('11th Data'!G15="","",'11th Data'!G15)</f>
        <v>DHULI DEVI</v>
      </c>
      <c r="G19" s="108" t="str">
        <f>IF('11th Data'!H15="","",'11th Data'!H15)</f>
        <v>BOY</v>
      </c>
      <c r="H19" s="41">
        <f>IF('11th Data'!I15="","",'11th Data'!I15)</f>
        <v>37726</v>
      </c>
      <c r="I19" s="108" t="str">
        <f>IF('11th Data'!K15="","",'11th Data'!K15)</f>
        <v>OBC</v>
      </c>
      <c r="K19" s="37">
        <v>15</v>
      </c>
      <c r="L19" s="37">
        <v>15</v>
      </c>
      <c r="M19" s="37">
        <v>20</v>
      </c>
      <c r="N19" s="37">
        <v>10</v>
      </c>
      <c r="O19" s="37">
        <v>41</v>
      </c>
      <c r="P19" s="37">
        <v>16</v>
      </c>
      <c r="R19" s="37">
        <v>10</v>
      </c>
      <c r="S19" s="37">
        <v>10</v>
      </c>
      <c r="T19" s="37">
        <v>10</v>
      </c>
      <c r="U19" s="37">
        <v>10</v>
      </c>
      <c r="V19" s="37">
        <v>35</v>
      </c>
      <c r="W19" s="37">
        <v>13</v>
      </c>
      <c r="Y19" s="109"/>
      <c r="Z19" s="37">
        <v>10</v>
      </c>
      <c r="AA19" s="37">
        <v>10</v>
      </c>
      <c r="AB19" s="37">
        <v>30</v>
      </c>
      <c r="AC19" s="37">
        <v>10</v>
      </c>
      <c r="AD19" s="37"/>
      <c r="AE19" s="37">
        <v>30</v>
      </c>
      <c r="AF19" s="37">
        <v>11</v>
      </c>
      <c r="AG19" s="37"/>
      <c r="AI19" s="109"/>
      <c r="AJ19" s="37">
        <v>10</v>
      </c>
      <c r="AK19" s="37">
        <v>10</v>
      </c>
      <c r="AL19" s="37">
        <v>30</v>
      </c>
      <c r="AM19" s="37">
        <v>10</v>
      </c>
      <c r="AN19" s="37"/>
      <c r="AO19" s="37">
        <v>50</v>
      </c>
      <c r="AP19" s="37">
        <v>15</v>
      </c>
      <c r="AQ19" s="37"/>
      <c r="AS19" s="109"/>
      <c r="AT19" s="37">
        <v>10</v>
      </c>
      <c r="AU19" s="37">
        <v>10</v>
      </c>
      <c r="AV19" s="37">
        <v>18</v>
      </c>
      <c r="AW19" s="37">
        <v>8</v>
      </c>
      <c r="AX19" s="37">
        <v>4</v>
      </c>
      <c r="AY19" s="37">
        <v>20</v>
      </c>
      <c r="AZ19" s="37">
        <v>10</v>
      </c>
      <c r="BA19" s="37">
        <v>16</v>
      </c>
      <c r="BC19" s="37">
        <v>15</v>
      </c>
      <c r="BD19" s="37">
        <v>15</v>
      </c>
      <c r="BE19" s="37">
        <v>15</v>
      </c>
      <c r="BF19" s="37">
        <v>10</v>
      </c>
      <c r="BG19" s="37">
        <v>70</v>
      </c>
      <c r="BH19" s="37">
        <v>12</v>
      </c>
      <c r="BJ19" s="37">
        <v>15</v>
      </c>
      <c r="BK19" s="37">
        <v>15</v>
      </c>
      <c r="BL19" s="37">
        <v>15</v>
      </c>
      <c r="BM19" s="37">
        <v>10</v>
      </c>
      <c r="BN19" s="37">
        <v>70</v>
      </c>
      <c r="BO19" s="37">
        <v>12</v>
      </c>
      <c r="BQ19" s="37"/>
      <c r="BR19" s="37"/>
      <c r="BS19" s="37"/>
      <c r="BT19" s="37"/>
      <c r="BU19" s="37"/>
      <c r="BV19" s="37"/>
      <c r="BY19" s="42">
        <f t="shared" si="0"/>
        <v>400</v>
      </c>
      <c r="BZ19" s="37">
        <v>300</v>
      </c>
    </row>
    <row r="20" spans="1:78" ht="30" customHeight="1" x14ac:dyDescent="0.25">
      <c r="A20" s="108">
        <f>IF('11th Data'!A16="","",'11th Data'!A16)</f>
        <v>12</v>
      </c>
      <c r="B20" s="108">
        <f>IF('11th Data'!J16="","",'11th Data'!J16)</f>
        <v>917</v>
      </c>
      <c r="C20" s="108">
        <f>IF('11th Data'!D16="","",'11th Data'!D16)</f>
        <v>12939</v>
      </c>
      <c r="D20" s="40" t="str">
        <f>IF('11th Data'!E16="","",'11th Data'!E16)</f>
        <v>KOSHLENDRA SINGH BALLA</v>
      </c>
      <c r="E20" s="40" t="str">
        <f>IF('11th Data'!F16="","",'11th Data'!F16)</f>
        <v>MANOHAR SINGH BALLA</v>
      </c>
      <c r="F20" s="40" t="str">
        <f>IF('11th Data'!G16="","",'11th Data'!G16)</f>
        <v>VISHNU KANWAR</v>
      </c>
      <c r="G20" s="108" t="str">
        <f>IF('11th Data'!H16="","",'11th Data'!H16)</f>
        <v>BOY</v>
      </c>
      <c r="H20" s="41">
        <f>IF('11th Data'!I16="","",'11th Data'!I16)</f>
        <v>38768</v>
      </c>
      <c r="I20" s="108" t="str">
        <f>IF('11th Data'!K16="","",'11th Data'!K16)</f>
        <v>GEN</v>
      </c>
      <c r="K20" s="37">
        <v>5</v>
      </c>
      <c r="L20" s="37">
        <v>5</v>
      </c>
      <c r="M20" s="37">
        <v>5</v>
      </c>
      <c r="N20" s="37">
        <v>5</v>
      </c>
      <c r="O20" s="37">
        <v>42</v>
      </c>
      <c r="P20" s="37">
        <v>16</v>
      </c>
      <c r="R20" s="37">
        <v>5</v>
      </c>
      <c r="S20" s="37">
        <v>5</v>
      </c>
      <c r="T20" s="37">
        <v>5</v>
      </c>
      <c r="U20" s="37">
        <v>5</v>
      </c>
      <c r="V20" s="37">
        <v>36</v>
      </c>
      <c r="W20" s="37">
        <v>13</v>
      </c>
      <c r="Y20" s="109"/>
      <c r="Z20" s="37">
        <v>5</v>
      </c>
      <c r="AA20" s="37">
        <v>5</v>
      </c>
      <c r="AB20" s="37">
        <v>5</v>
      </c>
      <c r="AC20" s="37">
        <v>5</v>
      </c>
      <c r="AD20" s="37"/>
      <c r="AE20" s="37">
        <v>5</v>
      </c>
      <c r="AF20" s="37">
        <v>11</v>
      </c>
      <c r="AG20" s="37"/>
      <c r="AI20" s="109"/>
      <c r="AJ20" s="37">
        <v>5</v>
      </c>
      <c r="AK20" s="37">
        <v>5</v>
      </c>
      <c r="AL20" s="37">
        <v>5</v>
      </c>
      <c r="AM20" s="37">
        <v>5</v>
      </c>
      <c r="AN20" s="37"/>
      <c r="AO20" s="37">
        <v>5</v>
      </c>
      <c r="AP20" s="37">
        <v>10</v>
      </c>
      <c r="AQ20" s="37"/>
      <c r="AS20" s="109"/>
      <c r="AT20" s="37">
        <v>5</v>
      </c>
      <c r="AU20" s="37">
        <v>5</v>
      </c>
      <c r="AV20" s="37">
        <v>17</v>
      </c>
      <c r="AW20" s="37">
        <v>5</v>
      </c>
      <c r="AX20" s="37">
        <v>10</v>
      </c>
      <c r="AY20" s="37">
        <v>28</v>
      </c>
      <c r="AZ20" s="37">
        <v>11</v>
      </c>
      <c r="BA20" s="37">
        <v>14</v>
      </c>
      <c r="BC20" s="37">
        <v>15</v>
      </c>
      <c r="BD20" s="37">
        <v>15</v>
      </c>
      <c r="BE20" s="37">
        <v>15</v>
      </c>
      <c r="BF20" s="37">
        <v>10</v>
      </c>
      <c r="BG20" s="37">
        <v>70</v>
      </c>
      <c r="BH20" s="37">
        <v>12</v>
      </c>
      <c r="BJ20" s="37">
        <v>15</v>
      </c>
      <c r="BK20" s="37">
        <v>15</v>
      </c>
      <c r="BL20" s="37">
        <v>15</v>
      </c>
      <c r="BM20" s="37">
        <v>10</v>
      </c>
      <c r="BN20" s="37">
        <v>70</v>
      </c>
      <c r="BO20" s="37">
        <v>12</v>
      </c>
      <c r="BQ20" s="37"/>
      <c r="BR20" s="37"/>
      <c r="BS20" s="37"/>
      <c r="BT20" s="37"/>
      <c r="BU20" s="37"/>
      <c r="BV20" s="37"/>
      <c r="BY20" s="42">
        <f t="shared" si="0"/>
        <v>400</v>
      </c>
      <c r="BZ20" s="37">
        <v>300</v>
      </c>
    </row>
    <row r="21" spans="1:78" ht="30" customHeight="1" x14ac:dyDescent="0.25">
      <c r="A21" s="108">
        <f>IF('11th Data'!A17="","",'11th Data'!A17)</f>
        <v>13</v>
      </c>
      <c r="B21" s="108">
        <f>IF('11th Data'!J17="","",'11th Data'!J17)</f>
        <v>918</v>
      </c>
      <c r="C21" s="108">
        <f>IF('11th Data'!D17="","",'11th Data'!D17)</f>
        <v>13263</v>
      </c>
      <c r="D21" s="40" t="str">
        <f>IF('11th Data'!E17="","",'11th Data'!E17)</f>
        <v>NARAYAN SINGH</v>
      </c>
      <c r="E21" s="40" t="str">
        <f>IF('11th Data'!F17="","",'11th Data'!F17)</f>
        <v>RAM SINGH</v>
      </c>
      <c r="F21" s="40" t="str">
        <f>IF('11th Data'!G17="","",'11th Data'!G17)</f>
        <v>RAMU KANWAR</v>
      </c>
      <c r="G21" s="108" t="str">
        <f>IF('11th Data'!H17="","",'11th Data'!H17)</f>
        <v>BOY</v>
      </c>
      <c r="H21" s="41">
        <f>IF('11th Data'!I17="","",'11th Data'!I17)</f>
        <v>37695</v>
      </c>
      <c r="I21" s="108" t="str">
        <f>IF('11th Data'!K17="","",'11th Data'!K17)</f>
        <v>GEN</v>
      </c>
      <c r="K21" s="37">
        <v>10</v>
      </c>
      <c r="L21" s="37">
        <v>9</v>
      </c>
      <c r="M21" s="37">
        <v>5</v>
      </c>
      <c r="N21" s="37">
        <v>5</v>
      </c>
      <c r="O21" s="37">
        <v>43</v>
      </c>
      <c r="P21" s="37">
        <v>16</v>
      </c>
      <c r="R21" s="37">
        <v>10</v>
      </c>
      <c r="S21" s="37">
        <v>10</v>
      </c>
      <c r="T21" s="37">
        <v>30</v>
      </c>
      <c r="U21" s="37">
        <v>10</v>
      </c>
      <c r="V21" s="37">
        <v>37</v>
      </c>
      <c r="W21" s="37">
        <v>13</v>
      </c>
      <c r="Y21" s="109"/>
      <c r="Z21" s="37">
        <v>18</v>
      </c>
      <c r="AA21" s="37">
        <v>18</v>
      </c>
      <c r="AB21" s="37">
        <v>40</v>
      </c>
      <c r="AC21" s="37">
        <v>10</v>
      </c>
      <c r="AD21" s="37"/>
      <c r="AE21" s="37">
        <v>65</v>
      </c>
      <c r="AF21" s="37">
        <v>11</v>
      </c>
      <c r="AG21" s="37"/>
      <c r="AI21" s="109"/>
      <c r="AJ21" s="37">
        <v>5</v>
      </c>
      <c r="AK21" s="37">
        <v>5</v>
      </c>
      <c r="AL21" s="37">
        <v>18</v>
      </c>
      <c r="AM21" s="37">
        <v>10</v>
      </c>
      <c r="AN21" s="37"/>
      <c r="AO21" s="37">
        <v>30</v>
      </c>
      <c r="AP21" s="37">
        <v>9</v>
      </c>
      <c r="AQ21" s="37"/>
      <c r="AS21" s="109"/>
      <c r="AT21" s="37">
        <v>10</v>
      </c>
      <c r="AU21" s="37">
        <v>10</v>
      </c>
      <c r="AV21" s="37">
        <v>16</v>
      </c>
      <c r="AW21" s="37">
        <v>5</v>
      </c>
      <c r="AX21" s="37">
        <v>15</v>
      </c>
      <c r="AY21" s="37">
        <v>25</v>
      </c>
      <c r="AZ21" s="37">
        <v>10</v>
      </c>
      <c r="BA21" s="37">
        <v>12</v>
      </c>
      <c r="BC21" s="37">
        <v>15</v>
      </c>
      <c r="BD21" s="37">
        <v>15</v>
      </c>
      <c r="BE21" s="37">
        <v>15</v>
      </c>
      <c r="BF21" s="37">
        <v>10</v>
      </c>
      <c r="BG21" s="37">
        <v>70</v>
      </c>
      <c r="BH21" s="37">
        <v>12</v>
      </c>
      <c r="BJ21" s="37">
        <v>15</v>
      </c>
      <c r="BK21" s="37">
        <v>15</v>
      </c>
      <c r="BL21" s="37">
        <v>15</v>
      </c>
      <c r="BM21" s="37">
        <v>10</v>
      </c>
      <c r="BN21" s="37">
        <v>70</v>
      </c>
      <c r="BO21" s="37">
        <v>12</v>
      </c>
      <c r="BQ21" s="37"/>
      <c r="BR21" s="37"/>
      <c r="BS21" s="37"/>
      <c r="BT21" s="37"/>
      <c r="BU21" s="37"/>
      <c r="BV21" s="37"/>
      <c r="BY21" s="42">
        <f t="shared" si="0"/>
        <v>400</v>
      </c>
      <c r="BZ21" s="37">
        <v>300</v>
      </c>
    </row>
    <row r="22" spans="1:78" ht="30" customHeight="1" x14ac:dyDescent="0.25">
      <c r="A22" s="108">
        <f>IF('11th Data'!A18="","",'11th Data'!A18)</f>
        <v>14</v>
      </c>
      <c r="B22" s="108">
        <f>IF('11th Data'!J18="","",'11th Data'!J18)</f>
        <v>919</v>
      </c>
      <c r="C22" s="108">
        <f>IF('11th Data'!D18="","",'11th Data'!D18)</f>
        <v>12336</v>
      </c>
      <c r="D22" s="40" t="str">
        <f>IF('11th Data'!E18="","",'11th Data'!E18)</f>
        <v>NARESH KUMAR REGAR</v>
      </c>
      <c r="E22" s="40" t="str">
        <f>IF('11th Data'!F18="","",'11th Data'!F18)</f>
        <v>RAM LAL REGAR</v>
      </c>
      <c r="F22" s="40" t="str">
        <f>IF('11th Data'!G18="","",'11th Data'!G18)</f>
        <v>RADHA DEVI REGAR</v>
      </c>
      <c r="G22" s="108" t="str">
        <f>IF('11th Data'!H18="","",'11th Data'!H18)</f>
        <v>BOY</v>
      </c>
      <c r="H22" s="41">
        <f>IF('11th Data'!I18="","",'11th Data'!I18)</f>
        <v>38171</v>
      </c>
      <c r="I22" s="108" t="str">
        <f>IF('11th Data'!K18="","",'11th Data'!K18)</f>
        <v>SC</v>
      </c>
      <c r="K22" s="37">
        <v>10</v>
      </c>
      <c r="L22" s="37">
        <v>20</v>
      </c>
      <c r="M22" s="37">
        <v>10</v>
      </c>
      <c r="N22" s="37">
        <v>5</v>
      </c>
      <c r="O22" s="37">
        <v>44</v>
      </c>
      <c r="P22" s="37">
        <v>16</v>
      </c>
      <c r="R22" s="37">
        <v>10</v>
      </c>
      <c r="S22" s="37">
        <v>10</v>
      </c>
      <c r="T22" s="37">
        <v>30</v>
      </c>
      <c r="U22" s="37">
        <v>10</v>
      </c>
      <c r="V22" s="37">
        <v>38</v>
      </c>
      <c r="W22" s="37">
        <v>13</v>
      </c>
      <c r="Y22" s="109"/>
      <c r="Z22" s="37">
        <v>10</v>
      </c>
      <c r="AA22" s="37">
        <v>10</v>
      </c>
      <c r="AB22" s="37">
        <v>30</v>
      </c>
      <c r="AC22" s="37">
        <v>10</v>
      </c>
      <c r="AD22" s="37"/>
      <c r="AE22" s="37">
        <v>30</v>
      </c>
      <c r="AF22" s="37">
        <v>11</v>
      </c>
      <c r="AG22" s="37"/>
      <c r="AI22" s="109"/>
      <c r="AJ22" s="37">
        <v>10</v>
      </c>
      <c r="AK22" s="37">
        <v>10</v>
      </c>
      <c r="AL22" s="37">
        <v>30</v>
      </c>
      <c r="AM22" s="37">
        <v>10</v>
      </c>
      <c r="AN22" s="37"/>
      <c r="AO22" s="37">
        <v>50</v>
      </c>
      <c r="AP22" s="37">
        <v>8</v>
      </c>
      <c r="AQ22" s="37"/>
      <c r="AS22" s="109"/>
      <c r="AT22" s="37">
        <v>10</v>
      </c>
      <c r="AU22" s="37">
        <v>10</v>
      </c>
      <c r="AV22" s="37">
        <v>15</v>
      </c>
      <c r="AW22" s="37">
        <v>8</v>
      </c>
      <c r="AX22" s="37">
        <v>10</v>
      </c>
      <c r="AY22" s="37">
        <v>31</v>
      </c>
      <c r="AZ22" s="37">
        <v>8</v>
      </c>
      <c r="BA22" s="37">
        <v>13</v>
      </c>
      <c r="BC22" s="37">
        <v>15</v>
      </c>
      <c r="BD22" s="37">
        <v>15</v>
      </c>
      <c r="BE22" s="37">
        <v>15</v>
      </c>
      <c r="BF22" s="37">
        <v>10</v>
      </c>
      <c r="BG22" s="37">
        <v>70</v>
      </c>
      <c r="BH22" s="37">
        <v>12</v>
      </c>
      <c r="BJ22" s="37">
        <v>15</v>
      </c>
      <c r="BK22" s="37">
        <v>15</v>
      </c>
      <c r="BL22" s="37">
        <v>15</v>
      </c>
      <c r="BM22" s="37">
        <v>10</v>
      </c>
      <c r="BN22" s="37">
        <v>70</v>
      </c>
      <c r="BO22" s="37">
        <v>12</v>
      </c>
      <c r="BQ22" s="37"/>
      <c r="BR22" s="37"/>
      <c r="BS22" s="37"/>
      <c r="BT22" s="37"/>
      <c r="BU22" s="37"/>
      <c r="BV22" s="37"/>
      <c r="BY22" s="42">
        <f t="shared" si="0"/>
        <v>400</v>
      </c>
      <c r="BZ22" s="37">
        <v>300</v>
      </c>
    </row>
    <row r="23" spans="1:78" ht="30" customHeight="1" x14ac:dyDescent="0.25">
      <c r="A23" s="108">
        <f>IF('11th Data'!A19="","",'11th Data'!A19)</f>
        <v>15</v>
      </c>
      <c r="B23" s="108">
        <f>IF('11th Data'!J19="","",'11th Data'!J19)</f>
        <v>920</v>
      </c>
      <c r="C23" s="108">
        <f>IF('11th Data'!D19="","",'11th Data'!D19)</f>
        <v>12323</v>
      </c>
      <c r="D23" s="40" t="str">
        <f>IF('11th Data'!E19="","",'11th Data'!E19)</f>
        <v>NARESH MALI</v>
      </c>
      <c r="E23" s="40" t="str">
        <f>IF('11th Data'!F19="","",'11th Data'!F19)</f>
        <v>BHERU LAL</v>
      </c>
      <c r="F23" s="40" t="str">
        <f>IF('11th Data'!G19="","",'11th Data'!G19)</f>
        <v>RADHA MALI</v>
      </c>
      <c r="G23" s="108" t="str">
        <f>IF('11th Data'!H19="","",'11th Data'!H19)</f>
        <v>BOY</v>
      </c>
      <c r="H23" s="41">
        <f>IF('11th Data'!I19="","",'11th Data'!I19)</f>
        <v>37818</v>
      </c>
      <c r="I23" s="108" t="str">
        <f>IF('11th Data'!K19="","",'11th Data'!K19)</f>
        <v>OBC</v>
      </c>
      <c r="K23" s="37">
        <v>10</v>
      </c>
      <c r="L23" s="37">
        <v>20</v>
      </c>
      <c r="M23" s="37">
        <v>10</v>
      </c>
      <c r="N23" s="37">
        <v>5</v>
      </c>
      <c r="O23" s="37">
        <v>45</v>
      </c>
      <c r="P23" s="37">
        <v>16</v>
      </c>
      <c r="R23" s="37">
        <v>10</v>
      </c>
      <c r="S23" s="37">
        <v>10</v>
      </c>
      <c r="T23" s="37">
        <v>30</v>
      </c>
      <c r="U23" s="37">
        <v>10</v>
      </c>
      <c r="V23" s="37">
        <v>39</v>
      </c>
      <c r="W23" s="37">
        <v>13</v>
      </c>
      <c r="Y23" s="109"/>
      <c r="Z23" s="37">
        <v>10</v>
      </c>
      <c r="AA23" s="37">
        <v>10</v>
      </c>
      <c r="AB23" s="37">
        <v>30</v>
      </c>
      <c r="AC23" s="37">
        <v>10</v>
      </c>
      <c r="AD23" s="37"/>
      <c r="AE23" s="37">
        <v>30</v>
      </c>
      <c r="AF23" s="37">
        <v>11</v>
      </c>
      <c r="AG23" s="37"/>
      <c r="AI23" s="109"/>
      <c r="AJ23" s="37">
        <v>10</v>
      </c>
      <c r="AK23" s="37">
        <v>10</v>
      </c>
      <c r="AL23" s="37">
        <v>30</v>
      </c>
      <c r="AM23" s="37">
        <v>10</v>
      </c>
      <c r="AN23" s="37"/>
      <c r="AO23" s="37">
        <v>50</v>
      </c>
      <c r="AP23" s="37">
        <v>10</v>
      </c>
      <c r="AQ23" s="37"/>
      <c r="AS23" s="109"/>
      <c r="AT23" s="37">
        <v>10</v>
      </c>
      <c r="AU23" s="37">
        <v>10</v>
      </c>
      <c r="AV23" s="37">
        <v>14</v>
      </c>
      <c r="AW23" s="37">
        <v>7</v>
      </c>
      <c r="AX23" s="37">
        <v>11</v>
      </c>
      <c r="AY23" s="37">
        <v>32</v>
      </c>
      <c r="AZ23" s="37">
        <v>10</v>
      </c>
      <c r="BA23" s="37">
        <v>14</v>
      </c>
      <c r="BC23" s="37">
        <v>15</v>
      </c>
      <c r="BD23" s="37">
        <v>15</v>
      </c>
      <c r="BE23" s="37">
        <v>15</v>
      </c>
      <c r="BF23" s="37">
        <v>10</v>
      </c>
      <c r="BG23" s="37">
        <v>70</v>
      </c>
      <c r="BH23" s="37">
        <v>12</v>
      </c>
      <c r="BJ23" s="37">
        <v>15</v>
      </c>
      <c r="BK23" s="37">
        <v>15</v>
      </c>
      <c r="BL23" s="37">
        <v>15</v>
      </c>
      <c r="BM23" s="37">
        <v>10</v>
      </c>
      <c r="BN23" s="37">
        <v>70</v>
      </c>
      <c r="BO23" s="37">
        <v>12</v>
      </c>
      <c r="BQ23" s="37"/>
      <c r="BR23" s="37"/>
      <c r="BS23" s="37"/>
      <c r="BT23" s="37"/>
      <c r="BU23" s="37"/>
      <c r="BV23" s="37"/>
      <c r="BY23" s="42">
        <f t="shared" si="0"/>
        <v>400</v>
      </c>
      <c r="BZ23" s="37">
        <v>300</v>
      </c>
    </row>
    <row r="24" spans="1:78" ht="30" customHeight="1" x14ac:dyDescent="0.25">
      <c r="A24" s="108">
        <f>IF('11th Data'!A20="","",'11th Data'!A20)</f>
        <v>16</v>
      </c>
      <c r="B24" s="108">
        <f>IF('11th Data'!J20="","",'11th Data'!J20)</f>
        <v>921</v>
      </c>
      <c r="C24" s="108">
        <f>IF('11th Data'!D20="","",'11th Data'!D20)</f>
        <v>12824</v>
      </c>
      <c r="D24" s="40" t="str">
        <f>IF('11th Data'!E20="","",'11th Data'!E20)</f>
        <v>PRAHLAD LOHAR</v>
      </c>
      <c r="E24" s="40" t="str">
        <f>IF('11th Data'!F20="","",'11th Data'!F20)</f>
        <v>SHANKAR LAL</v>
      </c>
      <c r="F24" s="40" t="str">
        <f>IF('11th Data'!G20="","",'11th Data'!G20)</f>
        <v>RAMU DEVI</v>
      </c>
      <c r="G24" s="108" t="str">
        <f>IF('11th Data'!H20="","",'11th Data'!H20)</f>
        <v>BOY</v>
      </c>
      <c r="H24" s="41">
        <f>IF('11th Data'!I20="","",'11th Data'!I20)</f>
        <v>38325</v>
      </c>
      <c r="I24" s="108" t="str">
        <f>IF('11th Data'!K20="","",'11th Data'!K20)</f>
        <v>OBC</v>
      </c>
      <c r="K24" s="37">
        <v>10</v>
      </c>
      <c r="L24" s="37">
        <v>20</v>
      </c>
      <c r="M24" s="37">
        <v>10</v>
      </c>
      <c r="N24" s="37">
        <v>5</v>
      </c>
      <c r="O24" s="37">
        <v>46</v>
      </c>
      <c r="P24" s="37">
        <v>16</v>
      </c>
      <c r="R24" s="37">
        <v>10</v>
      </c>
      <c r="S24" s="37">
        <v>10</v>
      </c>
      <c r="T24" s="37">
        <v>30</v>
      </c>
      <c r="U24" s="37">
        <v>10</v>
      </c>
      <c r="V24" s="37">
        <v>40</v>
      </c>
      <c r="W24" s="37">
        <v>13</v>
      </c>
      <c r="Y24" s="109"/>
      <c r="Z24" s="37">
        <v>10</v>
      </c>
      <c r="AA24" s="37">
        <v>10</v>
      </c>
      <c r="AB24" s="37">
        <v>30</v>
      </c>
      <c r="AC24" s="37">
        <v>10</v>
      </c>
      <c r="AD24" s="37"/>
      <c r="AE24" s="37">
        <v>30</v>
      </c>
      <c r="AF24" s="37">
        <v>11</v>
      </c>
      <c r="AG24" s="37"/>
      <c r="AI24" s="109"/>
      <c r="AJ24" s="37">
        <v>10</v>
      </c>
      <c r="AK24" s="37">
        <v>10</v>
      </c>
      <c r="AL24" s="37">
        <v>30</v>
      </c>
      <c r="AM24" s="37">
        <v>10</v>
      </c>
      <c r="AN24" s="37"/>
      <c r="AO24" s="37">
        <v>50</v>
      </c>
      <c r="AP24" s="37">
        <v>12</v>
      </c>
      <c r="AQ24" s="37"/>
      <c r="AS24" s="109"/>
      <c r="AT24" s="37">
        <v>10</v>
      </c>
      <c r="AU24" s="37">
        <v>10</v>
      </c>
      <c r="AV24" s="37">
        <v>15</v>
      </c>
      <c r="AW24" s="37">
        <v>4</v>
      </c>
      <c r="AX24" s="37">
        <v>10</v>
      </c>
      <c r="AY24" s="37">
        <v>30</v>
      </c>
      <c r="AZ24" s="37">
        <v>9</v>
      </c>
      <c r="BA24" s="37">
        <v>15</v>
      </c>
      <c r="BC24" s="37">
        <v>15</v>
      </c>
      <c r="BD24" s="37">
        <v>15</v>
      </c>
      <c r="BE24" s="37">
        <v>15</v>
      </c>
      <c r="BF24" s="37">
        <v>10</v>
      </c>
      <c r="BG24" s="37">
        <v>70</v>
      </c>
      <c r="BH24" s="37">
        <v>12</v>
      </c>
      <c r="BJ24" s="37">
        <v>15</v>
      </c>
      <c r="BK24" s="37">
        <v>15</v>
      </c>
      <c r="BL24" s="37">
        <v>15</v>
      </c>
      <c r="BM24" s="37">
        <v>10</v>
      </c>
      <c r="BN24" s="37">
        <v>70</v>
      </c>
      <c r="BO24" s="37">
        <v>12</v>
      </c>
      <c r="BQ24" s="37"/>
      <c r="BR24" s="37"/>
      <c r="BS24" s="37"/>
      <c r="BT24" s="37"/>
      <c r="BU24" s="37"/>
      <c r="BV24" s="37"/>
      <c r="BY24" s="42">
        <f t="shared" si="0"/>
        <v>400</v>
      </c>
      <c r="BZ24" s="37">
        <v>300</v>
      </c>
    </row>
    <row r="25" spans="1:78" ht="30" customHeight="1" x14ac:dyDescent="0.25">
      <c r="A25" s="108">
        <f>IF('11th Data'!A21="","",'11th Data'!A21)</f>
        <v>17</v>
      </c>
      <c r="B25" s="108">
        <f>IF('11th Data'!J21="","",'11th Data'!J21)</f>
        <v>922</v>
      </c>
      <c r="C25" s="108">
        <f>IF('11th Data'!D21="","",'11th Data'!D21)</f>
        <v>13188</v>
      </c>
      <c r="D25" s="40" t="str">
        <f>IF('11th Data'!E21="","",'11th Data'!E21)</f>
        <v>SHAILENDRA SINGH TANK</v>
      </c>
      <c r="E25" s="40" t="str">
        <f>IF('11th Data'!F21="","",'11th Data'!F21)</f>
        <v>VIKRAM SINGH</v>
      </c>
      <c r="F25" s="40" t="str">
        <f>IF('11th Data'!G21="","",'11th Data'!G21)</f>
        <v>GIRIJA DEVI</v>
      </c>
      <c r="G25" s="108" t="str">
        <f>IF('11th Data'!H21="","",'11th Data'!H21)</f>
        <v>BOY</v>
      </c>
      <c r="H25" s="41">
        <f>IF('11th Data'!I21="","",'11th Data'!I21)</f>
        <v>38918</v>
      </c>
      <c r="I25" s="108" t="str">
        <f>IF('11th Data'!K21="","",'11th Data'!K21)</f>
        <v>OBC</v>
      </c>
      <c r="K25" s="37">
        <v>10</v>
      </c>
      <c r="L25" s="37">
        <v>10</v>
      </c>
      <c r="M25" s="37">
        <v>30</v>
      </c>
      <c r="N25" s="37">
        <v>10</v>
      </c>
      <c r="O25" s="37">
        <v>47</v>
      </c>
      <c r="P25" s="37">
        <v>16</v>
      </c>
      <c r="R25" s="37">
        <v>15</v>
      </c>
      <c r="S25" s="37">
        <v>15</v>
      </c>
      <c r="T25" s="37">
        <v>30</v>
      </c>
      <c r="U25" s="37">
        <v>10</v>
      </c>
      <c r="V25" s="37">
        <v>41</v>
      </c>
      <c r="W25" s="37">
        <v>13</v>
      </c>
      <c r="Y25" s="109"/>
      <c r="Z25" s="37">
        <v>5</v>
      </c>
      <c r="AA25" s="37">
        <v>5</v>
      </c>
      <c r="AB25" s="37">
        <v>15</v>
      </c>
      <c r="AC25" s="37">
        <v>10</v>
      </c>
      <c r="AD25" s="37"/>
      <c r="AE25" s="37">
        <v>30</v>
      </c>
      <c r="AF25" s="37">
        <v>11</v>
      </c>
      <c r="AG25" s="37"/>
      <c r="AI25" s="109"/>
      <c r="AJ25" s="37">
        <v>15</v>
      </c>
      <c r="AK25" s="37">
        <v>15</v>
      </c>
      <c r="AL25" s="37">
        <v>30</v>
      </c>
      <c r="AM25" s="37">
        <v>10</v>
      </c>
      <c r="AN25" s="37"/>
      <c r="AO25" s="37">
        <v>60</v>
      </c>
      <c r="AP25" s="37">
        <v>15</v>
      </c>
      <c r="AQ25" s="37"/>
      <c r="AS25" s="109"/>
      <c r="AT25" s="37">
        <v>15</v>
      </c>
      <c r="AU25" s="37">
        <v>15</v>
      </c>
      <c r="AV25" s="37">
        <v>12</v>
      </c>
      <c r="AW25" s="37">
        <v>8</v>
      </c>
      <c r="AX25" s="37">
        <v>12</v>
      </c>
      <c r="AY25" s="37">
        <v>28</v>
      </c>
      <c r="AZ25" s="37">
        <v>10</v>
      </c>
      <c r="BA25" s="37">
        <v>16</v>
      </c>
      <c r="BC25" s="37">
        <v>15</v>
      </c>
      <c r="BD25" s="37">
        <v>15</v>
      </c>
      <c r="BE25" s="37">
        <v>15</v>
      </c>
      <c r="BF25" s="37">
        <v>10</v>
      </c>
      <c r="BG25" s="37">
        <v>70</v>
      </c>
      <c r="BH25" s="37">
        <v>12</v>
      </c>
      <c r="BJ25" s="37">
        <v>15</v>
      </c>
      <c r="BK25" s="37">
        <v>15</v>
      </c>
      <c r="BL25" s="37">
        <v>15</v>
      </c>
      <c r="BM25" s="37">
        <v>10</v>
      </c>
      <c r="BN25" s="37">
        <v>70</v>
      </c>
      <c r="BO25" s="37">
        <v>12</v>
      </c>
      <c r="BQ25" s="37"/>
      <c r="BR25" s="37"/>
      <c r="BS25" s="37"/>
      <c r="BT25" s="37"/>
      <c r="BU25" s="37"/>
      <c r="BV25" s="37"/>
      <c r="BY25" s="42">
        <f t="shared" si="0"/>
        <v>400</v>
      </c>
      <c r="BZ25" s="37">
        <v>300</v>
      </c>
    </row>
    <row r="26" spans="1:78" ht="30" customHeight="1" x14ac:dyDescent="0.25">
      <c r="A26" s="108" t="str">
        <f>IF('11th Data'!A22="","",'11th Data'!A22)</f>
        <v/>
      </c>
      <c r="B26" s="108" t="str">
        <f>IF('11th Data'!J22="","",'11th Data'!J22)</f>
        <v/>
      </c>
      <c r="C26" s="108" t="str">
        <f>IF('11th Data'!D22="","",'11th Data'!D22)</f>
        <v/>
      </c>
      <c r="D26" s="40" t="str">
        <f>IF('11th Data'!E22="","",'11th Data'!E22)</f>
        <v/>
      </c>
      <c r="E26" s="40" t="str">
        <f>IF('11th Data'!F22="","",'11th Data'!F22)</f>
        <v/>
      </c>
      <c r="F26" s="40" t="str">
        <f>IF('11th Data'!G22="","",'11th Data'!G22)</f>
        <v/>
      </c>
      <c r="G26" s="108" t="str">
        <f>IF('11th Data'!H22="","",'11th Data'!H22)</f>
        <v/>
      </c>
      <c r="H26" s="41" t="str">
        <f>IF('11th Data'!I22="","",'11th Data'!I22)</f>
        <v/>
      </c>
      <c r="I26" s="108" t="str">
        <f>IF('11th Data'!K22="","",'11th Data'!K22)</f>
        <v/>
      </c>
      <c r="K26" s="37">
        <v>10</v>
      </c>
      <c r="L26" s="37">
        <v>10</v>
      </c>
      <c r="M26" s="37">
        <v>12</v>
      </c>
      <c r="N26" s="37">
        <v>4</v>
      </c>
      <c r="O26" s="37">
        <v>48</v>
      </c>
      <c r="P26" s="37">
        <v>16</v>
      </c>
      <c r="R26" s="37">
        <v>5</v>
      </c>
      <c r="S26" s="37">
        <v>10</v>
      </c>
      <c r="T26" s="37">
        <v>12</v>
      </c>
      <c r="U26" s="37">
        <v>4</v>
      </c>
      <c r="V26" s="37">
        <v>42</v>
      </c>
      <c r="W26" s="37">
        <v>13</v>
      </c>
      <c r="Y26" s="109"/>
      <c r="Z26" s="37">
        <v>12</v>
      </c>
      <c r="AA26" s="37">
        <v>10</v>
      </c>
      <c r="AB26" s="37">
        <v>12</v>
      </c>
      <c r="AC26" s="37">
        <v>4</v>
      </c>
      <c r="AD26" s="37"/>
      <c r="AE26" s="37">
        <v>40</v>
      </c>
      <c r="AF26" s="37">
        <v>11</v>
      </c>
      <c r="AG26" s="37"/>
      <c r="AI26" s="109"/>
      <c r="AJ26" s="37">
        <v>6</v>
      </c>
      <c r="AK26" s="37">
        <v>10</v>
      </c>
      <c r="AL26" s="37">
        <v>12</v>
      </c>
      <c r="AM26" s="37">
        <v>4</v>
      </c>
      <c r="AN26" s="37"/>
      <c r="AO26" s="37">
        <v>40</v>
      </c>
      <c r="AP26" s="37">
        <v>10</v>
      </c>
      <c r="AQ26" s="37"/>
      <c r="AS26" s="109"/>
      <c r="AT26" s="37">
        <v>15</v>
      </c>
      <c r="AU26" s="37">
        <v>10</v>
      </c>
      <c r="AV26" s="37">
        <v>18</v>
      </c>
      <c r="AW26" s="37">
        <v>7</v>
      </c>
      <c r="AX26" s="37">
        <v>14</v>
      </c>
      <c r="AY26" s="37">
        <v>30</v>
      </c>
      <c r="AZ26" s="37">
        <v>8</v>
      </c>
      <c r="BA26" s="37">
        <v>10</v>
      </c>
      <c r="BC26" s="37">
        <v>15</v>
      </c>
      <c r="BD26" s="37">
        <v>15</v>
      </c>
      <c r="BE26" s="37">
        <v>15</v>
      </c>
      <c r="BF26" s="37">
        <v>10</v>
      </c>
      <c r="BG26" s="37">
        <v>70</v>
      </c>
      <c r="BH26" s="37">
        <v>12</v>
      </c>
      <c r="BJ26" s="37">
        <v>15</v>
      </c>
      <c r="BK26" s="37">
        <v>15</v>
      </c>
      <c r="BL26" s="37">
        <v>15</v>
      </c>
      <c r="BM26" s="37">
        <v>10</v>
      </c>
      <c r="BN26" s="37">
        <v>70</v>
      </c>
      <c r="BO26" s="37">
        <v>12</v>
      </c>
      <c r="BQ26" s="37"/>
      <c r="BR26" s="37"/>
      <c r="BS26" s="37"/>
      <c r="BT26" s="37"/>
      <c r="BU26" s="37"/>
      <c r="BV26" s="37"/>
      <c r="BY26" s="42">
        <f t="shared" si="0"/>
        <v>400</v>
      </c>
      <c r="BZ26" s="37">
        <v>300</v>
      </c>
    </row>
    <row r="27" spans="1:78" ht="30" customHeight="1" x14ac:dyDescent="0.25">
      <c r="A27" s="108" t="str">
        <f>IF('11th Data'!A23="","",'11th Data'!A23)</f>
        <v/>
      </c>
      <c r="B27" s="108" t="str">
        <f>IF('11th Data'!J23="","",'11th Data'!J23)</f>
        <v/>
      </c>
      <c r="C27" s="108" t="str">
        <f>IF('11th Data'!D23="","",'11th Data'!D23)</f>
        <v/>
      </c>
      <c r="D27" s="40" t="str">
        <f>IF('11th Data'!E23="","",'11th Data'!E23)</f>
        <v/>
      </c>
      <c r="E27" s="40" t="str">
        <f>IF('11th Data'!F23="","",'11th Data'!F23)</f>
        <v/>
      </c>
      <c r="F27" s="40" t="str">
        <f>IF('11th Data'!G23="","",'11th Data'!G23)</f>
        <v/>
      </c>
      <c r="G27" s="108" t="str">
        <f>IF('11th Data'!H23="","",'11th Data'!H23)</f>
        <v/>
      </c>
      <c r="H27" s="41" t="str">
        <f>IF('11th Data'!I23="","",'11th Data'!I23)</f>
        <v/>
      </c>
      <c r="I27" s="108" t="str">
        <f>IF('11th Data'!K23="","",'11th Data'!K23)</f>
        <v/>
      </c>
      <c r="K27" s="37">
        <v>15</v>
      </c>
      <c r="L27" s="37">
        <v>15</v>
      </c>
      <c r="M27" s="37">
        <v>20</v>
      </c>
      <c r="N27" s="37">
        <v>10</v>
      </c>
      <c r="O27" s="37">
        <v>49</v>
      </c>
      <c r="P27" s="37">
        <v>16</v>
      </c>
      <c r="R27" s="37">
        <v>10</v>
      </c>
      <c r="S27" s="37">
        <v>10</v>
      </c>
      <c r="T27" s="37">
        <v>10</v>
      </c>
      <c r="U27" s="37">
        <v>10</v>
      </c>
      <c r="V27" s="37">
        <v>43</v>
      </c>
      <c r="W27" s="37">
        <v>13</v>
      </c>
      <c r="Y27" s="109"/>
      <c r="Z27" s="37">
        <v>10</v>
      </c>
      <c r="AA27" s="37">
        <v>10</v>
      </c>
      <c r="AB27" s="37">
        <v>30</v>
      </c>
      <c r="AC27" s="37">
        <v>10</v>
      </c>
      <c r="AD27" s="37"/>
      <c r="AE27" s="37">
        <v>30</v>
      </c>
      <c r="AF27" s="37">
        <v>11</v>
      </c>
      <c r="AG27" s="37"/>
      <c r="AI27" s="109"/>
      <c r="AJ27" s="37">
        <v>10</v>
      </c>
      <c r="AK27" s="37">
        <v>10</v>
      </c>
      <c r="AL27" s="37">
        <v>30</v>
      </c>
      <c r="AM27" s="37">
        <v>10</v>
      </c>
      <c r="AN27" s="37"/>
      <c r="AO27" s="37">
        <v>50</v>
      </c>
      <c r="AP27" s="37">
        <v>5</v>
      </c>
      <c r="AQ27" s="37"/>
      <c r="AS27" s="109"/>
      <c r="AT27" s="37">
        <v>10</v>
      </c>
      <c r="AU27" s="37">
        <v>10</v>
      </c>
      <c r="AV27" s="37">
        <v>15</v>
      </c>
      <c r="AW27" s="37">
        <v>6</v>
      </c>
      <c r="AX27" s="37">
        <v>10</v>
      </c>
      <c r="AY27" s="37">
        <v>21</v>
      </c>
      <c r="AZ27" s="37">
        <v>10</v>
      </c>
      <c r="BA27" s="37">
        <v>15</v>
      </c>
      <c r="BC27" s="37">
        <v>15</v>
      </c>
      <c r="BD27" s="37">
        <v>15</v>
      </c>
      <c r="BE27" s="37">
        <v>15</v>
      </c>
      <c r="BF27" s="37">
        <v>10</v>
      </c>
      <c r="BG27" s="37">
        <v>70</v>
      </c>
      <c r="BH27" s="37">
        <v>12</v>
      </c>
      <c r="BJ27" s="37">
        <v>15</v>
      </c>
      <c r="BK27" s="37">
        <v>15</v>
      </c>
      <c r="BL27" s="37">
        <v>15</v>
      </c>
      <c r="BM27" s="37">
        <v>10</v>
      </c>
      <c r="BN27" s="37">
        <v>70</v>
      </c>
      <c r="BO27" s="37">
        <v>12</v>
      </c>
      <c r="BQ27" s="37"/>
      <c r="BR27" s="37"/>
      <c r="BS27" s="37"/>
      <c r="BT27" s="37"/>
      <c r="BU27" s="37"/>
      <c r="BV27" s="37"/>
      <c r="BY27" s="42">
        <f t="shared" si="0"/>
        <v>400</v>
      </c>
      <c r="BZ27" s="37">
        <v>300</v>
      </c>
    </row>
    <row r="28" spans="1:78" ht="30" customHeight="1" x14ac:dyDescent="0.25">
      <c r="A28" s="108" t="str">
        <f>IF('11th Data'!A24="","",'11th Data'!A24)</f>
        <v/>
      </c>
      <c r="B28" s="108" t="str">
        <f>IF('11th Data'!J24="","",'11th Data'!J24)</f>
        <v/>
      </c>
      <c r="C28" s="108" t="str">
        <f>IF('11th Data'!D24="","",'11th Data'!D24)</f>
        <v/>
      </c>
      <c r="D28" s="40" t="str">
        <f>IF('11th Data'!E24="","",'11th Data'!E24)</f>
        <v/>
      </c>
      <c r="E28" s="40" t="str">
        <f>IF('11th Data'!F24="","",'11th Data'!F24)</f>
        <v/>
      </c>
      <c r="F28" s="40" t="str">
        <f>IF('11th Data'!G24="","",'11th Data'!G24)</f>
        <v/>
      </c>
      <c r="G28" s="108" t="str">
        <f>IF('11th Data'!H24="","",'11th Data'!H24)</f>
        <v/>
      </c>
      <c r="H28" s="41" t="str">
        <f>IF('11th Data'!I24="","",'11th Data'!I24)</f>
        <v/>
      </c>
      <c r="I28" s="108" t="str">
        <f>IF('11th Data'!K24="","",'11th Data'!K24)</f>
        <v/>
      </c>
      <c r="K28" s="37">
        <v>5</v>
      </c>
      <c r="L28" s="37">
        <v>5</v>
      </c>
      <c r="M28" s="37">
        <v>5</v>
      </c>
      <c r="N28" s="37">
        <v>5</v>
      </c>
      <c r="O28" s="37">
        <v>50</v>
      </c>
      <c r="P28" s="37">
        <v>16</v>
      </c>
      <c r="R28" s="37">
        <v>5</v>
      </c>
      <c r="S28" s="37">
        <v>5</v>
      </c>
      <c r="T28" s="37">
        <v>5</v>
      </c>
      <c r="U28" s="37">
        <v>5</v>
      </c>
      <c r="V28" s="37">
        <v>44</v>
      </c>
      <c r="W28" s="37">
        <v>13</v>
      </c>
      <c r="Y28" s="109"/>
      <c r="Z28" s="37">
        <v>5</v>
      </c>
      <c r="AA28" s="37">
        <v>5</v>
      </c>
      <c r="AB28" s="37">
        <v>5</v>
      </c>
      <c r="AC28" s="37">
        <v>5</v>
      </c>
      <c r="AD28" s="37"/>
      <c r="AE28" s="37">
        <v>5</v>
      </c>
      <c r="AF28" s="37">
        <v>11</v>
      </c>
      <c r="AG28" s="37"/>
      <c r="AI28" s="109"/>
      <c r="AJ28" s="37">
        <v>5</v>
      </c>
      <c r="AK28" s="37">
        <v>5</v>
      </c>
      <c r="AL28" s="37">
        <v>5</v>
      </c>
      <c r="AM28" s="37">
        <v>5</v>
      </c>
      <c r="AN28" s="37"/>
      <c r="AO28" s="37">
        <v>5</v>
      </c>
      <c r="AP28" s="37">
        <v>4</v>
      </c>
      <c r="AQ28" s="37"/>
      <c r="AS28" s="109"/>
      <c r="AT28" s="37">
        <v>5</v>
      </c>
      <c r="AU28" s="37">
        <v>5</v>
      </c>
      <c r="AV28" s="37">
        <v>12</v>
      </c>
      <c r="AW28" s="37">
        <v>4</v>
      </c>
      <c r="AX28" s="37">
        <v>8</v>
      </c>
      <c r="AY28" s="37">
        <v>25</v>
      </c>
      <c r="AZ28" s="37">
        <v>12</v>
      </c>
      <c r="BA28" s="37">
        <v>18</v>
      </c>
      <c r="BC28" s="37">
        <v>15</v>
      </c>
      <c r="BD28" s="37">
        <v>15</v>
      </c>
      <c r="BE28" s="37">
        <v>15</v>
      </c>
      <c r="BF28" s="37">
        <v>10</v>
      </c>
      <c r="BG28" s="37">
        <v>70</v>
      </c>
      <c r="BH28" s="37">
        <v>12</v>
      </c>
      <c r="BJ28" s="37">
        <v>15</v>
      </c>
      <c r="BK28" s="37">
        <v>15</v>
      </c>
      <c r="BL28" s="37">
        <v>15</v>
      </c>
      <c r="BM28" s="37">
        <v>10</v>
      </c>
      <c r="BN28" s="37">
        <v>70</v>
      </c>
      <c r="BO28" s="37">
        <v>12</v>
      </c>
      <c r="BQ28" s="37"/>
      <c r="BR28" s="37"/>
      <c r="BS28" s="37"/>
      <c r="BT28" s="37"/>
      <c r="BU28" s="37"/>
      <c r="BV28" s="37"/>
      <c r="BY28" s="42">
        <f t="shared" si="0"/>
        <v>400</v>
      </c>
      <c r="BZ28" s="37">
        <v>300</v>
      </c>
    </row>
    <row r="29" spans="1:78" ht="30" customHeight="1" x14ac:dyDescent="0.25">
      <c r="A29" s="108" t="str">
        <f>IF('11th Data'!A25="","",'11th Data'!A25)</f>
        <v/>
      </c>
      <c r="B29" s="108" t="str">
        <f>IF('11th Data'!J25="","",'11th Data'!J25)</f>
        <v/>
      </c>
      <c r="C29" s="108" t="str">
        <f>IF('11th Data'!D25="","",'11th Data'!D25)</f>
        <v/>
      </c>
      <c r="D29" s="40" t="str">
        <f>IF('11th Data'!E25="","",'11th Data'!E25)</f>
        <v/>
      </c>
      <c r="E29" s="40" t="str">
        <f>IF('11th Data'!F25="","",'11th Data'!F25)</f>
        <v/>
      </c>
      <c r="F29" s="40" t="str">
        <f>IF('11th Data'!G25="","",'11th Data'!G25)</f>
        <v/>
      </c>
      <c r="G29" s="108" t="str">
        <f>IF('11th Data'!H25="","",'11th Data'!H25)</f>
        <v/>
      </c>
      <c r="H29" s="41" t="str">
        <f>IF('11th Data'!I25="","",'11th Data'!I25)</f>
        <v/>
      </c>
      <c r="I29" s="108" t="str">
        <f>IF('11th Data'!K25="","",'11th Data'!K25)</f>
        <v/>
      </c>
      <c r="K29" s="37">
        <v>10</v>
      </c>
      <c r="L29" s="37">
        <v>9</v>
      </c>
      <c r="M29" s="37">
        <v>5</v>
      </c>
      <c r="N29" s="37">
        <v>5</v>
      </c>
      <c r="O29" s="37">
        <v>51</v>
      </c>
      <c r="P29" s="37">
        <v>16</v>
      </c>
      <c r="R29" s="37">
        <v>10</v>
      </c>
      <c r="S29" s="37">
        <v>10</v>
      </c>
      <c r="T29" s="37">
        <v>30</v>
      </c>
      <c r="U29" s="37">
        <v>10</v>
      </c>
      <c r="V29" s="37">
        <v>45</v>
      </c>
      <c r="W29" s="37">
        <v>13</v>
      </c>
      <c r="Y29" s="109"/>
      <c r="Z29" s="37">
        <v>18</v>
      </c>
      <c r="AA29" s="37">
        <v>18</v>
      </c>
      <c r="AB29" s="37">
        <v>40</v>
      </c>
      <c r="AC29" s="37">
        <v>10</v>
      </c>
      <c r="AD29" s="37"/>
      <c r="AE29" s="37">
        <v>65</v>
      </c>
      <c r="AF29" s="37">
        <v>11</v>
      </c>
      <c r="AG29" s="37"/>
      <c r="AI29" s="109"/>
      <c r="AJ29" s="37">
        <v>5</v>
      </c>
      <c r="AK29" s="37">
        <v>5</v>
      </c>
      <c r="AL29" s="37">
        <v>18</v>
      </c>
      <c r="AM29" s="37">
        <v>10</v>
      </c>
      <c r="AN29" s="37"/>
      <c r="AO29" s="37">
        <v>30</v>
      </c>
      <c r="AP29" s="37">
        <v>15</v>
      </c>
      <c r="AQ29" s="37"/>
      <c r="AS29" s="109"/>
      <c r="AT29" s="37">
        <v>10</v>
      </c>
      <c r="AU29" s="37">
        <v>10</v>
      </c>
      <c r="AV29" s="37">
        <v>18</v>
      </c>
      <c r="AW29" s="37">
        <v>10</v>
      </c>
      <c r="AX29" s="37">
        <v>10</v>
      </c>
      <c r="AY29" s="37">
        <v>28</v>
      </c>
      <c r="AZ29" s="37">
        <v>10</v>
      </c>
      <c r="BA29" s="37">
        <v>18</v>
      </c>
      <c r="BC29" s="37">
        <v>15</v>
      </c>
      <c r="BD29" s="37">
        <v>15</v>
      </c>
      <c r="BE29" s="37">
        <v>15</v>
      </c>
      <c r="BF29" s="37">
        <v>10</v>
      </c>
      <c r="BG29" s="37">
        <v>70</v>
      </c>
      <c r="BH29" s="37">
        <v>12</v>
      </c>
      <c r="BJ29" s="37">
        <v>15</v>
      </c>
      <c r="BK29" s="37">
        <v>15</v>
      </c>
      <c r="BL29" s="37">
        <v>15</v>
      </c>
      <c r="BM29" s="37">
        <v>10</v>
      </c>
      <c r="BN29" s="37">
        <v>70</v>
      </c>
      <c r="BO29" s="37">
        <v>12</v>
      </c>
      <c r="BQ29" s="37"/>
      <c r="BR29" s="37"/>
      <c r="BS29" s="37"/>
      <c r="BT29" s="37"/>
      <c r="BU29" s="37"/>
      <c r="BV29" s="37"/>
      <c r="BY29" s="42">
        <f t="shared" si="0"/>
        <v>400</v>
      </c>
      <c r="BZ29" s="37">
        <v>300</v>
      </c>
    </row>
    <row r="30" spans="1:78" ht="30" customHeight="1" x14ac:dyDescent="0.25">
      <c r="A30" s="108" t="str">
        <f>IF('11th Data'!A26="","",'11th Data'!A26)</f>
        <v/>
      </c>
      <c r="B30" s="108" t="str">
        <f>IF('11th Data'!J26="","",'11th Data'!J26)</f>
        <v/>
      </c>
      <c r="C30" s="108" t="str">
        <f>IF('11th Data'!D26="","",'11th Data'!D26)</f>
        <v/>
      </c>
      <c r="D30" s="40" t="str">
        <f>IF('11th Data'!E26="","",'11th Data'!E26)</f>
        <v/>
      </c>
      <c r="E30" s="40" t="str">
        <f>IF('11th Data'!F26="","",'11th Data'!F26)</f>
        <v/>
      </c>
      <c r="F30" s="40" t="str">
        <f>IF('11th Data'!G26="","",'11th Data'!G26)</f>
        <v/>
      </c>
      <c r="G30" s="108" t="str">
        <f>IF('11th Data'!H26="","",'11th Data'!H26)</f>
        <v/>
      </c>
      <c r="H30" s="41" t="str">
        <f>IF('11th Data'!I26="","",'11th Data'!I26)</f>
        <v/>
      </c>
      <c r="I30" s="108" t="str">
        <f>IF('11th Data'!K26="","",'11th Data'!K26)</f>
        <v/>
      </c>
      <c r="K30" s="37">
        <v>10</v>
      </c>
      <c r="L30" s="37">
        <v>20</v>
      </c>
      <c r="M30" s="37">
        <v>10</v>
      </c>
      <c r="N30" s="37">
        <v>5</v>
      </c>
      <c r="O30" s="37">
        <v>52</v>
      </c>
      <c r="P30" s="37">
        <v>16</v>
      </c>
      <c r="R30" s="37">
        <v>10</v>
      </c>
      <c r="S30" s="37">
        <v>10</v>
      </c>
      <c r="T30" s="37">
        <v>30</v>
      </c>
      <c r="U30" s="37">
        <v>10</v>
      </c>
      <c r="V30" s="37">
        <v>46</v>
      </c>
      <c r="W30" s="37">
        <v>13</v>
      </c>
      <c r="Y30" s="109"/>
      <c r="Z30" s="37">
        <v>10</v>
      </c>
      <c r="AA30" s="37">
        <v>10</v>
      </c>
      <c r="AB30" s="37">
        <v>30</v>
      </c>
      <c r="AC30" s="37">
        <v>10</v>
      </c>
      <c r="AD30" s="37"/>
      <c r="AE30" s="37">
        <v>30</v>
      </c>
      <c r="AF30" s="37">
        <v>11</v>
      </c>
      <c r="AG30" s="37"/>
      <c r="AI30" s="109"/>
      <c r="AJ30" s="37">
        <v>10</v>
      </c>
      <c r="AK30" s="37">
        <v>10</v>
      </c>
      <c r="AL30" s="37">
        <v>30</v>
      </c>
      <c r="AM30" s="37">
        <v>10</v>
      </c>
      <c r="AN30" s="37"/>
      <c r="AO30" s="37">
        <v>50</v>
      </c>
      <c r="AP30" s="37">
        <v>10</v>
      </c>
      <c r="AQ30" s="37"/>
      <c r="AS30" s="109"/>
      <c r="AT30" s="37">
        <v>10</v>
      </c>
      <c r="AU30" s="37">
        <v>10</v>
      </c>
      <c r="AV30" s="37">
        <v>17</v>
      </c>
      <c r="AW30" s="37">
        <v>1</v>
      </c>
      <c r="AX30" s="37">
        <v>12</v>
      </c>
      <c r="AY30" s="37">
        <v>29</v>
      </c>
      <c r="AZ30" s="37">
        <v>11</v>
      </c>
      <c r="BA30" s="37">
        <v>15</v>
      </c>
      <c r="BC30" s="37">
        <v>15</v>
      </c>
      <c r="BD30" s="37">
        <v>15</v>
      </c>
      <c r="BE30" s="37">
        <v>15</v>
      </c>
      <c r="BF30" s="37">
        <v>10</v>
      </c>
      <c r="BG30" s="37">
        <v>70</v>
      </c>
      <c r="BH30" s="37">
        <v>12</v>
      </c>
      <c r="BJ30" s="37">
        <v>15</v>
      </c>
      <c r="BK30" s="37">
        <v>15</v>
      </c>
      <c r="BL30" s="37">
        <v>15</v>
      </c>
      <c r="BM30" s="37">
        <v>10</v>
      </c>
      <c r="BN30" s="37">
        <v>70</v>
      </c>
      <c r="BO30" s="37">
        <v>12</v>
      </c>
      <c r="BQ30" s="37"/>
      <c r="BR30" s="37"/>
      <c r="BS30" s="37"/>
      <c r="BT30" s="37"/>
      <c r="BU30" s="37"/>
      <c r="BV30" s="37"/>
      <c r="BY30" s="42">
        <f t="shared" si="0"/>
        <v>400</v>
      </c>
      <c r="BZ30" s="37">
        <v>300</v>
      </c>
    </row>
    <row r="31" spans="1:78" ht="30" customHeight="1" x14ac:dyDescent="0.25">
      <c r="A31" s="108" t="str">
        <f>IF('11th Data'!A27="","",'11th Data'!A27)</f>
        <v/>
      </c>
      <c r="B31" s="108" t="str">
        <f>IF('11th Data'!J27="","",'11th Data'!J27)</f>
        <v/>
      </c>
      <c r="C31" s="108" t="str">
        <f>IF('11th Data'!D27="","",'11th Data'!D27)</f>
        <v/>
      </c>
      <c r="D31" s="40" t="str">
        <f>IF('11th Data'!E27="","",'11th Data'!E27)</f>
        <v/>
      </c>
      <c r="E31" s="40" t="str">
        <f>IF('11th Data'!F27="","",'11th Data'!F27)</f>
        <v/>
      </c>
      <c r="F31" s="40" t="str">
        <f>IF('11th Data'!G27="","",'11th Data'!G27)</f>
        <v/>
      </c>
      <c r="G31" s="108" t="str">
        <f>IF('11th Data'!H27="","",'11th Data'!H27)</f>
        <v/>
      </c>
      <c r="H31" s="41" t="str">
        <f>IF('11th Data'!I27="","",'11th Data'!I27)</f>
        <v/>
      </c>
      <c r="I31" s="108" t="str">
        <f>IF('11th Data'!K27="","",'11th Data'!K27)</f>
        <v/>
      </c>
      <c r="K31" s="37">
        <v>10</v>
      </c>
      <c r="L31" s="37">
        <v>20</v>
      </c>
      <c r="M31" s="37">
        <v>10</v>
      </c>
      <c r="N31" s="37">
        <v>5</v>
      </c>
      <c r="O31" s="37">
        <v>53</v>
      </c>
      <c r="P31" s="37">
        <v>16</v>
      </c>
      <c r="R31" s="37">
        <v>10</v>
      </c>
      <c r="S31" s="37">
        <v>10</v>
      </c>
      <c r="T31" s="37">
        <v>30</v>
      </c>
      <c r="U31" s="37">
        <v>10</v>
      </c>
      <c r="V31" s="37">
        <v>47</v>
      </c>
      <c r="W31" s="37">
        <v>13</v>
      </c>
      <c r="Y31" s="109"/>
      <c r="Z31" s="37">
        <v>10</v>
      </c>
      <c r="AA31" s="37">
        <v>10</v>
      </c>
      <c r="AB31" s="37">
        <v>30</v>
      </c>
      <c r="AC31" s="37">
        <v>10</v>
      </c>
      <c r="AD31" s="37"/>
      <c r="AE31" s="37">
        <v>30</v>
      </c>
      <c r="AF31" s="37">
        <v>11</v>
      </c>
      <c r="AG31" s="37"/>
      <c r="AI31" s="109"/>
      <c r="AJ31" s="37">
        <v>10</v>
      </c>
      <c r="AK31" s="37">
        <v>10</v>
      </c>
      <c r="AL31" s="37">
        <v>30</v>
      </c>
      <c r="AM31" s="37">
        <v>10</v>
      </c>
      <c r="AN31" s="37"/>
      <c r="AO31" s="37">
        <v>50</v>
      </c>
      <c r="AP31" s="37">
        <v>9</v>
      </c>
      <c r="AQ31" s="37"/>
      <c r="AS31" s="109"/>
      <c r="AT31" s="37">
        <v>10</v>
      </c>
      <c r="AU31" s="37">
        <v>10</v>
      </c>
      <c r="AV31" s="37">
        <v>16</v>
      </c>
      <c r="AW31" s="37">
        <v>8</v>
      </c>
      <c r="AX31" s="37">
        <v>10</v>
      </c>
      <c r="AY31" s="37">
        <v>15</v>
      </c>
      <c r="AZ31" s="37">
        <v>10</v>
      </c>
      <c r="BA31" s="37">
        <v>16</v>
      </c>
      <c r="BC31" s="37">
        <v>15</v>
      </c>
      <c r="BD31" s="37">
        <v>15</v>
      </c>
      <c r="BE31" s="37">
        <v>15</v>
      </c>
      <c r="BF31" s="37">
        <v>10</v>
      </c>
      <c r="BG31" s="37">
        <v>70</v>
      </c>
      <c r="BH31" s="37">
        <v>12</v>
      </c>
      <c r="BJ31" s="37">
        <v>15</v>
      </c>
      <c r="BK31" s="37">
        <v>15</v>
      </c>
      <c r="BL31" s="37">
        <v>15</v>
      </c>
      <c r="BM31" s="37">
        <v>10</v>
      </c>
      <c r="BN31" s="37">
        <v>70</v>
      </c>
      <c r="BO31" s="37">
        <v>12</v>
      </c>
      <c r="BQ31" s="37"/>
      <c r="BR31" s="37"/>
      <c r="BS31" s="37"/>
      <c r="BT31" s="37"/>
      <c r="BU31" s="37"/>
      <c r="BV31" s="37"/>
      <c r="BY31" s="42">
        <f t="shared" si="0"/>
        <v>400</v>
      </c>
      <c r="BZ31" s="37">
        <v>300</v>
      </c>
    </row>
    <row r="32" spans="1:78" ht="30" customHeight="1" x14ac:dyDescent="0.25">
      <c r="A32" s="108" t="str">
        <f>IF('11th Data'!A28="","",'11th Data'!A28)</f>
        <v/>
      </c>
      <c r="B32" s="108" t="str">
        <f>IF('11th Data'!J28="","",'11th Data'!J28)</f>
        <v/>
      </c>
      <c r="C32" s="108" t="str">
        <f>IF('11th Data'!D28="","",'11th Data'!D28)</f>
        <v/>
      </c>
      <c r="D32" s="40" t="str">
        <f>IF('11th Data'!E28="","",'11th Data'!E28)</f>
        <v/>
      </c>
      <c r="E32" s="40" t="str">
        <f>IF('11th Data'!F28="","",'11th Data'!F28)</f>
        <v/>
      </c>
      <c r="F32" s="40" t="str">
        <f>IF('11th Data'!G28="","",'11th Data'!G28)</f>
        <v/>
      </c>
      <c r="G32" s="108" t="str">
        <f>IF('11th Data'!H28="","",'11th Data'!H28)</f>
        <v/>
      </c>
      <c r="H32" s="41" t="str">
        <f>IF('11th Data'!I28="","",'11th Data'!I28)</f>
        <v/>
      </c>
      <c r="I32" s="108" t="str">
        <f>IF('11th Data'!K28="","",'11th Data'!K28)</f>
        <v/>
      </c>
      <c r="K32" s="37">
        <v>10</v>
      </c>
      <c r="L32" s="37">
        <v>20</v>
      </c>
      <c r="M32" s="37">
        <v>10</v>
      </c>
      <c r="N32" s="37">
        <v>5</v>
      </c>
      <c r="O32" s="37">
        <v>54</v>
      </c>
      <c r="P32" s="37">
        <v>16</v>
      </c>
      <c r="R32" s="37">
        <v>10</v>
      </c>
      <c r="S32" s="37">
        <v>10</v>
      </c>
      <c r="T32" s="37">
        <v>30</v>
      </c>
      <c r="U32" s="37">
        <v>10</v>
      </c>
      <c r="V32" s="37">
        <v>48</v>
      </c>
      <c r="W32" s="37">
        <v>13</v>
      </c>
      <c r="Y32" s="109"/>
      <c r="Z32" s="37">
        <v>10</v>
      </c>
      <c r="AA32" s="37">
        <v>10</v>
      </c>
      <c r="AB32" s="37">
        <v>30</v>
      </c>
      <c r="AC32" s="37">
        <v>10</v>
      </c>
      <c r="AD32" s="37"/>
      <c r="AE32" s="37">
        <v>30</v>
      </c>
      <c r="AF32" s="37">
        <v>11</v>
      </c>
      <c r="AG32" s="37"/>
      <c r="AI32" s="109"/>
      <c r="AJ32" s="37">
        <v>10</v>
      </c>
      <c r="AK32" s="37">
        <v>10</v>
      </c>
      <c r="AL32" s="37">
        <v>30</v>
      </c>
      <c r="AM32" s="37">
        <v>10</v>
      </c>
      <c r="AN32" s="37"/>
      <c r="AO32" s="37">
        <v>50</v>
      </c>
      <c r="AP32" s="37">
        <v>8</v>
      </c>
      <c r="AQ32" s="37"/>
      <c r="AS32" s="109"/>
      <c r="AT32" s="37">
        <v>10</v>
      </c>
      <c r="AU32" s="37">
        <v>10</v>
      </c>
      <c r="AV32" s="37">
        <v>15</v>
      </c>
      <c r="AW32" s="37">
        <v>5</v>
      </c>
      <c r="AX32" s="37">
        <v>4</v>
      </c>
      <c r="AY32" s="37">
        <v>20</v>
      </c>
      <c r="AZ32" s="37">
        <v>8</v>
      </c>
      <c r="BA32" s="37">
        <v>14</v>
      </c>
      <c r="BC32" s="37">
        <v>15</v>
      </c>
      <c r="BD32" s="37">
        <v>15</v>
      </c>
      <c r="BE32" s="37">
        <v>15</v>
      </c>
      <c r="BF32" s="37">
        <v>10</v>
      </c>
      <c r="BG32" s="37">
        <v>70</v>
      </c>
      <c r="BH32" s="37">
        <v>12</v>
      </c>
      <c r="BJ32" s="37">
        <v>15</v>
      </c>
      <c r="BK32" s="37">
        <v>15</v>
      </c>
      <c r="BL32" s="37">
        <v>15</v>
      </c>
      <c r="BM32" s="37">
        <v>10</v>
      </c>
      <c r="BN32" s="37">
        <v>70</v>
      </c>
      <c r="BO32" s="37">
        <v>12</v>
      </c>
      <c r="BQ32" s="37"/>
      <c r="BR32" s="37"/>
      <c r="BS32" s="37"/>
      <c r="BT32" s="37"/>
      <c r="BU32" s="37"/>
      <c r="BV32" s="37"/>
      <c r="BY32" s="42">
        <f t="shared" si="0"/>
        <v>400</v>
      </c>
      <c r="BZ32" s="37">
        <v>300</v>
      </c>
    </row>
    <row r="33" spans="1:78" ht="30" customHeight="1" x14ac:dyDescent="0.25">
      <c r="A33" s="108" t="str">
        <f>IF('11th Data'!A29="","",'11th Data'!A29)</f>
        <v/>
      </c>
      <c r="B33" s="108" t="str">
        <f>IF('11th Data'!J29="","",'11th Data'!J29)</f>
        <v/>
      </c>
      <c r="C33" s="108" t="str">
        <f>IF('11th Data'!D29="","",'11th Data'!D29)</f>
        <v/>
      </c>
      <c r="D33" s="40" t="str">
        <f>IF('11th Data'!E29="","",'11th Data'!E29)</f>
        <v/>
      </c>
      <c r="E33" s="40" t="str">
        <f>IF('11th Data'!F29="","",'11th Data'!F29)</f>
        <v/>
      </c>
      <c r="F33" s="40" t="str">
        <f>IF('11th Data'!G29="","",'11th Data'!G29)</f>
        <v/>
      </c>
      <c r="G33" s="108" t="str">
        <f>IF('11th Data'!H29="","",'11th Data'!H29)</f>
        <v/>
      </c>
      <c r="H33" s="41" t="str">
        <f>IF('11th Data'!I29="","",'11th Data'!I29)</f>
        <v/>
      </c>
      <c r="I33" s="108" t="str">
        <f>IF('11th Data'!K29="","",'11th Data'!K29)</f>
        <v/>
      </c>
      <c r="K33" s="37">
        <v>10</v>
      </c>
      <c r="L33" s="37">
        <v>10</v>
      </c>
      <c r="M33" s="37">
        <v>30</v>
      </c>
      <c r="N33" s="37">
        <v>10</v>
      </c>
      <c r="O33" s="37">
        <v>55</v>
      </c>
      <c r="P33" s="37">
        <v>16</v>
      </c>
      <c r="R33" s="37">
        <v>15</v>
      </c>
      <c r="S33" s="37">
        <v>15</v>
      </c>
      <c r="T33" s="37">
        <v>30</v>
      </c>
      <c r="U33" s="37">
        <v>10</v>
      </c>
      <c r="V33" s="37">
        <v>49</v>
      </c>
      <c r="W33" s="37">
        <v>13</v>
      </c>
      <c r="Y33" s="109"/>
      <c r="Z33" s="37">
        <v>15</v>
      </c>
      <c r="AA33" s="37">
        <v>15</v>
      </c>
      <c r="AB33" s="37">
        <v>30</v>
      </c>
      <c r="AC33" s="37">
        <v>10</v>
      </c>
      <c r="AD33" s="37"/>
      <c r="AE33" s="37">
        <v>60</v>
      </c>
      <c r="AF33" s="37">
        <v>11</v>
      </c>
      <c r="AG33" s="37"/>
      <c r="AI33" s="109"/>
      <c r="AJ33" s="37">
        <v>15</v>
      </c>
      <c r="AK33" s="37">
        <v>15</v>
      </c>
      <c r="AL33" s="37">
        <v>30</v>
      </c>
      <c r="AM33" s="37">
        <v>10</v>
      </c>
      <c r="AN33" s="37"/>
      <c r="AO33" s="37">
        <v>60</v>
      </c>
      <c r="AP33" s="37">
        <v>10</v>
      </c>
      <c r="AQ33" s="37"/>
      <c r="AS33" s="109"/>
      <c r="AT33" s="37">
        <v>15</v>
      </c>
      <c r="AU33" s="37">
        <v>15</v>
      </c>
      <c r="AV33" s="37">
        <v>14</v>
      </c>
      <c r="AW33" s="37">
        <v>5</v>
      </c>
      <c r="AX33" s="37">
        <v>10</v>
      </c>
      <c r="AY33" s="37">
        <v>28</v>
      </c>
      <c r="AZ33" s="37">
        <v>10</v>
      </c>
      <c r="BA33" s="37">
        <v>12</v>
      </c>
      <c r="BC33" s="37">
        <v>15</v>
      </c>
      <c r="BD33" s="37">
        <v>15</v>
      </c>
      <c r="BE33" s="37">
        <v>15</v>
      </c>
      <c r="BF33" s="37">
        <v>10</v>
      </c>
      <c r="BG33" s="37">
        <v>70</v>
      </c>
      <c r="BH33" s="37">
        <v>12</v>
      </c>
      <c r="BJ33" s="37">
        <v>15</v>
      </c>
      <c r="BK33" s="37">
        <v>15</v>
      </c>
      <c r="BL33" s="37">
        <v>15</v>
      </c>
      <c r="BM33" s="37">
        <v>10</v>
      </c>
      <c r="BN33" s="37">
        <v>70</v>
      </c>
      <c r="BO33" s="37">
        <v>12</v>
      </c>
      <c r="BQ33" s="37"/>
      <c r="BR33" s="37"/>
      <c r="BS33" s="37"/>
      <c r="BT33" s="37"/>
      <c r="BU33" s="37"/>
      <c r="BV33" s="37"/>
      <c r="BY33" s="42">
        <f t="shared" si="0"/>
        <v>400</v>
      </c>
      <c r="BZ33" s="37">
        <v>300</v>
      </c>
    </row>
    <row r="34" spans="1:78" ht="30" customHeight="1" x14ac:dyDescent="0.25">
      <c r="A34" s="108" t="str">
        <f>IF('11th Data'!A30="","",'11th Data'!A30)</f>
        <v/>
      </c>
      <c r="B34" s="108" t="str">
        <f>IF('11th Data'!J30="","",'11th Data'!J30)</f>
        <v/>
      </c>
      <c r="C34" s="108" t="str">
        <f>IF('11th Data'!D30="","",'11th Data'!D30)</f>
        <v/>
      </c>
      <c r="D34" s="40" t="str">
        <f>IF('11th Data'!E30="","",'11th Data'!E30)</f>
        <v/>
      </c>
      <c r="E34" s="40" t="str">
        <f>IF('11th Data'!F30="","",'11th Data'!F30)</f>
        <v/>
      </c>
      <c r="F34" s="40" t="str">
        <f>IF('11th Data'!G30="","",'11th Data'!G30)</f>
        <v/>
      </c>
      <c r="G34" s="108" t="str">
        <f>IF('11th Data'!H30="","",'11th Data'!H30)</f>
        <v/>
      </c>
      <c r="H34" s="41" t="str">
        <f>IF('11th Data'!I30="","",'11th Data'!I30)</f>
        <v/>
      </c>
      <c r="I34" s="108" t="str">
        <f>IF('11th Data'!K30="","",'11th Data'!K30)</f>
        <v/>
      </c>
      <c r="K34" s="37">
        <v>10</v>
      </c>
      <c r="L34" s="37">
        <v>10</v>
      </c>
      <c r="M34" s="37">
        <v>12</v>
      </c>
      <c r="N34" s="37">
        <v>4</v>
      </c>
      <c r="O34" s="37">
        <v>56</v>
      </c>
      <c r="P34" s="37">
        <v>16</v>
      </c>
      <c r="R34" s="37">
        <v>5</v>
      </c>
      <c r="S34" s="37">
        <v>10</v>
      </c>
      <c r="T34" s="37">
        <v>12</v>
      </c>
      <c r="U34" s="37">
        <v>4</v>
      </c>
      <c r="V34" s="37">
        <v>50</v>
      </c>
      <c r="W34" s="37">
        <v>13</v>
      </c>
      <c r="Y34" s="109"/>
      <c r="Z34" s="37">
        <v>12</v>
      </c>
      <c r="AA34" s="37">
        <v>10</v>
      </c>
      <c r="AB34" s="37">
        <v>12</v>
      </c>
      <c r="AC34" s="37">
        <v>4</v>
      </c>
      <c r="AD34" s="37"/>
      <c r="AE34" s="37">
        <v>40</v>
      </c>
      <c r="AF34" s="37">
        <v>11</v>
      </c>
      <c r="AG34" s="37"/>
      <c r="AI34" s="109"/>
      <c r="AJ34" s="37">
        <v>6</v>
      </c>
      <c r="AK34" s="37">
        <v>10</v>
      </c>
      <c r="AL34" s="37">
        <v>12</v>
      </c>
      <c r="AM34" s="37">
        <v>4</v>
      </c>
      <c r="AN34" s="37"/>
      <c r="AO34" s="37">
        <v>40</v>
      </c>
      <c r="AP34" s="37">
        <v>12</v>
      </c>
      <c r="AQ34" s="37"/>
      <c r="AS34" s="109"/>
      <c r="AT34" s="37">
        <v>15</v>
      </c>
      <c r="AU34" s="37">
        <v>10</v>
      </c>
      <c r="AV34" s="37">
        <v>15</v>
      </c>
      <c r="AW34" s="37">
        <v>8</v>
      </c>
      <c r="AX34" s="37">
        <v>15</v>
      </c>
      <c r="AY34" s="37">
        <v>25</v>
      </c>
      <c r="AZ34" s="37">
        <v>9</v>
      </c>
      <c r="BA34" s="37">
        <v>13</v>
      </c>
      <c r="BC34" s="37">
        <v>15</v>
      </c>
      <c r="BD34" s="37">
        <v>15</v>
      </c>
      <c r="BE34" s="37">
        <v>15</v>
      </c>
      <c r="BF34" s="37">
        <v>10</v>
      </c>
      <c r="BG34" s="37">
        <v>70</v>
      </c>
      <c r="BH34" s="37">
        <v>12</v>
      </c>
      <c r="BJ34" s="37">
        <v>15</v>
      </c>
      <c r="BK34" s="37">
        <v>15</v>
      </c>
      <c r="BL34" s="37">
        <v>15</v>
      </c>
      <c r="BM34" s="37">
        <v>10</v>
      </c>
      <c r="BN34" s="37">
        <v>70</v>
      </c>
      <c r="BO34" s="37">
        <v>12</v>
      </c>
      <c r="BQ34" s="37"/>
      <c r="BR34" s="37"/>
      <c r="BS34" s="37"/>
      <c r="BT34" s="37"/>
      <c r="BU34" s="37"/>
      <c r="BV34" s="37"/>
      <c r="BY34" s="42">
        <f t="shared" si="0"/>
        <v>400</v>
      </c>
      <c r="BZ34" s="37">
        <v>300</v>
      </c>
    </row>
    <row r="35" spans="1:78" ht="30" customHeight="1" x14ac:dyDescent="0.25">
      <c r="A35" s="108" t="str">
        <f>IF('11th Data'!A31="","",'11th Data'!A31)</f>
        <v/>
      </c>
      <c r="B35" s="108" t="str">
        <f>IF('11th Data'!J31="","",'11th Data'!J31)</f>
        <v/>
      </c>
      <c r="C35" s="108" t="str">
        <f>IF('11th Data'!D31="","",'11th Data'!D31)</f>
        <v/>
      </c>
      <c r="D35" s="40" t="str">
        <f>IF('11th Data'!E31="","",'11th Data'!E31)</f>
        <v/>
      </c>
      <c r="E35" s="40" t="str">
        <f>IF('11th Data'!F31="","",'11th Data'!F31)</f>
        <v/>
      </c>
      <c r="F35" s="40" t="str">
        <f>IF('11th Data'!G31="","",'11th Data'!G31)</f>
        <v/>
      </c>
      <c r="G35" s="108" t="str">
        <f>IF('11th Data'!H31="","",'11th Data'!H31)</f>
        <v/>
      </c>
      <c r="H35" s="41" t="str">
        <f>IF('11th Data'!I31="","",'11th Data'!I31)</f>
        <v/>
      </c>
      <c r="I35" s="108" t="str">
        <f>IF('11th Data'!K31="","",'11th Data'!K31)</f>
        <v/>
      </c>
      <c r="K35" s="37">
        <v>15</v>
      </c>
      <c r="L35" s="37">
        <v>15</v>
      </c>
      <c r="M35" s="37">
        <v>20</v>
      </c>
      <c r="N35" s="37">
        <v>10</v>
      </c>
      <c r="O35" s="37">
        <v>57</v>
      </c>
      <c r="P35" s="37">
        <v>16</v>
      </c>
      <c r="R35" s="37">
        <v>10</v>
      </c>
      <c r="S35" s="37">
        <v>10</v>
      </c>
      <c r="T35" s="37">
        <v>10</v>
      </c>
      <c r="U35" s="37">
        <v>10</v>
      </c>
      <c r="V35" s="37">
        <v>51</v>
      </c>
      <c r="W35" s="37">
        <v>13</v>
      </c>
      <c r="Y35" s="109"/>
      <c r="Z35" s="37">
        <v>10</v>
      </c>
      <c r="AA35" s="37">
        <v>10</v>
      </c>
      <c r="AB35" s="37">
        <v>30</v>
      </c>
      <c r="AC35" s="37">
        <v>10</v>
      </c>
      <c r="AD35" s="37"/>
      <c r="AE35" s="37">
        <v>30</v>
      </c>
      <c r="AF35" s="37">
        <v>11</v>
      </c>
      <c r="AG35" s="37"/>
      <c r="AI35" s="109"/>
      <c r="AJ35" s="37">
        <v>10</v>
      </c>
      <c r="AK35" s="37">
        <v>10</v>
      </c>
      <c r="AL35" s="37">
        <v>30</v>
      </c>
      <c r="AM35" s="37">
        <v>10</v>
      </c>
      <c r="AN35" s="37"/>
      <c r="AO35" s="37">
        <v>50</v>
      </c>
      <c r="AP35" s="37">
        <v>15</v>
      </c>
      <c r="AQ35" s="37"/>
      <c r="AS35" s="109"/>
      <c r="AT35" s="37">
        <v>10</v>
      </c>
      <c r="AU35" s="37">
        <v>10</v>
      </c>
      <c r="AV35" s="37">
        <v>12</v>
      </c>
      <c r="AW35" s="37">
        <v>7</v>
      </c>
      <c r="AX35" s="37">
        <v>10</v>
      </c>
      <c r="AY35" s="37">
        <v>31</v>
      </c>
      <c r="AZ35" s="37">
        <v>10</v>
      </c>
      <c r="BA35" s="37">
        <v>14</v>
      </c>
      <c r="BC35" s="37">
        <v>15</v>
      </c>
      <c r="BD35" s="37">
        <v>15</v>
      </c>
      <c r="BE35" s="37">
        <v>15</v>
      </c>
      <c r="BF35" s="37">
        <v>10</v>
      </c>
      <c r="BG35" s="37">
        <v>70</v>
      </c>
      <c r="BH35" s="37">
        <v>12</v>
      </c>
      <c r="BJ35" s="37">
        <v>15</v>
      </c>
      <c r="BK35" s="37">
        <v>15</v>
      </c>
      <c r="BL35" s="37">
        <v>15</v>
      </c>
      <c r="BM35" s="37">
        <v>10</v>
      </c>
      <c r="BN35" s="37">
        <v>70</v>
      </c>
      <c r="BO35" s="37">
        <v>12</v>
      </c>
      <c r="BQ35" s="37"/>
      <c r="BR35" s="37"/>
      <c r="BS35" s="37"/>
      <c r="BT35" s="37"/>
      <c r="BU35" s="37"/>
      <c r="BV35" s="37"/>
      <c r="BY35" s="42">
        <f t="shared" si="0"/>
        <v>400</v>
      </c>
      <c r="BZ35" s="37">
        <v>300</v>
      </c>
    </row>
    <row r="36" spans="1:78" ht="30" customHeight="1" x14ac:dyDescent="0.25">
      <c r="A36" s="108" t="str">
        <f>IF('11th Data'!A32="","",'11th Data'!A32)</f>
        <v/>
      </c>
      <c r="B36" s="108" t="str">
        <f>IF('11th Data'!J32="","",'11th Data'!J32)</f>
        <v/>
      </c>
      <c r="C36" s="108" t="str">
        <f>IF('11th Data'!D32="","",'11th Data'!D32)</f>
        <v/>
      </c>
      <c r="D36" s="40" t="str">
        <f>IF('11th Data'!E32="","",'11th Data'!E32)</f>
        <v/>
      </c>
      <c r="E36" s="40" t="str">
        <f>IF('11th Data'!F32="","",'11th Data'!F32)</f>
        <v/>
      </c>
      <c r="F36" s="40" t="str">
        <f>IF('11th Data'!G32="","",'11th Data'!G32)</f>
        <v/>
      </c>
      <c r="G36" s="108" t="str">
        <f>IF('11th Data'!H32="","",'11th Data'!H32)</f>
        <v/>
      </c>
      <c r="H36" s="41" t="str">
        <f>IF('11th Data'!I32="","",'11th Data'!I32)</f>
        <v/>
      </c>
      <c r="I36" s="108" t="str">
        <f>IF('11th Data'!K32="","",'11th Data'!K32)</f>
        <v/>
      </c>
      <c r="K36" s="37">
        <v>5</v>
      </c>
      <c r="L36" s="37">
        <v>5</v>
      </c>
      <c r="M36" s="37">
        <v>5</v>
      </c>
      <c r="N36" s="37">
        <v>5</v>
      </c>
      <c r="O36" s="37">
        <v>58</v>
      </c>
      <c r="P36" s="37">
        <v>16</v>
      </c>
      <c r="R36" s="37">
        <v>5</v>
      </c>
      <c r="S36" s="37">
        <v>5</v>
      </c>
      <c r="T36" s="37">
        <v>5</v>
      </c>
      <c r="U36" s="37">
        <v>5</v>
      </c>
      <c r="V36" s="37">
        <v>52</v>
      </c>
      <c r="W36" s="37">
        <v>13</v>
      </c>
      <c r="Y36" s="109"/>
      <c r="Z36" s="37">
        <v>5</v>
      </c>
      <c r="AA36" s="37">
        <v>5</v>
      </c>
      <c r="AB36" s="37">
        <v>5</v>
      </c>
      <c r="AC36" s="37">
        <v>5</v>
      </c>
      <c r="AD36" s="37"/>
      <c r="AE36" s="37">
        <v>5</v>
      </c>
      <c r="AF36" s="37">
        <v>11</v>
      </c>
      <c r="AG36" s="37"/>
      <c r="AI36" s="109"/>
      <c r="AJ36" s="37">
        <v>5</v>
      </c>
      <c r="AK36" s="37">
        <v>5</v>
      </c>
      <c r="AL36" s="37">
        <v>5</v>
      </c>
      <c r="AM36" s="37">
        <v>5</v>
      </c>
      <c r="AN36" s="37"/>
      <c r="AO36" s="37">
        <v>5</v>
      </c>
      <c r="AP36" s="37">
        <v>10</v>
      </c>
      <c r="AQ36" s="37"/>
      <c r="AS36" s="109"/>
      <c r="AT36" s="37">
        <v>5</v>
      </c>
      <c r="AU36" s="37">
        <v>5</v>
      </c>
      <c r="AV36" s="37">
        <v>18</v>
      </c>
      <c r="AW36" s="37">
        <v>4</v>
      </c>
      <c r="AX36" s="37">
        <v>11</v>
      </c>
      <c r="AY36" s="37">
        <v>32</v>
      </c>
      <c r="AZ36" s="37">
        <v>8</v>
      </c>
      <c r="BA36" s="37">
        <v>15</v>
      </c>
      <c r="BC36" s="37">
        <v>15</v>
      </c>
      <c r="BD36" s="37">
        <v>15</v>
      </c>
      <c r="BE36" s="37">
        <v>15</v>
      </c>
      <c r="BF36" s="37">
        <v>10</v>
      </c>
      <c r="BG36" s="37">
        <v>70</v>
      </c>
      <c r="BH36" s="37">
        <v>12</v>
      </c>
      <c r="BJ36" s="37">
        <v>15</v>
      </c>
      <c r="BK36" s="37">
        <v>15</v>
      </c>
      <c r="BL36" s="37">
        <v>15</v>
      </c>
      <c r="BM36" s="37">
        <v>10</v>
      </c>
      <c r="BN36" s="37">
        <v>70</v>
      </c>
      <c r="BO36" s="37">
        <v>12</v>
      </c>
      <c r="BQ36" s="37"/>
      <c r="BR36" s="37"/>
      <c r="BS36" s="37"/>
      <c r="BT36" s="37"/>
      <c r="BU36" s="37"/>
      <c r="BV36" s="37"/>
      <c r="BY36" s="42">
        <f t="shared" si="0"/>
        <v>400</v>
      </c>
      <c r="BZ36" s="37">
        <v>300</v>
      </c>
    </row>
    <row r="37" spans="1:78" ht="30" customHeight="1" x14ac:dyDescent="0.25">
      <c r="A37" s="108" t="str">
        <f>IF('11th Data'!A33="","",'11th Data'!A33)</f>
        <v/>
      </c>
      <c r="B37" s="108" t="str">
        <f>IF('11th Data'!J33="","",'11th Data'!J33)</f>
        <v/>
      </c>
      <c r="C37" s="108" t="str">
        <f>IF('11th Data'!D33="","",'11th Data'!D33)</f>
        <v/>
      </c>
      <c r="D37" s="40" t="str">
        <f>IF('11th Data'!E33="","",'11th Data'!E33)</f>
        <v/>
      </c>
      <c r="E37" s="40" t="str">
        <f>IF('11th Data'!F33="","",'11th Data'!F33)</f>
        <v/>
      </c>
      <c r="F37" s="40" t="str">
        <f>IF('11th Data'!G33="","",'11th Data'!G33)</f>
        <v/>
      </c>
      <c r="G37" s="108" t="str">
        <f>IF('11th Data'!H33="","",'11th Data'!H33)</f>
        <v/>
      </c>
      <c r="H37" s="41" t="str">
        <f>IF('11th Data'!I33="","",'11th Data'!I33)</f>
        <v/>
      </c>
      <c r="I37" s="108" t="str">
        <f>IF('11th Data'!K33="","",'11th Data'!K33)</f>
        <v/>
      </c>
      <c r="K37" s="37">
        <v>10</v>
      </c>
      <c r="L37" s="37">
        <v>9</v>
      </c>
      <c r="M37" s="37">
        <v>5</v>
      </c>
      <c r="N37" s="37">
        <v>5</v>
      </c>
      <c r="O37" s="37">
        <v>59</v>
      </c>
      <c r="P37" s="37">
        <v>16</v>
      </c>
      <c r="R37" s="37">
        <v>10</v>
      </c>
      <c r="S37" s="37">
        <v>10</v>
      </c>
      <c r="T37" s="37">
        <v>30</v>
      </c>
      <c r="U37" s="37">
        <v>10</v>
      </c>
      <c r="V37" s="37">
        <v>53</v>
      </c>
      <c r="W37" s="37">
        <v>13</v>
      </c>
      <c r="Y37" s="109"/>
      <c r="Z37" s="37">
        <v>18</v>
      </c>
      <c r="AA37" s="37">
        <v>18</v>
      </c>
      <c r="AB37" s="37">
        <v>40</v>
      </c>
      <c r="AC37" s="37">
        <v>10</v>
      </c>
      <c r="AD37" s="37"/>
      <c r="AE37" s="37">
        <v>65</v>
      </c>
      <c r="AF37" s="37">
        <v>11</v>
      </c>
      <c r="AG37" s="37"/>
      <c r="AI37" s="109"/>
      <c r="AJ37" s="37">
        <v>5</v>
      </c>
      <c r="AK37" s="37">
        <v>5</v>
      </c>
      <c r="AL37" s="37">
        <v>18</v>
      </c>
      <c r="AM37" s="37">
        <v>10</v>
      </c>
      <c r="AN37" s="37"/>
      <c r="AO37" s="37">
        <v>30</v>
      </c>
      <c r="AP37" s="37">
        <v>5</v>
      </c>
      <c r="AQ37" s="37"/>
      <c r="AS37" s="109"/>
      <c r="AT37" s="37">
        <v>10</v>
      </c>
      <c r="AU37" s="37">
        <v>10</v>
      </c>
      <c r="AV37" s="37">
        <v>15</v>
      </c>
      <c r="AW37" s="37">
        <v>8</v>
      </c>
      <c r="AX37" s="37">
        <v>10</v>
      </c>
      <c r="AY37" s="37">
        <v>30</v>
      </c>
      <c r="AZ37" s="37">
        <v>10</v>
      </c>
      <c r="BA37" s="37">
        <v>16</v>
      </c>
      <c r="BC37" s="37">
        <v>15</v>
      </c>
      <c r="BD37" s="37">
        <v>15</v>
      </c>
      <c r="BE37" s="37">
        <v>15</v>
      </c>
      <c r="BF37" s="37">
        <v>10</v>
      </c>
      <c r="BG37" s="37">
        <v>70</v>
      </c>
      <c r="BH37" s="37">
        <v>12</v>
      </c>
      <c r="BJ37" s="37">
        <v>15</v>
      </c>
      <c r="BK37" s="37">
        <v>15</v>
      </c>
      <c r="BL37" s="37">
        <v>15</v>
      </c>
      <c r="BM37" s="37">
        <v>10</v>
      </c>
      <c r="BN37" s="37">
        <v>70</v>
      </c>
      <c r="BO37" s="37">
        <v>12</v>
      </c>
      <c r="BQ37" s="37"/>
      <c r="BR37" s="37"/>
      <c r="BS37" s="37"/>
      <c r="BT37" s="37"/>
      <c r="BU37" s="37"/>
      <c r="BV37" s="37"/>
      <c r="BY37" s="42">
        <f t="shared" si="0"/>
        <v>400</v>
      </c>
      <c r="BZ37" s="37">
        <v>300</v>
      </c>
    </row>
    <row r="38" spans="1:78" ht="30" customHeight="1" x14ac:dyDescent="0.25">
      <c r="A38" s="108" t="str">
        <f>IF('11th Data'!A34="","",'11th Data'!A34)</f>
        <v/>
      </c>
      <c r="B38" s="108" t="str">
        <f>IF('11th Data'!J34="","",'11th Data'!J34)</f>
        <v/>
      </c>
      <c r="C38" s="108" t="str">
        <f>IF('11th Data'!D34="","",'11th Data'!D34)</f>
        <v/>
      </c>
      <c r="D38" s="40" t="str">
        <f>IF('11th Data'!E34="","",'11th Data'!E34)</f>
        <v/>
      </c>
      <c r="E38" s="40" t="str">
        <f>IF('11th Data'!F34="","",'11th Data'!F34)</f>
        <v/>
      </c>
      <c r="F38" s="40" t="str">
        <f>IF('11th Data'!G34="","",'11th Data'!G34)</f>
        <v/>
      </c>
      <c r="G38" s="108" t="str">
        <f>IF('11th Data'!H34="","",'11th Data'!H34)</f>
        <v/>
      </c>
      <c r="H38" s="41" t="str">
        <f>IF('11th Data'!I34="","",'11th Data'!I34)</f>
        <v/>
      </c>
      <c r="I38" s="108" t="str">
        <f>IF('11th Data'!K34="","",'11th Data'!K34)</f>
        <v/>
      </c>
      <c r="K38" s="37">
        <v>10</v>
      </c>
      <c r="L38" s="37">
        <v>20</v>
      </c>
      <c r="M38" s="37">
        <v>10</v>
      </c>
      <c r="N38" s="37">
        <v>5</v>
      </c>
      <c r="O38" s="37">
        <v>60</v>
      </c>
      <c r="P38" s="37">
        <v>16</v>
      </c>
      <c r="R38" s="37">
        <v>10</v>
      </c>
      <c r="S38" s="37">
        <v>10</v>
      </c>
      <c r="T38" s="37">
        <v>30</v>
      </c>
      <c r="U38" s="37">
        <v>10</v>
      </c>
      <c r="V38" s="37">
        <v>54</v>
      </c>
      <c r="W38" s="37">
        <v>13</v>
      </c>
      <c r="Y38" s="109"/>
      <c r="Z38" s="37">
        <v>10</v>
      </c>
      <c r="AA38" s="37">
        <v>10</v>
      </c>
      <c r="AB38" s="37">
        <v>30</v>
      </c>
      <c r="AC38" s="37">
        <v>10</v>
      </c>
      <c r="AD38" s="37"/>
      <c r="AE38" s="37">
        <v>30</v>
      </c>
      <c r="AF38" s="37">
        <v>11</v>
      </c>
      <c r="AG38" s="37"/>
      <c r="AI38" s="109"/>
      <c r="AJ38" s="37">
        <v>10</v>
      </c>
      <c r="AK38" s="37">
        <v>10</v>
      </c>
      <c r="AL38" s="37">
        <v>30</v>
      </c>
      <c r="AM38" s="37">
        <v>10</v>
      </c>
      <c r="AN38" s="37"/>
      <c r="AO38" s="37">
        <v>50</v>
      </c>
      <c r="AP38" s="37">
        <v>4</v>
      </c>
      <c r="AQ38" s="37"/>
      <c r="AS38" s="109"/>
      <c r="AT38" s="37">
        <v>10</v>
      </c>
      <c r="AU38" s="37">
        <v>10</v>
      </c>
      <c r="AV38" s="37">
        <v>12</v>
      </c>
      <c r="AW38" s="37">
        <v>7</v>
      </c>
      <c r="AX38" s="37">
        <v>12</v>
      </c>
      <c r="AY38" s="37">
        <v>28</v>
      </c>
      <c r="AZ38" s="37">
        <v>12</v>
      </c>
      <c r="BA38" s="37">
        <v>10</v>
      </c>
      <c r="BC38" s="37">
        <v>15</v>
      </c>
      <c r="BD38" s="37">
        <v>15</v>
      </c>
      <c r="BE38" s="37">
        <v>15</v>
      </c>
      <c r="BF38" s="37">
        <v>10</v>
      </c>
      <c r="BG38" s="37">
        <v>70</v>
      </c>
      <c r="BH38" s="37">
        <v>12</v>
      </c>
      <c r="BJ38" s="37">
        <v>15</v>
      </c>
      <c r="BK38" s="37">
        <v>15</v>
      </c>
      <c r="BL38" s="37">
        <v>15</v>
      </c>
      <c r="BM38" s="37">
        <v>10</v>
      </c>
      <c r="BN38" s="37">
        <v>70</v>
      </c>
      <c r="BO38" s="37">
        <v>12</v>
      </c>
      <c r="BQ38" s="37"/>
      <c r="BR38" s="37"/>
      <c r="BS38" s="37"/>
      <c r="BT38" s="37"/>
      <c r="BU38" s="37"/>
      <c r="BV38" s="37"/>
      <c r="BY38" s="42">
        <f t="shared" si="0"/>
        <v>400</v>
      </c>
      <c r="BZ38" s="37">
        <v>300</v>
      </c>
    </row>
    <row r="39" spans="1:78" ht="30" customHeight="1" x14ac:dyDescent="0.25">
      <c r="A39" s="108" t="str">
        <f>IF('11th Data'!A35="","",'11th Data'!A35)</f>
        <v/>
      </c>
      <c r="B39" s="108" t="str">
        <f>IF('11th Data'!J35="","",'11th Data'!J35)</f>
        <v/>
      </c>
      <c r="C39" s="108" t="str">
        <f>IF('11th Data'!D35="","",'11th Data'!D35)</f>
        <v/>
      </c>
      <c r="D39" s="40" t="str">
        <f>IF('11th Data'!E35="","",'11th Data'!E35)</f>
        <v/>
      </c>
      <c r="E39" s="40" t="str">
        <f>IF('11th Data'!F35="","",'11th Data'!F35)</f>
        <v/>
      </c>
      <c r="F39" s="40" t="str">
        <f>IF('11th Data'!G35="","",'11th Data'!G35)</f>
        <v/>
      </c>
      <c r="G39" s="108" t="str">
        <f>IF('11th Data'!H35="","",'11th Data'!H35)</f>
        <v/>
      </c>
      <c r="H39" s="41" t="str">
        <f>IF('11th Data'!I35="","",'11th Data'!I35)</f>
        <v/>
      </c>
      <c r="I39" s="108" t="str">
        <f>IF('11th Data'!K35="","",'11th Data'!K35)</f>
        <v/>
      </c>
      <c r="K39" s="37">
        <v>10</v>
      </c>
      <c r="L39" s="37">
        <v>20</v>
      </c>
      <c r="M39" s="37">
        <v>10</v>
      </c>
      <c r="N39" s="37">
        <v>5</v>
      </c>
      <c r="O39" s="37">
        <v>61</v>
      </c>
      <c r="P39" s="37">
        <v>16</v>
      </c>
      <c r="R39" s="37">
        <v>10</v>
      </c>
      <c r="S39" s="37">
        <v>10</v>
      </c>
      <c r="T39" s="37">
        <v>30</v>
      </c>
      <c r="U39" s="37">
        <v>10</v>
      </c>
      <c r="V39" s="37">
        <v>55</v>
      </c>
      <c r="W39" s="37">
        <v>13</v>
      </c>
      <c r="Y39" s="109"/>
      <c r="Z39" s="37">
        <v>10</v>
      </c>
      <c r="AA39" s="37">
        <v>10</v>
      </c>
      <c r="AB39" s="37">
        <v>30</v>
      </c>
      <c r="AC39" s="37">
        <v>10</v>
      </c>
      <c r="AD39" s="37"/>
      <c r="AE39" s="37">
        <v>30</v>
      </c>
      <c r="AF39" s="37">
        <v>11</v>
      </c>
      <c r="AG39" s="37"/>
      <c r="AI39" s="109"/>
      <c r="AJ39" s="37">
        <v>10</v>
      </c>
      <c r="AK39" s="37">
        <v>10</v>
      </c>
      <c r="AL39" s="37">
        <v>30</v>
      </c>
      <c r="AM39" s="37">
        <v>10</v>
      </c>
      <c r="AN39" s="37"/>
      <c r="AO39" s="37">
        <v>50</v>
      </c>
      <c r="AP39" s="37">
        <v>15</v>
      </c>
      <c r="AQ39" s="37"/>
      <c r="AS39" s="109"/>
      <c r="AT39" s="37">
        <v>10</v>
      </c>
      <c r="AU39" s="37">
        <v>10</v>
      </c>
      <c r="AV39" s="37">
        <v>18</v>
      </c>
      <c r="AW39" s="37">
        <v>6</v>
      </c>
      <c r="AX39" s="37">
        <v>14</v>
      </c>
      <c r="AY39" s="37">
        <v>30</v>
      </c>
      <c r="AZ39" s="37">
        <v>10</v>
      </c>
      <c r="BA39" s="37">
        <v>15</v>
      </c>
      <c r="BC39" s="37">
        <v>15</v>
      </c>
      <c r="BD39" s="37">
        <v>15</v>
      </c>
      <c r="BE39" s="37">
        <v>15</v>
      </c>
      <c r="BF39" s="37">
        <v>10</v>
      </c>
      <c r="BG39" s="37">
        <v>70</v>
      </c>
      <c r="BH39" s="37">
        <v>12</v>
      </c>
      <c r="BJ39" s="37">
        <v>15</v>
      </c>
      <c r="BK39" s="37">
        <v>15</v>
      </c>
      <c r="BL39" s="37">
        <v>15</v>
      </c>
      <c r="BM39" s="37">
        <v>10</v>
      </c>
      <c r="BN39" s="37">
        <v>70</v>
      </c>
      <c r="BO39" s="37">
        <v>12</v>
      </c>
      <c r="BQ39" s="37"/>
      <c r="BR39" s="37"/>
      <c r="BS39" s="37"/>
      <c r="BT39" s="37"/>
      <c r="BU39" s="37"/>
      <c r="BV39" s="37"/>
      <c r="BY39" s="42">
        <f t="shared" si="0"/>
        <v>400</v>
      </c>
      <c r="BZ39" s="37">
        <v>300</v>
      </c>
    </row>
    <row r="40" spans="1:78" ht="30" customHeight="1" x14ac:dyDescent="0.25">
      <c r="A40" s="108" t="str">
        <f>IF('11th Data'!A36="","",'11th Data'!A36)</f>
        <v/>
      </c>
      <c r="B40" s="108" t="str">
        <f>IF('11th Data'!J36="","",'11th Data'!J36)</f>
        <v/>
      </c>
      <c r="C40" s="108" t="str">
        <f>IF('11th Data'!D36="","",'11th Data'!D36)</f>
        <v/>
      </c>
      <c r="D40" s="40" t="str">
        <f>IF('11th Data'!E36="","",'11th Data'!E36)</f>
        <v/>
      </c>
      <c r="E40" s="40" t="str">
        <f>IF('11th Data'!F36="","",'11th Data'!F36)</f>
        <v/>
      </c>
      <c r="F40" s="40" t="str">
        <f>IF('11th Data'!G36="","",'11th Data'!G36)</f>
        <v/>
      </c>
      <c r="G40" s="108" t="str">
        <f>IF('11th Data'!H36="","",'11th Data'!H36)</f>
        <v/>
      </c>
      <c r="H40" s="41" t="str">
        <f>IF('11th Data'!I36="","",'11th Data'!I36)</f>
        <v/>
      </c>
      <c r="I40" s="108" t="str">
        <f>IF('11th Data'!K36="","",'11th Data'!K36)</f>
        <v/>
      </c>
      <c r="K40" s="37">
        <v>10</v>
      </c>
      <c r="L40" s="37">
        <v>20</v>
      </c>
      <c r="M40" s="37">
        <v>10</v>
      </c>
      <c r="N40" s="37">
        <v>5</v>
      </c>
      <c r="O40" s="37">
        <v>62</v>
      </c>
      <c r="P40" s="37">
        <v>16</v>
      </c>
      <c r="R40" s="37">
        <v>10</v>
      </c>
      <c r="S40" s="37">
        <v>10</v>
      </c>
      <c r="T40" s="37">
        <v>30</v>
      </c>
      <c r="U40" s="37">
        <v>10</v>
      </c>
      <c r="V40" s="37">
        <v>56</v>
      </c>
      <c r="W40" s="37">
        <v>13</v>
      </c>
      <c r="Y40" s="109"/>
      <c r="Z40" s="37">
        <v>10</v>
      </c>
      <c r="AA40" s="37">
        <v>10</v>
      </c>
      <c r="AB40" s="37">
        <v>30</v>
      </c>
      <c r="AC40" s="37">
        <v>10</v>
      </c>
      <c r="AD40" s="37"/>
      <c r="AE40" s="37">
        <v>30</v>
      </c>
      <c r="AF40" s="37">
        <v>11</v>
      </c>
      <c r="AG40" s="37"/>
      <c r="AI40" s="109"/>
      <c r="AJ40" s="37">
        <v>10</v>
      </c>
      <c r="AK40" s="37">
        <v>10</v>
      </c>
      <c r="AL40" s="37">
        <v>30</v>
      </c>
      <c r="AM40" s="37">
        <v>10</v>
      </c>
      <c r="AN40" s="37"/>
      <c r="AO40" s="37">
        <v>50</v>
      </c>
      <c r="AP40" s="37">
        <v>10</v>
      </c>
      <c r="AQ40" s="37"/>
      <c r="AS40" s="109"/>
      <c r="AT40" s="37">
        <v>10</v>
      </c>
      <c r="AU40" s="37">
        <v>10</v>
      </c>
      <c r="AV40" s="37">
        <v>17</v>
      </c>
      <c r="AW40" s="37">
        <v>4</v>
      </c>
      <c r="AX40" s="37">
        <v>10</v>
      </c>
      <c r="AY40" s="37">
        <v>21</v>
      </c>
      <c r="AZ40" s="37">
        <v>11</v>
      </c>
      <c r="BA40" s="37">
        <v>18</v>
      </c>
      <c r="BC40" s="37">
        <v>15</v>
      </c>
      <c r="BD40" s="37">
        <v>15</v>
      </c>
      <c r="BE40" s="37">
        <v>15</v>
      </c>
      <c r="BF40" s="37">
        <v>10</v>
      </c>
      <c r="BG40" s="37">
        <v>70</v>
      </c>
      <c r="BH40" s="37">
        <v>12</v>
      </c>
      <c r="BJ40" s="37">
        <v>15</v>
      </c>
      <c r="BK40" s="37">
        <v>15</v>
      </c>
      <c r="BL40" s="37">
        <v>15</v>
      </c>
      <c r="BM40" s="37">
        <v>10</v>
      </c>
      <c r="BN40" s="37">
        <v>70</v>
      </c>
      <c r="BO40" s="37">
        <v>12</v>
      </c>
      <c r="BQ40" s="37"/>
      <c r="BR40" s="37"/>
      <c r="BS40" s="37"/>
      <c r="BT40" s="37"/>
      <c r="BU40" s="37"/>
      <c r="BV40" s="37"/>
      <c r="BY40" s="42">
        <f t="shared" si="0"/>
        <v>400</v>
      </c>
      <c r="BZ40" s="37">
        <v>300</v>
      </c>
    </row>
    <row r="41" spans="1:78" ht="30" customHeight="1" x14ac:dyDescent="0.25">
      <c r="A41" s="108" t="str">
        <f>IF('11th Data'!A37="","",'11th Data'!A37)</f>
        <v/>
      </c>
      <c r="B41" s="108" t="str">
        <f>IF('11th Data'!J37="","",'11th Data'!J37)</f>
        <v/>
      </c>
      <c r="C41" s="108" t="str">
        <f>IF('11th Data'!D37="","",'11th Data'!D37)</f>
        <v/>
      </c>
      <c r="D41" s="40" t="str">
        <f>IF('11th Data'!E37="","",'11th Data'!E37)</f>
        <v/>
      </c>
      <c r="E41" s="40" t="str">
        <f>IF('11th Data'!F37="","",'11th Data'!F37)</f>
        <v/>
      </c>
      <c r="F41" s="40" t="str">
        <f>IF('11th Data'!G37="","",'11th Data'!G37)</f>
        <v/>
      </c>
      <c r="G41" s="108" t="str">
        <f>IF('11th Data'!H37="","",'11th Data'!H37)</f>
        <v/>
      </c>
      <c r="H41" s="41" t="str">
        <f>IF('11th Data'!I37="","",'11th Data'!I37)</f>
        <v/>
      </c>
      <c r="I41" s="108" t="str">
        <f>IF('11th Data'!K37="","",'11th Data'!K37)</f>
        <v/>
      </c>
      <c r="K41" s="37">
        <v>10</v>
      </c>
      <c r="L41" s="37">
        <v>10</v>
      </c>
      <c r="M41" s="37">
        <v>30</v>
      </c>
      <c r="N41" s="37">
        <v>10</v>
      </c>
      <c r="O41" s="37">
        <v>63</v>
      </c>
      <c r="P41" s="37">
        <v>16</v>
      </c>
      <c r="R41" s="37">
        <v>15</v>
      </c>
      <c r="S41" s="37">
        <v>15</v>
      </c>
      <c r="T41" s="37">
        <v>30</v>
      </c>
      <c r="U41" s="37">
        <v>10</v>
      </c>
      <c r="V41" s="37">
        <v>57</v>
      </c>
      <c r="W41" s="37">
        <v>13</v>
      </c>
      <c r="Y41" s="109"/>
      <c r="Z41" s="37">
        <v>15</v>
      </c>
      <c r="AA41" s="37">
        <v>15</v>
      </c>
      <c r="AB41" s="37">
        <v>30</v>
      </c>
      <c r="AC41" s="37">
        <v>10</v>
      </c>
      <c r="AD41" s="37"/>
      <c r="AE41" s="37">
        <v>60</v>
      </c>
      <c r="AF41" s="37">
        <v>11</v>
      </c>
      <c r="AG41" s="37"/>
      <c r="AI41" s="109"/>
      <c r="AJ41" s="37">
        <v>15</v>
      </c>
      <c r="AK41" s="37">
        <v>15</v>
      </c>
      <c r="AL41" s="37">
        <v>30</v>
      </c>
      <c r="AM41" s="37">
        <v>10</v>
      </c>
      <c r="AN41" s="37"/>
      <c r="AO41" s="37">
        <v>60</v>
      </c>
      <c r="AP41" s="37">
        <v>9</v>
      </c>
      <c r="AQ41" s="37"/>
      <c r="AS41" s="109"/>
      <c r="AT41" s="37">
        <v>15</v>
      </c>
      <c r="AU41" s="37">
        <v>15</v>
      </c>
      <c r="AV41" s="37">
        <v>16</v>
      </c>
      <c r="AW41" s="37">
        <v>10</v>
      </c>
      <c r="AX41" s="37">
        <v>8</v>
      </c>
      <c r="AY41" s="37">
        <v>25</v>
      </c>
      <c r="AZ41" s="37">
        <v>10</v>
      </c>
      <c r="BA41" s="37">
        <v>18</v>
      </c>
      <c r="BC41" s="37">
        <v>15</v>
      </c>
      <c r="BD41" s="37">
        <v>15</v>
      </c>
      <c r="BE41" s="37">
        <v>15</v>
      </c>
      <c r="BF41" s="37">
        <v>10</v>
      </c>
      <c r="BG41" s="37">
        <v>70</v>
      </c>
      <c r="BH41" s="37">
        <v>12</v>
      </c>
      <c r="BJ41" s="37">
        <v>15</v>
      </c>
      <c r="BK41" s="37">
        <v>15</v>
      </c>
      <c r="BL41" s="37">
        <v>15</v>
      </c>
      <c r="BM41" s="37">
        <v>10</v>
      </c>
      <c r="BN41" s="37">
        <v>70</v>
      </c>
      <c r="BO41" s="37">
        <v>12</v>
      </c>
      <c r="BQ41" s="37"/>
      <c r="BR41" s="37"/>
      <c r="BS41" s="37"/>
      <c r="BT41" s="37"/>
      <c r="BU41" s="37"/>
      <c r="BV41" s="37"/>
      <c r="BY41" s="42">
        <f t="shared" si="0"/>
        <v>400</v>
      </c>
      <c r="BZ41" s="37">
        <v>300</v>
      </c>
    </row>
    <row r="42" spans="1:78" ht="30" customHeight="1" x14ac:dyDescent="0.25">
      <c r="A42" s="108" t="str">
        <f>IF('11th Data'!A38="","",'11th Data'!A38)</f>
        <v/>
      </c>
      <c r="B42" s="108" t="str">
        <f>IF('11th Data'!J38="","",'11th Data'!J38)</f>
        <v/>
      </c>
      <c r="C42" s="108" t="str">
        <f>IF('11th Data'!D38="","",'11th Data'!D38)</f>
        <v/>
      </c>
      <c r="D42" s="40" t="str">
        <f>IF('11th Data'!E38="","",'11th Data'!E38)</f>
        <v/>
      </c>
      <c r="E42" s="40" t="str">
        <f>IF('11th Data'!F38="","",'11th Data'!F38)</f>
        <v/>
      </c>
      <c r="F42" s="40" t="str">
        <f>IF('11th Data'!G38="","",'11th Data'!G38)</f>
        <v/>
      </c>
      <c r="G42" s="108" t="str">
        <f>IF('11th Data'!H38="","",'11th Data'!H38)</f>
        <v/>
      </c>
      <c r="H42" s="41" t="str">
        <f>IF('11th Data'!I38="","",'11th Data'!I38)</f>
        <v/>
      </c>
      <c r="I42" s="108" t="str">
        <f>IF('11th Data'!K38="","",'11th Data'!K38)</f>
        <v/>
      </c>
      <c r="K42" s="37">
        <v>10</v>
      </c>
      <c r="L42" s="37">
        <v>10</v>
      </c>
      <c r="M42" s="37">
        <v>12</v>
      </c>
      <c r="N42" s="37">
        <v>4</v>
      </c>
      <c r="O42" s="37">
        <v>64</v>
      </c>
      <c r="P42" s="37">
        <v>16</v>
      </c>
      <c r="R42" s="37">
        <v>5</v>
      </c>
      <c r="S42" s="37">
        <v>10</v>
      </c>
      <c r="T42" s="37">
        <v>12</v>
      </c>
      <c r="U42" s="37">
        <v>4</v>
      </c>
      <c r="V42" s="37">
        <v>58</v>
      </c>
      <c r="W42" s="37">
        <v>13</v>
      </c>
      <c r="Y42" s="109"/>
      <c r="Z42" s="37">
        <v>12</v>
      </c>
      <c r="AA42" s="37">
        <v>10</v>
      </c>
      <c r="AB42" s="37">
        <v>12</v>
      </c>
      <c r="AC42" s="37">
        <v>4</v>
      </c>
      <c r="AD42" s="37"/>
      <c r="AE42" s="37">
        <v>40</v>
      </c>
      <c r="AF42" s="37">
        <v>11</v>
      </c>
      <c r="AG42" s="37"/>
      <c r="AI42" s="109"/>
      <c r="AJ42" s="37">
        <v>6</v>
      </c>
      <c r="AK42" s="37">
        <v>10</v>
      </c>
      <c r="AL42" s="37">
        <v>12</v>
      </c>
      <c r="AM42" s="37">
        <v>4</v>
      </c>
      <c r="AN42" s="37"/>
      <c r="AO42" s="37">
        <v>40</v>
      </c>
      <c r="AP42" s="37">
        <v>8</v>
      </c>
      <c r="AQ42" s="37"/>
      <c r="AS42" s="109"/>
      <c r="AT42" s="37">
        <v>15</v>
      </c>
      <c r="AU42" s="37">
        <v>10</v>
      </c>
      <c r="AV42" s="37">
        <v>15</v>
      </c>
      <c r="AW42" s="37">
        <v>1</v>
      </c>
      <c r="AX42" s="37">
        <v>10</v>
      </c>
      <c r="AY42" s="37">
        <v>28</v>
      </c>
      <c r="AZ42" s="37">
        <v>8</v>
      </c>
      <c r="BA42" s="37">
        <v>15</v>
      </c>
      <c r="BC42" s="37">
        <v>15</v>
      </c>
      <c r="BD42" s="37">
        <v>15</v>
      </c>
      <c r="BE42" s="37">
        <v>15</v>
      </c>
      <c r="BF42" s="37">
        <v>10</v>
      </c>
      <c r="BG42" s="37">
        <v>70</v>
      </c>
      <c r="BH42" s="37">
        <v>12</v>
      </c>
      <c r="BJ42" s="37">
        <v>15</v>
      </c>
      <c r="BK42" s="37">
        <v>15</v>
      </c>
      <c r="BL42" s="37">
        <v>15</v>
      </c>
      <c r="BM42" s="37">
        <v>10</v>
      </c>
      <c r="BN42" s="37">
        <v>70</v>
      </c>
      <c r="BO42" s="37">
        <v>12</v>
      </c>
      <c r="BQ42" s="37"/>
      <c r="BR42" s="37"/>
      <c r="BS42" s="37"/>
      <c r="BT42" s="37"/>
      <c r="BU42" s="37"/>
      <c r="BV42" s="37"/>
      <c r="BY42" s="42">
        <f t="shared" si="0"/>
        <v>400</v>
      </c>
      <c r="BZ42" s="37">
        <v>300</v>
      </c>
    </row>
    <row r="43" spans="1:78" ht="30" customHeight="1" x14ac:dyDescent="0.25">
      <c r="A43" s="108" t="str">
        <f>IF('11th Data'!A39="","",'11th Data'!A39)</f>
        <v/>
      </c>
      <c r="B43" s="108" t="str">
        <f>IF('11th Data'!J39="","",'11th Data'!J39)</f>
        <v/>
      </c>
      <c r="C43" s="108" t="str">
        <f>IF('11th Data'!D39="","",'11th Data'!D39)</f>
        <v/>
      </c>
      <c r="D43" s="40" t="str">
        <f>IF('11th Data'!E39="","",'11th Data'!E39)</f>
        <v/>
      </c>
      <c r="E43" s="40" t="str">
        <f>IF('11th Data'!F39="","",'11th Data'!F39)</f>
        <v/>
      </c>
      <c r="F43" s="40" t="str">
        <f>IF('11th Data'!G39="","",'11th Data'!G39)</f>
        <v/>
      </c>
      <c r="G43" s="108" t="str">
        <f>IF('11th Data'!H39="","",'11th Data'!H39)</f>
        <v/>
      </c>
      <c r="H43" s="41" t="str">
        <f>IF('11th Data'!I39="","",'11th Data'!I39)</f>
        <v/>
      </c>
      <c r="I43" s="108" t="str">
        <f>IF('11th Data'!K39="","",'11th Data'!K39)</f>
        <v/>
      </c>
      <c r="K43" s="37">
        <v>15</v>
      </c>
      <c r="L43" s="37">
        <v>15</v>
      </c>
      <c r="M43" s="37">
        <v>20</v>
      </c>
      <c r="N43" s="37">
        <v>10</v>
      </c>
      <c r="O43" s="37">
        <v>65</v>
      </c>
      <c r="P43" s="37">
        <v>16</v>
      </c>
      <c r="R43" s="37">
        <v>10</v>
      </c>
      <c r="S43" s="37">
        <v>10</v>
      </c>
      <c r="T43" s="37">
        <v>10</v>
      </c>
      <c r="U43" s="37">
        <v>10</v>
      </c>
      <c r="V43" s="37">
        <v>59</v>
      </c>
      <c r="W43" s="37">
        <v>13</v>
      </c>
      <c r="Y43" s="109"/>
      <c r="Z43" s="37">
        <v>10</v>
      </c>
      <c r="AA43" s="37">
        <v>10</v>
      </c>
      <c r="AB43" s="37">
        <v>30</v>
      </c>
      <c r="AC43" s="37">
        <v>10</v>
      </c>
      <c r="AD43" s="37"/>
      <c r="AE43" s="37">
        <v>30</v>
      </c>
      <c r="AF43" s="37">
        <v>11</v>
      </c>
      <c r="AG43" s="37"/>
      <c r="AI43" s="109"/>
      <c r="AJ43" s="37">
        <v>10</v>
      </c>
      <c r="AK43" s="37">
        <v>10</v>
      </c>
      <c r="AL43" s="37">
        <v>30</v>
      </c>
      <c r="AM43" s="37">
        <v>10</v>
      </c>
      <c r="AN43" s="37"/>
      <c r="AO43" s="37">
        <v>50</v>
      </c>
      <c r="AP43" s="37">
        <v>10</v>
      </c>
      <c r="AQ43" s="37"/>
      <c r="AS43" s="109"/>
      <c r="AT43" s="37">
        <v>10</v>
      </c>
      <c r="AU43" s="37">
        <v>10</v>
      </c>
      <c r="AV43" s="37">
        <v>14</v>
      </c>
      <c r="AW43" s="37">
        <v>8</v>
      </c>
      <c r="AX43" s="37">
        <v>12</v>
      </c>
      <c r="AY43" s="37">
        <v>29</v>
      </c>
      <c r="AZ43" s="37">
        <v>10</v>
      </c>
      <c r="BA43" s="37">
        <v>16</v>
      </c>
      <c r="BC43" s="37">
        <v>15</v>
      </c>
      <c r="BD43" s="37">
        <v>15</v>
      </c>
      <c r="BE43" s="37">
        <v>15</v>
      </c>
      <c r="BF43" s="37">
        <v>10</v>
      </c>
      <c r="BG43" s="37">
        <v>70</v>
      </c>
      <c r="BH43" s="37">
        <v>12</v>
      </c>
      <c r="BJ43" s="37">
        <v>15</v>
      </c>
      <c r="BK43" s="37">
        <v>15</v>
      </c>
      <c r="BL43" s="37">
        <v>15</v>
      </c>
      <c r="BM43" s="37">
        <v>10</v>
      </c>
      <c r="BN43" s="37">
        <v>70</v>
      </c>
      <c r="BO43" s="37">
        <v>12</v>
      </c>
      <c r="BQ43" s="37"/>
      <c r="BR43" s="37"/>
      <c r="BS43" s="37"/>
      <c r="BT43" s="37"/>
      <c r="BU43" s="37"/>
      <c r="BV43" s="37"/>
      <c r="BY43" s="42">
        <f t="shared" si="0"/>
        <v>400</v>
      </c>
      <c r="BZ43" s="37">
        <v>300</v>
      </c>
    </row>
    <row r="44" spans="1:78" ht="30" customHeight="1" x14ac:dyDescent="0.25">
      <c r="A44" s="108" t="str">
        <f>IF('11th Data'!A40="","",'11th Data'!A40)</f>
        <v/>
      </c>
      <c r="B44" s="108" t="str">
        <f>IF('11th Data'!J40="","",'11th Data'!J40)</f>
        <v/>
      </c>
      <c r="C44" s="108" t="str">
        <f>IF('11th Data'!D40="","",'11th Data'!D40)</f>
        <v/>
      </c>
      <c r="D44" s="40" t="str">
        <f>IF('11th Data'!E40="","",'11th Data'!E40)</f>
        <v/>
      </c>
      <c r="E44" s="40" t="str">
        <f>IF('11th Data'!F40="","",'11th Data'!F40)</f>
        <v/>
      </c>
      <c r="F44" s="40" t="str">
        <f>IF('11th Data'!G40="","",'11th Data'!G40)</f>
        <v/>
      </c>
      <c r="G44" s="108" t="str">
        <f>IF('11th Data'!H40="","",'11th Data'!H40)</f>
        <v/>
      </c>
      <c r="H44" s="41" t="str">
        <f>IF('11th Data'!I40="","",'11th Data'!I40)</f>
        <v/>
      </c>
      <c r="I44" s="108" t="str">
        <f>IF('11th Data'!K40="","",'11th Data'!K40)</f>
        <v/>
      </c>
      <c r="K44" s="37">
        <v>5</v>
      </c>
      <c r="L44" s="37">
        <v>5</v>
      </c>
      <c r="M44" s="37">
        <v>5</v>
      </c>
      <c r="N44" s="37">
        <v>5</v>
      </c>
      <c r="O44" s="37">
        <v>66</v>
      </c>
      <c r="P44" s="37">
        <v>16</v>
      </c>
      <c r="R44" s="37">
        <v>5</v>
      </c>
      <c r="S44" s="37">
        <v>5</v>
      </c>
      <c r="T44" s="37">
        <v>5</v>
      </c>
      <c r="U44" s="37">
        <v>5</v>
      </c>
      <c r="V44" s="37">
        <v>60</v>
      </c>
      <c r="W44" s="37">
        <v>13</v>
      </c>
      <c r="Y44" s="109"/>
      <c r="Z44" s="37">
        <v>5</v>
      </c>
      <c r="AA44" s="37">
        <v>5</v>
      </c>
      <c r="AB44" s="37">
        <v>5</v>
      </c>
      <c r="AC44" s="37">
        <v>5</v>
      </c>
      <c r="AD44" s="37"/>
      <c r="AE44" s="37">
        <v>5</v>
      </c>
      <c r="AF44" s="37">
        <v>11</v>
      </c>
      <c r="AG44" s="37"/>
      <c r="AI44" s="109"/>
      <c r="AJ44" s="37">
        <v>5</v>
      </c>
      <c r="AK44" s="37">
        <v>5</v>
      </c>
      <c r="AL44" s="37">
        <v>5</v>
      </c>
      <c r="AM44" s="37">
        <v>5</v>
      </c>
      <c r="AN44" s="37"/>
      <c r="AO44" s="37">
        <v>5</v>
      </c>
      <c r="AP44" s="37">
        <v>12</v>
      </c>
      <c r="AQ44" s="37"/>
      <c r="AS44" s="109"/>
      <c r="AT44" s="37">
        <v>5</v>
      </c>
      <c r="AU44" s="37">
        <v>5</v>
      </c>
      <c r="AV44" s="37">
        <v>15</v>
      </c>
      <c r="AW44" s="37">
        <v>5</v>
      </c>
      <c r="AX44" s="37">
        <v>10</v>
      </c>
      <c r="AY44" s="37">
        <v>15</v>
      </c>
      <c r="AZ44" s="37">
        <v>9</v>
      </c>
      <c r="BA44" s="37">
        <v>14</v>
      </c>
      <c r="BC44" s="37">
        <v>15</v>
      </c>
      <c r="BD44" s="37">
        <v>15</v>
      </c>
      <c r="BE44" s="37">
        <v>15</v>
      </c>
      <c r="BF44" s="37">
        <v>10</v>
      </c>
      <c r="BG44" s="37">
        <v>70</v>
      </c>
      <c r="BH44" s="37">
        <v>12</v>
      </c>
      <c r="BJ44" s="37">
        <v>15</v>
      </c>
      <c r="BK44" s="37">
        <v>15</v>
      </c>
      <c r="BL44" s="37">
        <v>15</v>
      </c>
      <c r="BM44" s="37">
        <v>10</v>
      </c>
      <c r="BN44" s="37">
        <v>70</v>
      </c>
      <c r="BO44" s="37">
        <v>12</v>
      </c>
      <c r="BQ44" s="37"/>
      <c r="BR44" s="37"/>
      <c r="BS44" s="37"/>
      <c r="BT44" s="37"/>
      <c r="BU44" s="37"/>
      <c r="BV44" s="37"/>
      <c r="BY44" s="42">
        <f t="shared" si="0"/>
        <v>400</v>
      </c>
      <c r="BZ44" s="37">
        <v>300</v>
      </c>
    </row>
    <row r="45" spans="1:78" ht="30" customHeight="1" x14ac:dyDescent="0.25">
      <c r="A45" s="108" t="str">
        <f>IF('11th Data'!A41="","",'11th Data'!A41)</f>
        <v/>
      </c>
      <c r="B45" s="108" t="str">
        <f>IF('11th Data'!J41="","",'11th Data'!J41)</f>
        <v/>
      </c>
      <c r="C45" s="108" t="str">
        <f>IF('11th Data'!D41="","",'11th Data'!D41)</f>
        <v/>
      </c>
      <c r="D45" s="40" t="str">
        <f>IF('11th Data'!E41="","",'11th Data'!E41)</f>
        <v/>
      </c>
      <c r="E45" s="40" t="str">
        <f>IF('11th Data'!F41="","",'11th Data'!F41)</f>
        <v/>
      </c>
      <c r="F45" s="40" t="str">
        <f>IF('11th Data'!G41="","",'11th Data'!G41)</f>
        <v/>
      </c>
      <c r="G45" s="108" t="str">
        <f>IF('11th Data'!H41="","",'11th Data'!H41)</f>
        <v/>
      </c>
      <c r="H45" s="41" t="str">
        <f>IF('11th Data'!I41="","",'11th Data'!I41)</f>
        <v/>
      </c>
      <c r="I45" s="108" t="str">
        <f>IF('11th Data'!K41="","",'11th Data'!K41)</f>
        <v/>
      </c>
      <c r="K45" s="37">
        <v>10</v>
      </c>
      <c r="L45" s="37">
        <v>9</v>
      </c>
      <c r="M45" s="37">
        <v>5</v>
      </c>
      <c r="N45" s="37">
        <v>5</v>
      </c>
      <c r="O45" s="37">
        <v>67</v>
      </c>
      <c r="P45" s="37">
        <v>16</v>
      </c>
      <c r="R45" s="37">
        <v>10</v>
      </c>
      <c r="S45" s="37">
        <v>10</v>
      </c>
      <c r="T45" s="37">
        <v>30</v>
      </c>
      <c r="U45" s="37">
        <v>10</v>
      </c>
      <c r="V45" s="37">
        <v>61</v>
      </c>
      <c r="W45" s="37">
        <v>13</v>
      </c>
      <c r="Y45" s="109"/>
      <c r="Z45" s="37">
        <v>18</v>
      </c>
      <c r="AA45" s="37">
        <v>18</v>
      </c>
      <c r="AB45" s="37">
        <v>40</v>
      </c>
      <c r="AC45" s="37">
        <v>10</v>
      </c>
      <c r="AD45" s="37"/>
      <c r="AE45" s="37">
        <v>65</v>
      </c>
      <c r="AF45" s="37">
        <v>11</v>
      </c>
      <c r="AG45" s="37"/>
      <c r="AI45" s="109"/>
      <c r="AJ45" s="37">
        <v>5</v>
      </c>
      <c r="AK45" s="37">
        <v>5</v>
      </c>
      <c r="AL45" s="37">
        <v>18</v>
      </c>
      <c r="AM45" s="37">
        <v>10</v>
      </c>
      <c r="AN45" s="37"/>
      <c r="AO45" s="37">
        <v>30</v>
      </c>
      <c r="AP45" s="37">
        <v>15</v>
      </c>
      <c r="AQ45" s="37"/>
      <c r="AS45" s="109"/>
      <c r="AT45" s="37">
        <v>10</v>
      </c>
      <c r="AU45" s="37">
        <v>10</v>
      </c>
      <c r="AV45" s="37">
        <v>12</v>
      </c>
      <c r="AW45" s="37">
        <v>5</v>
      </c>
      <c r="AX45" s="37">
        <v>4</v>
      </c>
      <c r="AY45" s="37">
        <v>20</v>
      </c>
      <c r="AZ45" s="37">
        <v>10</v>
      </c>
      <c r="BA45" s="37">
        <v>12</v>
      </c>
      <c r="BC45" s="37">
        <v>15</v>
      </c>
      <c r="BD45" s="37">
        <v>15</v>
      </c>
      <c r="BE45" s="37">
        <v>15</v>
      </c>
      <c r="BF45" s="37">
        <v>10</v>
      </c>
      <c r="BG45" s="37">
        <v>70</v>
      </c>
      <c r="BH45" s="37">
        <v>12</v>
      </c>
      <c r="BJ45" s="37">
        <v>15</v>
      </c>
      <c r="BK45" s="37">
        <v>15</v>
      </c>
      <c r="BL45" s="37">
        <v>15</v>
      </c>
      <c r="BM45" s="37">
        <v>10</v>
      </c>
      <c r="BN45" s="37">
        <v>70</v>
      </c>
      <c r="BO45" s="37">
        <v>12</v>
      </c>
      <c r="BQ45" s="37"/>
      <c r="BR45" s="37"/>
      <c r="BS45" s="37"/>
      <c r="BT45" s="37"/>
      <c r="BU45" s="37"/>
      <c r="BV45" s="37"/>
      <c r="BY45" s="42">
        <f t="shared" si="0"/>
        <v>400</v>
      </c>
      <c r="BZ45" s="37">
        <v>300</v>
      </c>
    </row>
    <row r="46" spans="1:78" ht="30" customHeight="1" x14ac:dyDescent="0.25">
      <c r="A46" s="108" t="str">
        <f>IF('11th Data'!A42="","",'11th Data'!A42)</f>
        <v/>
      </c>
      <c r="B46" s="108" t="str">
        <f>IF('11th Data'!J42="","",'11th Data'!J42)</f>
        <v/>
      </c>
      <c r="C46" s="108" t="str">
        <f>IF('11th Data'!D42="","",'11th Data'!D42)</f>
        <v/>
      </c>
      <c r="D46" s="40" t="str">
        <f>IF('11th Data'!E42="","",'11th Data'!E42)</f>
        <v/>
      </c>
      <c r="E46" s="40" t="str">
        <f>IF('11th Data'!F42="","",'11th Data'!F42)</f>
        <v/>
      </c>
      <c r="F46" s="40" t="str">
        <f>IF('11th Data'!G42="","",'11th Data'!G42)</f>
        <v/>
      </c>
      <c r="G46" s="108" t="str">
        <f>IF('11th Data'!H42="","",'11th Data'!H42)</f>
        <v/>
      </c>
      <c r="H46" s="41" t="str">
        <f>IF('11th Data'!I42="","",'11th Data'!I42)</f>
        <v/>
      </c>
      <c r="I46" s="108" t="str">
        <f>IF('11th Data'!K42="","",'11th Data'!K42)</f>
        <v/>
      </c>
      <c r="K46" s="37">
        <v>10</v>
      </c>
      <c r="L46" s="37">
        <v>20</v>
      </c>
      <c r="M46" s="37">
        <v>10</v>
      </c>
      <c r="N46" s="37">
        <v>5</v>
      </c>
      <c r="O46" s="37">
        <v>68</v>
      </c>
      <c r="P46" s="37">
        <v>16</v>
      </c>
      <c r="R46" s="37">
        <v>10</v>
      </c>
      <c r="S46" s="37">
        <v>10</v>
      </c>
      <c r="T46" s="37">
        <v>30</v>
      </c>
      <c r="U46" s="37">
        <v>10</v>
      </c>
      <c r="V46" s="37">
        <v>62</v>
      </c>
      <c r="W46" s="37">
        <v>13</v>
      </c>
      <c r="Y46" s="109"/>
      <c r="Z46" s="37">
        <v>10</v>
      </c>
      <c r="AA46" s="37">
        <v>10</v>
      </c>
      <c r="AB46" s="37">
        <v>30</v>
      </c>
      <c r="AC46" s="37">
        <v>10</v>
      </c>
      <c r="AD46" s="37"/>
      <c r="AE46" s="37">
        <v>30</v>
      </c>
      <c r="AF46" s="37">
        <v>11</v>
      </c>
      <c r="AG46" s="37"/>
      <c r="AI46" s="109"/>
      <c r="AJ46" s="37">
        <v>10</v>
      </c>
      <c r="AK46" s="37">
        <v>10</v>
      </c>
      <c r="AL46" s="37">
        <v>30</v>
      </c>
      <c r="AM46" s="37">
        <v>10</v>
      </c>
      <c r="AN46" s="37"/>
      <c r="AO46" s="37">
        <v>50</v>
      </c>
      <c r="AP46" s="37">
        <v>10</v>
      </c>
      <c r="AQ46" s="37"/>
      <c r="AS46" s="109"/>
      <c r="AT46" s="37">
        <v>10</v>
      </c>
      <c r="AU46" s="37">
        <v>10</v>
      </c>
      <c r="AV46" s="37">
        <v>18</v>
      </c>
      <c r="AW46" s="37">
        <v>8</v>
      </c>
      <c r="AX46" s="37">
        <v>10</v>
      </c>
      <c r="AY46" s="37">
        <v>28</v>
      </c>
      <c r="AZ46" s="37">
        <v>8</v>
      </c>
      <c r="BA46" s="37">
        <v>13</v>
      </c>
      <c r="BC46" s="37">
        <v>15</v>
      </c>
      <c r="BD46" s="37">
        <v>15</v>
      </c>
      <c r="BE46" s="37">
        <v>15</v>
      </c>
      <c r="BF46" s="37">
        <v>10</v>
      </c>
      <c r="BG46" s="37">
        <v>70</v>
      </c>
      <c r="BH46" s="37">
        <v>12</v>
      </c>
      <c r="BJ46" s="37">
        <v>15</v>
      </c>
      <c r="BK46" s="37">
        <v>15</v>
      </c>
      <c r="BL46" s="37">
        <v>15</v>
      </c>
      <c r="BM46" s="37">
        <v>10</v>
      </c>
      <c r="BN46" s="37">
        <v>70</v>
      </c>
      <c r="BO46" s="37">
        <v>12</v>
      </c>
      <c r="BQ46" s="37"/>
      <c r="BR46" s="37"/>
      <c r="BS46" s="37"/>
      <c r="BT46" s="37"/>
      <c r="BU46" s="37"/>
      <c r="BV46" s="37"/>
      <c r="BY46" s="42">
        <f t="shared" si="0"/>
        <v>400</v>
      </c>
      <c r="BZ46" s="37">
        <v>300</v>
      </c>
    </row>
    <row r="47" spans="1:78" ht="30" customHeight="1" x14ac:dyDescent="0.25">
      <c r="A47" s="108" t="str">
        <f>IF('11th Data'!A43="","",'11th Data'!A43)</f>
        <v/>
      </c>
      <c r="B47" s="108" t="str">
        <f>IF('11th Data'!J43="","",'11th Data'!J43)</f>
        <v/>
      </c>
      <c r="C47" s="108" t="str">
        <f>IF('11th Data'!D43="","",'11th Data'!D43)</f>
        <v/>
      </c>
      <c r="D47" s="40" t="str">
        <f>IF('11th Data'!E43="","",'11th Data'!E43)</f>
        <v/>
      </c>
      <c r="E47" s="40" t="str">
        <f>IF('11th Data'!F43="","",'11th Data'!F43)</f>
        <v/>
      </c>
      <c r="F47" s="40" t="str">
        <f>IF('11th Data'!G43="","",'11th Data'!G43)</f>
        <v/>
      </c>
      <c r="G47" s="108" t="str">
        <f>IF('11th Data'!H43="","",'11th Data'!H43)</f>
        <v/>
      </c>
      <c r="H47" s="41" t="str">
        <f>IF('11th Data'!I43="","",'11th Data'!I43)</f>
        <v/>
      </c>
      <c r="I47" s="108" t="str">
        <f>IF('11th Data'!K43="","",'11th Data'!K43)</f>
        <v/>
      </c>
      <c r="K47" s="37">
        <v>10</v>
      </c>
      <c r="L47" s="37">
        <v>20</v>
      </c>
      <c r="M47" s="37">
        <v>10</v>
      </c>
      <c r="N47" s="37">
        <v>5</v>
      </c>
      <c r="O47" s="37">
        <v>69</v>
      </c>
      <c r="P47" s="37">
        <v>16</v>
      </c>
      <c r="R47" s="37">
        <v>10</v>
      </c>
      <c r="S47" s="37">
        <v>10</v>
      </c>
      <c r="T47" s="37">
        <v>30</v>
      </c>
      <c r="U47" s="37">
        <v>10</v>
      </c>
      <c r="V47" s="37">
        <v>63</v>
      </c>
      <c r="W47" s="37">
        <v>13</v>
      </c>
      <c r="Y47" s="109"/>
      <c r="Z47" s="37">
        <v>10</v>
      </c>
      <c r="AA47" s="37">
        <v>10</v>
      </c>
      <c r="AB47" s="37">
        <v>30</v>
      </c>
      <c r="AC47" s="37">
        <v>10</v>
      </c>
      <c r="AD47" s="37"/>
      <c r="AE47" s="37">
        <v>30</v>
      </c>
      <c r="AF47" s="37">
        <v>11</v>
      </c>
      <c r="AG47" s="37"/>
      <c r="AI47" s="109"/>
      <c r="AJ47" s="37">
        <v>10</v>
      </c>
      <c r="AK47" s="37">
        <v>10</v>
      </c>
      <c r="AL47" s="37">
        <v>30</v>
      </c>
      <c r="AM47" s="37">
        <v>10</v>
      </c>
      <c r="AN47" s="37"/>
      <c r="AO47" s="37">
        <v>50</v>
      </c>
      <c r="AP47" s="37">
        <v>5</v>
      </c>
      <c r="AQ47" s="37"/>
      <c r="AS47" s="109"/>
      <c r="AT47" s="37">
        <v>10</v>
      </c>
      <c r="AU47" s="37">
        <v>10</v>
      </c>
      <c r="AV47" s="37">
        <v>15</v>
      </c>
      <c r="AW47" s="37">
        <v>7</v>
      </c>
      <c r="AX47" s="37">
        <v>15</v>
      </c>
      <c r="AY47" s="37">
        <v>25</v>
      </c>
      <c r="AZ47" s="37">
        <v>10</v>
      </c>
      <c r="BA47" s="37">
        <v>14</v>
      </c>
      <c r="BC47" s="37">
        <v>15</v>
      </c>
      <c r="BD47" s="37">
        <v>15</v>
      </c>
      <c r="BE47" s="37">
        <v>15</v>
      </c>
      <c r="BF47" s="37">
        <v>10</v>
      </c>
      <c r="BG47" s="37">
        <v>70</v>
      </c>
      <c r="BH47" s="37">
        <v>12</v>
      </c>
      <c r="BJ47" s="37">
        <v>15</v>
      </c>
      <c r="BK47" s="37">
        <v>15</v>
      </c>
      <c r="BL47" s="37">
        <v>15</v>
      </c>
      <c r="BM47" s="37">
        <v>10</v>
      </c>
      <c r="BN47" s="37">
        <v>70</v>
      </c>
      <c r="BO47" s="37">
        <v>12</v>
      </c>
      <c r="BQ47" s="37"/>
      <c r="BR47" s="37"/>
      <c r="BS47" s="37"/>
      <c r="BT47" s="37"/>
      <c r="BU47" s="37"/>
      <c r="BV47" s="37"/>
      <c r="BY47" s="42">
        <f t="shared" si="0"/>
        <v>400</v>
      </c>
      <c r="BZ47" s="37">
        <v>300</v>
      </c>
    </row>
    <row r="48" spans="1:78" ht="30" customHeight="1" x14ac:dyDescent="0.25">
      <c r="A48" s="108" t="str">
        <f>IF('11th Data'!A44="","",'11th Data'!A44)</f>
        <v/>
      </c>
      <c r="B48" s="108" t="str">
        <f>IF('11th Data'!J44="","",'11th Data'!J44)</f>
        <v/>
      </c>
      <c r="C48" s="108" t="str">
        <f>IF('11th Data'!D44="","",'11th Data'!D44)</f>
        <v/>
      </c>
      <c r="D48" s="40" t="str">
        <f>IF('11th Data'!E44="","",'11th Data'!E44)</f>
        <v/>
      </c>
      <c r="E48" s="40" t="str">
        <f>IF('11th Data'!F44="","",'11th Data'!F44)</f>
        <v/>
      </c>
      <c r="F48" s="40" t="str">
        <f>IF('11th Data'!G44="","",'11th Data'!G44)</f>
        <v/>
      </c>
      <c r="G48" s="108" t="str">
        <f>IF('11th Data'!H44="","",'11th Data'!H44)</f>
        <v/>
      </c>
      <c r="H48" s="41" t="str">
        <f>IF('11th Data'!I44="","",'11th Data'!I44)</f>
        <v/>
      </c>
      <c r="I48" s="108" t="str">
        <f>IF('11th Data'!K44="","",'11th Data'!K44)</f>
        <v/>
      </c>
      <c r="K48" s="37">
        <v>10</v>
      </c>
      <c r="L48" s="37">
        <v>20</v>
      </c>
      <c r="M48" s="37">
        <v>10</v>
      </c>
      <c r="N48" s="37">
        <v>5</v>
      </c>
      <c r="O48" s="37">
        <v>70</v>
      </c>
      <c r="P48" s="37">
        <v>16</v>
      </c>
      <c r="R48" s="37">
        <v>10</v>
      </c>
      <c r="S48" s="37">
        <v>10</v>
      </c>
      <c r="T48" s="37">
        <v>30</v>
      </c>
      <c r="U48" s="37">
        <v>10</v>
      </c>
      <c r="V48" s="37">
        <v>64</v>
      </c>
      <c r="W48" s="37">
        <v>13</v>
      </c>
      <c r="Y48" s="109"/>
      <c r="Z48" s="37">
        <v>10</v>
      </c>
      <c r="AA48" s="37">
        <v>10</v>
      </c>
      <c r="AB48" s="37">
        <v>30</v>
      </c>
      <c r="AC48" s="37">
        <v>10</v>
      </c>
      <c r="AD48" s="37"/>
      <c r="AE48" s="37">
        <v>30</v>
      </c>
      <c r="AF48" s="37">
        <v>11</v>
      </c>
      <c r="AG48" s="37"/>
      <c r="AI48" s="109"/>
      <c r="AJ48" s="37">
        <v>10</v>
      </c>
      <c r="AK48" s="37">
        <v>10</v>
      </c>
      <c r="AL48" s="37">
        <v>30</v>
      </c>
      <c r="AM48" s="37">
        <v>10</v>
      </c>
      <c r="AN48" s="37"/>
      <c r="AO48" s="37">
        <v>50</v>
      </c>
      <c r="AP48" s="37">
        <v>4</v>
      </c>
      <c r="AQ48" s="37"/>
      <c r="AS48" s="109"/>
      <c r="AT48" s="37">
        <v>10</v>
      </c>
      <c r="AU48" s="37">
        <v>10</v>
      </c>
      <c r="AV48" s="37">
        <v>12</v>
      </c>
      <c r="AW48" s="37">
        <v>4</v>
      </c>
      <c r="AX48" s="37">
        <v>10</v>
      </c>
      <c r="AY48" s="37">
        <v>31</v>
      </c>
      <c r="AZ48" s="37">
        <v>12</v>
      </c>
      <c r="BA48" s="37">
        <v>15</v>
      </c>
      <c r="BC48" s="37">
        <v>15</v>
      </c>
      <c r="BD48" s="37">
        <v>15</v>
      </c>
      <c r="BE48" s="37">
        <v>15</v>
      </c>
      <c r="BF48" s="37">
        <v>10</v>
      </c>
      <c r="BG48" s="37">
        <v>70</v>
      </c>
      <c r="BH48" s="37">
        <v>12</v>
      </c>
      <c r="BJ48" s="37">
        <v>15</v>
      </c>
      <c r="BK48" s="37">
        <v>15</v>
      </c>
      <c r="BL48" s="37">
        <v>15</v>
      </c>
      <c r="BM48" s="37">
        <v>10</v>
      </c>
      <c r="BN48" s="37">
        <v>70</v>
      </c>
      <c r="BO48" s="37">
        <v>12</v>
      </c>
      <c r="BQ48" s="37"/>
      <c r="BR48" s="37"/>
      <c r="BS48" s="37"/>
      <c r="BT48" s="37"/>
      <c r="BU48" s="37"/>
      <c r="BV48" s="37"/>
      <c r="BY48" s="42">
        <f t="shared" si="0"/>
        <v>400</v>
      </c>
      <c r="BZ48" s="37">
        <v>300</v>
      </c>
    </row>
    <row r="49" spans="1:78" ht="30" customHeight="1" x14ac:dyDescent="0.25">
      <c r="A49" s="108" t="str">
        <f>IF('11th Data'!A45="","",'11th Data'!A45)</f>
        <v/>
      </c>
      <c r="B49" s="108" t="str">
        <f>IF('11th Data'!J45="","",'11th Data'!J45)</f>
        <v/>
      </c>
      <c r="C49" s="108" t="str">
        <f>IF('11th Data'!D45="","",'11th Data'!D45)</f>
        <v/>
      </c>
      <c r="D49" s="40" t="str">
        <f>IF('11th Data'!E45="","",'11th Data'!E45)</f>
        <v/>
      </c>
      <c r="E49" s="40" t="str">
        <f>IF('11th Data'!F45="","",'11th Data'!F45)</f>
        <v/>
      </c>
      <c r="F49" s="40" t="str">
        <f>IF('11th Data'!G45="","",'11th Data'!G45)</f>
        <v/>
      </c>
      <c r="G49" s="108" t="str">
        <f>IF('11th Data'!H45="","",'11th Data'!H45)</f>
        <v/>
      </c>
      <c r="H49" s="41" t="str">
        <f>IF('11th Data'!I45="","",'11th Data'!I45)</f>
        <v/>
      </c>
      <c r="I49" s="108" t="str">
        <f>IF('11th Data'!K45="","",'11th Data'!K45)</f>
        <v/>
      </c>
      <c r="K49" s="37">
        <v>10</v>
      </c>
      <c r="L49" s="37">
        <v>10</v>
      </c>
      <c r="M49" s="37">
        <v>30</v>
      </c>
      <c r="N49" s="37">
        <v>10</v>
      </c>
      <c r="O49" s="37">
        <v>71</v>
      </c>
      <c r="P49" s="37">
        <v>16</v>
      </c>
      <c r="R49" s="37">
        <v>15</v>
      </c>
      <c r="S49" s="37">
        <v>15</v>
      </c>
      <c r="T49" s="37">
        <v>30</v>
      </c>
      <c r="U49" s="37">
        <v>10</v>
      </c>
      <c r="V49" s="37">
        <v>65</v>
      </c>
      <c r="W49" s="37">
        <v>13</v>
      </c>
      <c r="Y49" s="109"/>
      <c r="Z49" s="37">
        <v>15</v>
      </c>
      <c r="AA49" s="37">
        <v>15</v>
      </c>
      <c r="AB49" s="37">
        <v>30</v>
      </c>
      <c r="AC49" s="37">
        <v>10</v>
      </c>
      <c r="AD49" s="37"/>
      <c r="AE49" s="37">
        <v>60</v>
      </c>
      <c r="AF49" s="37">
        <v>11</v>
      </c>
      <c r="AG49" s="37"/>
      <c r="AI49" s="109"/>
      <c r="AJ49" s="37">
        <v>15</v>
      </c>
      <c r="AK49" s="37">
        <v>15</v>
      </c>
      <c r="AL49" s="37">
        <v>30</v>
      </c>
      <c r="AM49" s="37">
        <v>10</v>
      </c>
      <c r="AN49" s="37"/>
      <c r="AO49" s="37">
        <v>60</v>
      </c>
      <c r="AP49" s="37">
        <v>15</v>
      </c>
      <c r="AQ49" s="37"/>
      <c r="AS49" s="109"/>
      <c r="AT49" s="37">
        <v>15</v>
      </c>
      <c r="AU49" s="37">
        <v>15</v>
      </c>
      <c r="AV49" s="37">
        <v>18</v>
      </c>
      <c r="AW49" s="37">
        <v>8</v>
      </c>
      <c r="AX49" s="37">
        <v>11</v>
      </c>
      <c r="AY49" s="37">
        <v>32</v>
      </c>
      <c r="AZ49" s="37">
        <v>10</v>
      </c>
      <c r="BA49" s="37">
        <v>16</v>
      </c>
      <c r="BC49" s="37">
        <v>15</v>
      </c>
      <c r="BD49" s="37">
        <v>15</v>
      </c>
      <c r="BE49" s="37">
        <v>15</v>
      </c>
      <c r="BF49" s="37">
        <v>10</v>
      </c>
      <c r="BG49" s="37">
        <v>70</v>
      </c>
      <c r="BH49" s="37">
        <v>12</v>
      </c>
      <c r="BJ49" s="37">
        <v>15</v>
      </c>
      <c r="BK49" s="37">
        <v>15</v>
      </c>
      <c r="BL49" s="37">
        <v>15</v>
      </c>
      <c r="BM49" s="37">
        <v>10</v>
      </c>
      <c r="BN49" s="37">
        <v>70</v>
      </c>
      <c r="BO49" s="37">
        <v>12</v>
      </c>
      <c r="BQ49" s="37"/>
      <c r="BR49" s="37"/>
      <c r="BS49" s="37"/>
      <c r="BT49" s="37"/>
      <c r="BU49" s="37"/>
      <c r="BV49" s="37"/>
      <c r="BY49" s="42">
        <f t="shared" si="0"/>
        <v>400</v>
      </c>
      <c r="BZ49" s="37">
        <v>300</v>
      </c>
    </row>
    <row r="50" spans="1:78" ht="30" customHeight="1" x14ac:dyDescent="0.25">
      <c r="A50" s="108" t="str">
        <f>IF('11th Data'!A46="","",'11th Data'!A46)</f>
        <v/>
      </c>
      <c r="B50" s="108" t="str">
        <f>IF('11th Data'!J46="","",'11th Data'!J46)</f>
        <v/>
      </c>
      <c r="C50" s="108" t="str">
        <f>IF('11th Data'!D46="","",'11th Data'!D46)</f>
        <v/>
      </c>
      <c r="D50" s="40" t="str">
        <f>IF('11th Data'!E46="","",'11th Data'!E46)</f>
        <v/>
      </c>
      <c r="E50" s="40" t="str">
        <f>IF('11th Data'!F46="","",'11th Data'!F46)</f>
        <v/>
      </c>
      <c r="F50" s="40" t="str">
        <f>IF('11th Data'!G46="","",'11th Data'!G46)</f>
        <v/>
      </c>
      <c r="G50" s="108" t="str">
        <f>IF('11th Data'!H46="","",'11th Data'!H46)</f>
        <v/>
      </c>
      <c r="H50" s="41" t="str">
        <f>IF('11th Data'!I46="","",'11th Data'!I46)</f>
        <v/>
      </c>
      <c r="I50" s="108" t="str">
        <f>IF('11th Data'!K46="","",'11th Data'!K46)</f>
        <v/>
      </c>
      <c r="K50" s="37">
        <v>10</v>
      </c>
      <c r="L50" s="37">
        <v>10</v>
      </c>
      <c r="M50" s="37">
        <v>12</v>
      </c>
      <c r="N50" s="37">
        <v>4</v>
      </c>
      <c r="O50" s="37">
        <v>72</v>
      </c>
      <c r="P50" s="37">
        <v>16</v>
      </c>
      <c r="R50" s="37">
        <v>5</v>
      </c>
      <c r="S50" s="37">
        <v>10</v>
      </c>
      <c r="T50" s="37">
        <v>12</v>
      </c>
      <c r="U50" s="37">
        <v>4</v>
      </c>
      <c r="V50" s="37">
        <v>66</v>
      </c>
      <c r="W50" s="37">
        <v>13</v>
      </c>
      <c r="Y50" s="109"/>
      <c r="Z50" s="37">
        <v>12</v>
      </c>
      <c r="AA50" s="37">
        <v>10</v>
      </c>
      <c r="AB50" s="37">
        <v>12</v>
      </c>
      <c r="AC50" s="37">
        <v>4</v>
      </c>
      <c r="AD50" s="37"/>
      <c r="AE50" s="37">
        <v>40</v>
      </c>
      <c r="AF50" s="37">
        <v>11</v>
      </c>
      <c r="AG50" s="37"/>
      <c r="AI50" s="109"/>
      <c r="AJ50" s="37">
        <v>6</v>
      </c>
      <c r="AK50" s="37">
        <v>10</v>
      </c>
      <c r="AL50" s="37">
        <v>12</v>
      </c>
      <c r="AM50" s="37">
        <v>4</v>
      </c>
      <c r="AN50" s="37"/>
      <c r="AO50" s="37">
        <v>40</v>
      </c>
      <c r="AP50" s="37">
        <v>10</v>
      </c>
      <c r="AQ50" s="37"/>
      <c r="AS50" s="109"/>
      <c r="AT50" s="37">
        <v>15</v>
      </c>
      <c r="AU50" s="37">
        <v>10</v>
      </c>
      <c r="AV50" s="37">
        <v>17</v>
      </c>
      <c r="AW50" s="37">
        <v>7</v>
      </c>
      <c r="AX50" s="37">
        <v>10</v>
      </c>
      <c r="AY50" s="37">
        <v>30</v>
      </c>
      <c r="AZ50" s="37">
        <v>11</v>
      </c>
      <c r="BA50" s="37">
        <v>10</v>
      </c>
      <c r="BC50" s="37">
        <v>15</v>
      </c>
      <c r="BD50" s="37">
        <v>15</v>
      </c>
      <c r="BE50" s="37">
        <v>15</v>
      </c>
      <c r="BF50" s="37">
        <v>10</v>
      </c>
      <c r="BG50" s="37">
        <v>70</v>
      </c>
      <c r="BH50" s="37">
        <v>12</v>
      </c>
      <c r="BJ50" s="37">
        <v>15</v>
      </c>
      <c r="BK50" s="37">
        <v>15</v>
      </c>
      <c r="BL50" s="37">
        <v>15</v>
      </c>
      <c r="BM50" s="37">
        <v>10</v>
      </c>
      <c r="BN50" s="37">
        <v>70</v>
      </c>
      <c r="BO50" s="37">
        <v>12</v>
      </c>
      <c r="BQ50" s="37"/>
      <c r="BR50" s="37"/>
      <c r="BS50" s="37"/>
      <c r="BT50" s="37"/>
      <c r="BU50" s="37"/>
      <c r="BV50" s="37"/>
      <c r="BY50" s="42">
        <f t="shared" si="0"/>
        <v>400</v>
      </c>
      <c r="BZ50" s="37">
        <v>300</v>
      </c>
    </row>
    <row r="51" spans="1:78" ht="30" customHeight="1" x14ac:dyDescent="0.25">
      <c r="A51" s="108" t="str">
        <f>IF('11th Data'!A47="","",'11th Data'!A47)</f>
        <v/>
      </c>
      <c r="B51" s="108" t="str">
        <f>IF('11th Data'!J47="","",'11th Data'!J47)</f>
        <v/>
      </c>
      <c r="C51" s="108" t="str">
        <f>IF('11th Data'!D47="","",'11th Data'!D47)</f>
        <v/>
      </c>
      <c r="D51" s="40" t="str">
        <f>IF('11th Data'!E47="","",'11th Data'!E47)</f>
        <v/>
      </c>
      <c r="E51" s="40" t="str">
        <f>IF('11th Data'!F47="","",'11th Data'!F47)</f>
        <v/>
      </c>
      <c r="F51" s="40" t="str">
        <f>IF('11th Data'!G47="","",'11th Data'!G47)</f>
        <v/>
      </c>
      <c r="G51" s="108" t="str">
        <f>IF('11th Data'!H47="","",'11th Data'!H47)</f>
        <v/>
      </c>
      <c r="H51" s="41" t="str">
        <f>IF('11th Data'!I47="","",'11th Data'!I47)</f>
        <v/>
      </c>
      <c r="I51" s="108" t="str">
        <f>IF('11th Data'!K47="","",'11th Data'!K47)</f>
        <v/>
      </c>
      <c r="K51" s="37">
        <v>15</v>
      </c>
      <c r="L51" s="37">
        <v>15</v>
      </c>
      <c r="M51" s="37">
        <v>20</v>
      </c>
      <c r="N51" s="37">
        <v>10</v>
      </c>
      <c r="O51" s="37">
        <v>73</v>
      </c>
      <c r="P51" s="37">
        <v>16</v>
      </c>
      <c r="R51" s="37">
        <v>10</v>
      </c>
      <c r="S51" s="37">
        <v>10</v>
      </c>
      <c r="T51" s="37">
        <v>10</v>
      </c>
      <c r="U51" s="37">
        <v>10</v>
      </c>
      <c r="V51" s="37">
        <v>67</v>
      </c>
      <c r="W51" s="37">
        <v>13</v>
      </c>
      <c r="Y51" s="109"/>
      <c r="Z51" s="37">
        <v>10</v>
      </c>
      <c r="AA51" s="37">
        <v>10</v>
      </c>
      <c r="AB51" s="37">
        <v>30</v>
      </c>
      <c r="AC51" s="37">
        <v>10</v>
      </c>
      <c r="AD51" s="37"/>
      <c r="AE51" s="37">
        <v>30</v>
      </c>
      <c r="AF51" s="37">
        <v>11</v>
      </c>
      <c r="AG51" s="37"/>
      <c r="AI51" s="109"/>
      <c r="AJ51" s="37">
        <v>10</v>
      </c>
      <c r="AK51" s="37">
        <v>10</v>
      </c>
      <c r="AL51" s="37">
        <v>30</v>
      </c>
      <c r="AM51" s="37">
        <v>10</v>
      </c>
      <c r="AN51" s="37"/>
      <c r="AO51" s="37">
        <v>50</v>
      </c>
      <c r="AP51" s="37">
        <v>9</v>
      </c>
      <c r="AQ51" s="37"/>
      <c r="AS51" s="109"/>
      <c r="AT51" s="37">
        <v>10</v>
      </c>
      <c r="AU51" s="37">
        <v>10</v>
      </c>
      <c r="AV51" s="37">
        <v>16</v>
      </c>
      <c r="AW51" s="37">
        <v>6</v>
      </c>
      <c r="AX51" s="37">
        <v>12</v>
      </c>
      <c r="AY51" s="37">
        <v>28</v>
      </c>
      <c r="AZ51" s="37">
        <v>10</v>
      </c>
      <c r="BA51" s="37">
        <v>15</v>
      </c>
      <c r="BC51" s="37">
        <v>15</v>
      </c>
      <c r="BD51" s="37">
        <v>15</v>
      </c>
      <c r="BE51" s="37">
        <v>15</v>
      </c>
      <c r="BF51" s="37">
        <v>10</v>
      </c>
      <c r="BG51" s="37">
        <v>70</v>
      </c>
      <c r="BH51" s="37">
        <v>12</v>
      </c>
      <c r="BJ51" s="37">
        <v>15</v>
      </c>
      <c r="BK51" s="37">
        <v>15</v>
      </c>
      <c r="BL51" s="37">
        <v>15</v>
      </c>
      <c r="BM51" s="37">
        <v>10</v>
      </c>
      <c r="BN51" s="37">
        <v>70</v>
      </c>
      <c r="BO51" s="37">
        <v>12</v>
      </c>
      <c r="BQ51" s="37"/>
      <c r="BR51" s="37"/>
      <c r="BS51" s="37"/>
      <c r="BT51" s="37"/>
      <c r="BU51" s="37"/>
      <c r="BV51" s="37"/>
      <c r="BY51" s="42">
        <f t="shared" si="0"/>
        <v>400</v>
      </c>
      <c r="BZ51" s="37">
        <v>300</v>
      </c>
    </row>
    <row r="52" spans="1:78" ht="30" customHeight="1" x14ac:dyDescent="0.25">
      <c r="A52" s="108" t="str">
        <f>IF('11th Data'!A48="","",'11th Data'!A48)</f>
        <v/>
      </c>
      <c r="B52" s="108" t="str">
        <f>IF('11th Data'!J48="","",'11th Data'!J48)</f>
        <v/>
      </c>
      <c r="C52" s="108" t="str">
        <f>IF('11th Data'!D48="","",'11th Data'!D48)</f>
        <v/>
      </c>
      <c r="D52" s="40" t="str">
        <f>IF('11th Data'!E48="","",'11th Data'!E48)</f>
        <v/>
      </c>
      <c r="E52" s="40" t="str">
        <f>IF('11th Data'!F48="","",'11th Data'!F48)</f>
        <v/>
      </c>
      <c r="F52" s="40" t="str">
        <f>IF('11th Data'!G48="","",'11th Data'!G48)</f>
        <v/>
      </c>
      <c r="G52" s="108" t="str">
        <f>IF('11th Data'!H48="","",'11th Data'!H48)</f>
        <v/>
      </c>
      <c r="H52" s="41" t="str">
        <f>IF('11th Data'!I48="","",'11th Data'!I48)</f>
        <v/>
      </c>
      <c r="I52" s="108" t="str">
        <f>IF('11th Data'!K48="","",'11th Data'!K48)</f>
        <v/>
      </c>
      <c r="K52" s="37">
        <v>5</v>
      </c>
      <c r="L52" s="37">
        <v>5</v>
      </c>
      <c r="M52" s="37">
        <v>5</v>
      </c>
      <c r="N52" s="37">
        <v>5</v>
      </c>
      <c r="O52" s="37">
        <v>74</v>
      </c>
      <c r="P52" s="37">
        <v>16</v>
      </c>
      <c r="R52" s="37">
        <v>5</v>
      </c>
      <c r="S52" s="37">
        <v>5</v>
      </c>
      <c r="T52" s="37">
        <v>5</v>
      </c>
      <c r="U52" s="37">
        <v>5</v>
      </c>
      <c r="V52" s="37">
        <v>68</v>
      </c>
      <c r="W52" s="37">
        <v>13</v>
      </c>
      <c r="Y52" s="109"/>
      <c r="Z52" s="37">
        <v>5</v>
      </c>
      <c r="AA52" s="37">
        <v>5</v>
      </c>
      <c r="AB52" s="37">
        <v>5</v>
      </c>
      <c r="AC52" s="37">
        <v>5</v>
      </c>
      <c r="AD52" s="37"/>
      <c r="AE52" s="37">
        <v>5</v>
      </c>
      <c r="AF52" s="37">
        <v>11</v>
      </c>
      <c r="AG52" s="37"/>
      <c r="AI52" s="109"/>
      <c r="AJ52" s="37">
        <v>5</v>
      </c>
      <c r="AK52" s="37">
        <v>5</v>
      </c>
      <c r="AL52" s="37">
        <v>5</v>
      </c>
      <c r="AM52" s="37">
        <v>5</v>
      </c>
      <c r="AN52" s="37"/>
      <c r="AO52" s="37">
        <v>5</v>
      </c>
      <c r="AP52" s="37">
        <v>8</v>
      </c>
      <c r="AQ52" s="37"/>
      <c r="AS52" s="109"/>
      <c r="AT52" s="37">
        <v>5</v>
      </c>
      <c r="AU52" s="37">
        <v>5</v>
      </c>
      <c r="AV52" s="37">
        <v>15</v>
      </c>
      <c r="AW52" s="37">
        <v>4</v>
      </c>
      <c r="AX52" s="37">
        <v>14</v>
      </c>
      <c r="AY52" s="37">
        <v>30</v>
      </c>
      <c r="AZ52" s="37">
        <v>8</v>
      </c>
      <c r="BA52" s="37">
        <v>18</v>
      </c>
      <c r="BC52" s="37">
        <v>15</v>
      </c>
      <c r="BD52" s="37">
        <v>15</v>
      </c>
      <c r="BE52" s="37">
        <v>15</v>
      </c>
      <c r="BF52" s="37">
        <v>10</v>
      </c>
      <c r="BG52" s="37">
        <v>70</v>
      </c>
      <c r="BH52" s="37">
        <v>12</v>
      </c>
      <c r="BJ52" s="37">
        <v>15</v>
      </c>
      <c r="BK52" s="37">
        <v>15</v>
      </c>
      <c r="BL52" s="37">
        <v>15</v>
      </c>
      <c r="BM52" s="37">
        <v>10</v>
      </c>
      <c r="BN52" s="37">
        <v>70</v>
      </c>
      <c r="BO52" s="37">
        <v>12</v>
      </c>
      <c r="BQ52" s="37"/>
      <c r="BR52" s="37"/>
      <c r="BS52" s="37"/>
      <c r="BT52" s="37"/>
      <c r="BU52" s="37"/>
      <c r="BV52" s="37"/>
      <c r="BY52" s="42">
        <f t="shared" si="0"/>
        <v>400</v>
      </c>
      <c r="BZ52" s="37">
        <v>300</v>
      </c>
    </row>
    <row r="53" spans="1:78" ht="30" customHeight="1" x14ac:dyDescent="0.25">
      <c r="A53" s="108" t="str">
        <f>IF('11th Data'!A49="","",'11th Data'!A49)</f>
        <v/>
      </c>
      <c r="B53" s="108" t="str">
        <f>IF('11th Data'!J49="","",'11th Data'!J49)</f>
        <v/>
      </c>
      <c r="C53" s="108" t="str">
        <f>IF('11th Data'!D49="","",'11th Data'!D49)</f>
        <v/>
      </c>
      <c r="D53" s="40" t="str">
        <f>IF('11th Data'!E49="","",'11th Data'!E49)</f>
        <v/>
      </c>
      <c r="E53" s="40" t="str">
        <f>IF('11th Data'!F49="","",'11th Data'!F49)</f>
        <v/>
      </c>
      <c r="F53" s="40" t="str">
        <f>IF('11th Data'!G49="","",'11th Data'!G49)</f>
        <v/>
      </c>
      <c r="G53" s="108" t="str">
        <f>IF('11th Data'!H49="","",'11th Data'!H49)</f>
        <v/>
      </c>
      <c r="H53" s="41" t="str">
        <f>IF('11th Data'!I49="","",'11th Data'!I49)</f>
        <v/>
      </c>
      <c r="I53" s="108" t="str">
        <f>IF('11th Data'!K49="","",'11th Data'!K49)</f>
        <v/>
      </c>
      <c r="K53" s="37">
        <v>10</v>
      </c>
      <c r="L53" s="37">
        <v>9</v>
      </c>
      <c r="M53" s="37">
        <v>5</v>
      </c>
      <c r="N53" s="37">
        <v>5</v>
      </c>
      <c r="O53" s="37">
        <v>75</v>
      </c>
      <c r="P53" s="37">
        <v>16</v>
      </c>
      <c r="R53" s="37">
        <v>10</v>
      </c>
      <c r="S53" s="37">
        <v>10</v>
      </c>
      <c r="T53" s="37">
        <v>30</v>
      </c>
      <c r="U53" s="37">
        <v>10</v>
      </c>
      <c r="V53" s="37">
        <v>69</v>
      </c>
      <c r="W53" s="37">
        <v>13</v>
      </c>
      <c r="Y53" s="109"/>
      <c r="Z53" s="37">
        <v>18</v>
      </c>
      <c r="AA53" s="37">
        <v>18</v>
      </c>
      <c r="AB53" s="37">
        <v>40</v>
      </c>
      <c r="AC53" s="37">
        <v>10</v>
      </c>
      <c r="AD53" s="37"/>
      <c r="AE53" s="37">
        <v>65</v>
      </c>
      <c r="AF53" s="37">
        <v>11</v>
      </c>
      <c r="AG53" s="37"/>
      <c r="AI53" s="109"/>
      <c r="AJ53" s="37">
        <v>5</v>
      </c>
      <c r="AK53" s="37">
        <v>5</v>
      </c>
      <c r="AL53" s="37">
        <v>18</v>
      </c>
      <c r="AM53" s="37">
        <v>10</v>
      </c>
      <c r="AN53" s="37"/>
      <c r="AO53" s="37">
        <v>30</v>
      </c>
      <c r="AP53" s="37">
        <v>10</v>
      </c>
      <c r="AQ53" s="37"/>
      <c r="AS53" s="109"/>
      <c r="AT53" s="37">
        <v>10</v>
      </c>
      <c r="AU53" s="37">
        <v>10</v>
      </c>
      <c r="AV53" s="37">
        <v>14</v>
      </c>
      <c r="AW53" s="37">
        <v>10</v>
      </c>
      <c r="AX53" s="37">
        <v>10</v>
      </c>
      <c r="AY53" s="37">
        <v>21</v>
      </c>
      <c r="AZ53" s="37">
        <v>10</v>
      </c>
      <c r="BA53" s="37">
        <v>18</v>
      </c>
      <c r="BC53" s="37">
        <v>15</v>
      </c>
      <c r="BD53" s="37">
        <v>15</v>
      </c>
      <c r="BE53" s="37">
        <v>15</v>
      </c>
      <c r="BF53" s="37">
        <v>10</v>
      </c>
      <c r="BG53" s="37">
        <v>70</v>
      </c>
      <c r="BH53" s="37">
        <v>12</v>
      </c>
      <c r="BJ53" s="37">
        <v>15</v>
      </c>
      <c r="BK53" s="37">
        <v>15</v>
      </c>
      <c r="BL53" s="37">
        <v>15</v>
      </c>
      <c r="BM53" s="37">
        <v>10</v>
      </c>
      <c r="BN53" s="37">
        <v>70</v>
      </c>
      <c r="BO53" s="37">
        <v>12</v>
      </c>
      <c r="BQ53" s="37"/>
      <c r="BR53" s="37"/>
      <c r="BS53" s="37"/>
      <c r="BT53" s="37"/>
      <c r="BU53" s="37"/>
      <c r="BV53" s="37"/>
      <c r="BY53" s="42">
        <f t="shared" si="0"/>
        <v>400</v>
      </c>
      <c r="BZ53" s="37">
        <v>300</v>
      </c>
    </row>
    <row r="54" spans="1:78" ht="30" customHeight="1" x14ac:dyDescent="0.25">
      <c r="A54" s="108" t="str">
        <f>IF('11th Data'!A50="","",'11th Data'!A50)</f>
        <v/>
      </c>
      <c r="B54" s="108" t="str">
        <f>IF('11th Data'!J50="","",'11th Data'!J50)</f>
        <v/>
      </c>
      <c r="C54" s="108" t="str">
        <f>IF('11th Data'!D50="","",'11th Data'!D50)</f>
        <v/>
      </c>
      <c r="D54" s="40" t="str">
        <f>IF('11th Data'!E50="","",'11th Data'!E50)</f>
        <v/>
      </c>
      <c r="E54" s="40" t="str">
        <f>IF('11th Data'!F50="","",'11th Data'!F50)</f>
        <v/>
      </c>
      <c r="F54" s="40" t="str">
        <f>IF('11th Data'!G50="","",'11th Data'!G50)</f>
        <v/>
      </c>
      <c r="G54" s="108" t="str">
        <f>IF('11th Data'!H50="","",'11th Data'!H50)</f>
        <v/>
      </c>
      <c r="H54" s="41" t="str">
        <f>IF('11th Data'!I50="","",'11th Data'!I50)</f>
        <v/>
      </c>
      <c r="I54" s="108" t="str">
        <f>IF('11th Data'!K50="","",'11th Data'!K50)</f>
        <v/>
      </c>
      <c r="K54" s="37">
        <v>10</v>
      </c>
      <c r="L54" s="37">
        <v>20</v>
      </c>
      <c r="M54" s="37">
        <v>10</v>
      </c>
      <c r="N54" s="37">
        <v>5</v>
      </c>
      <c r="O54" s="37">
        <v>76</v>
      </c>
      <c r="P54" s="37">
        <v>16</v>
      </c>
      <c r="R54" s="37">
        <v>10</v>
      </c>
      <c r="S54" s="37">
        <v>10</v>
      </c>
      <c r="T54" s="37">
        <v>30</v>
      </c>
      <c r="U54" s="37">
        <v>10</v>
      </c>
      <c r="V54" s="37">
        <v>70</v>
      </c>
      <c r="W54" s="37">
        <v>13</v>
      </c>
      <c r="Y54" s="109"/>
      <c r="Z54" s="37">
        <v>10</v>
      </c>
      <c r="AA54" s="37">
        <v>10</v>
      </c>
      <c r="AB54" s="37">
        <v>30</v>
      </c>
      <c r="AC54" s="37">
        <v>10</v>
      </c>
      <c r="AD54" s="37"/>
      <c r="AE54" s="37">
        <v>30</v>
      </c>
      <c r="AF54" s="37">
        <v>11</v>
      </c>
      <c r="AG54" s="37"/>
      <c r="AI54" s="109"/>
      <c r="AJ54" s="37">
        <v>10</v>
      </c>
      <c r="AK54" s="37">
        <v>10</v>
      </c>
      <c r="AL54" s="37">
        <v>30</v>
      </c>
      <c r="AM54" s="37">
        <v>10</v>
      </c>
      <c r="AN54" s="37"/>
      <c r="AO54" s="37">
        <v>50</v>
      </c>
      <c r="AP54" s="37">
        <v>12</v>
      </c>
      <c r="AQ54" s="37"/>
      <c r="AS54" s="109"/>
      <c r="AT54" s="37">
        <v>10</v>
      </c>
      <c r="AU54" s="37">
        <v>10</v>
      </c>
      <c r="AV54" s="37">
        <v>15</v>
      </c>
      <c r="AW54" s="37">
        <v>1</v>
      </c>
      <c r="AX54" s="37">
        <v>8</v>
      </c>
      <c r="AY54" s="37">
        <v>25</v>
      </c>
      <c r="AZ54" s="37">
        <v>9</v>
      </c>
      <c r="BA54" s="37">
        <v>15</v>
      </c>
      <c r="BC54" s="37">
        <v>15</v>
      </c>
      <c r="BD54" s="37">
        <v>15</v>
      </c>
      <c r="BE54" s="37">
        <v>15</v>
      </c>
      <c r="BF54" s="37">
        <v>10</v>
      </c>
      <c r="BG54" s="37">
        <v>70</v>
      </c>
      <c r="BH54" s="37">
        <v>12</v>
      </c>
      <c r="BJ54" s="37">
        <v>15</v>
      </c>
      <c r="BK54" s="37">
        <v>15</v>
      </c>
      <c r="BL54" s="37">
        <v>15</v>
      </c>
      <c r="BM54" s="37">
        <v>10</v>
      </c>
      <c r="BN54" s="37">
        <v>70</v>
      </c>
      <c r="BO54" s="37">
        <v>12</v>
      </c>
      <c r="BQ54" s="37"/>
      <c r="BR54" s="37"/>
      <c r="BS54" s="37"/>
      <c r="BT54" s="37"/>
      <c r="BU54" s="37"/>
      <c r="BV54" s="37"/>
      <c r="BY54" s="42">
        <f t="shared" si="0"/>
        <v>400</v>
      </c>
      <c r="BZ54" s="37">
        <v>300</v>
      </c>
    </row>
    <row r="55" spans="1:78" ht="30" customHeight="1" x14ac:dyDescent="0.25">
      <c r="A55" s="108" t="str">
        <f>IF('11th Data'!A51="","",'11th Data'!A51)</f>
        <v/>
      </c>
      <c r="B55" s="108" t="str">
        <f>IF('11th Data'!J51="","",'11th Data'!J51)</f>
        <v/>
      </c>
      <c r="C55" s="108" t="str">
        <f>IF('11th Data'!D51="","",'11th Data'!D51)</f>
        <v/>
      </c>
      <c r="D55" s="40" t="str">
        <f>IF('11th Data'!E51="","",'11th Data'!E51)</f>
        <v/>
      </c>
      <c r="E55" s="40" t="str">
        <f>IF('11th Data'!F51="","",'11th Data'!F51)</f>
        <v/>
      </c>
      <c r="F55" s="40" t="str">
        <f>IF('11th Data'!G51="","",'11th Data'!G51)</f>
        <v/>
      </c>
      <c r="G55" s="108" t="str">
        <f>IF('11th Data'!H51="","",'11th Data'!H51)</f>
        <v/>
      </c>
      <c r="H55" s="41" t="str">
        <f>IF('11th Data'!I51="","",'11th Data'!I51)</f>
        <v/>
      </c>
      <c r="I55" s="108" t="str">
        <f>IF('11th Data'!K51="","",'11th Data'!K51)</f>
        <v/>
      </c>
      <c r="K55" s="37">
        <v>10</v>
      </c>
      <c r="L55" s="37">
        <v>20</v>
      </c>
      <c r="M55" s="37">
        <v>10</v>
      </c>
      <c r="N55" s="37">
        <v>5</v>
      </c>
      <c r="O55" s="37">
        <v>77</v>
      </c>
      <c r="P55" s="37">
        <v>16</v>
      </c>
      <c r="R55" s="37">
        <v>10</v>
      </c>
      <c r="S55" s="37">
        <v>10</v>
      </c>
      <c r="T55" s="37">
        <v>30</v>
      </c>
      <c r="U55" s="37">
        <v>10</v>
      </c>
      <c r="V55" s="37">
        <v>71</v>
      </c>
      <c r="W55" s="37">
        <v>13</v>
      </c>
      <c r="Y55" s="109"/>
      <c r="Z55" s="37">
        <v>10</v>
      </c>
      <c r="AA55" s="37">
        <v>10</v>
      </c>
      <c r="AB55" s="37">
        <v>30</v>
      </c>
      <c r="AC55" s="37">
        <v>10</v>
      </c>
      <c r="AD55" s="37"/>
      <c r="AE55" s="37">
        <v>30</v>
      </c>
      <c r="AF55" s="37">
        <v>11</v>
      </c>
      <c r="AG55" s="37"/>
      <c r="AI55" s="109"/>
      <c r="AJ55" s="37">
        <v>10</v>
      </c>
      <c r="AK55" s="37">
        <v>10</v>
      </c>
      <c r="AL55" s="37">
        <v>30</v>
      </c>
      <c r="AM55" s="37">
        <v>10</v>
      </c>
      <c r="AN55" s="37"/>
      <c r="AO55" s="37">
        <v>50</v>
      </c>
      <c r="AP55" s="37">
        <v>15</v>
      </c>
      <c r="AQ55" s="37"/>
      <c r="AS55" s="109"/>
      <c r="AT55" s="37">
        <v>10</v>
      </c>
      <c r="AU55" s="37">
        <v>10</v>
      </c>
      <c r="AV55" s="37">
        <v>12</v>
      </c>
      <c r="AW55" s="37">
        <v>8</v>
      </c>
      <c r="AX55" s="37">
        <v>10</v>
      </c>
      <c r="AY55" s="37">
        <v>28</v>
      </c>
      <c r="AZ55" s="37">
        <v>10</v>
      </c>
      <c r="BA55" s="37">
        <v>16</v>
      </c>
      <c r="BC55" s="37">
        <v>15</v>
      </c>
      <c r="BD55" s="37">
        <v>15</v>
      </c>
      <c r="BE55" s="37">
        <v>15</v>
      </c>
      <c r="BF55" s="37">
        <v>10</v>
      </c>
      <c r="BG55" s="37">
        <v>70</v>
      </c>
      <c r="BH55" s="37">
        <v>12</v>
      </c>
      <c r="BJ55" s="37">
        <v>15</v>
      </c>
      <c r="BK55" s="37">
        <v>15</v>
      </c>
      <c r="BL55" s="37">
        <v>15</v>
      </c>
      <c r="BM55" s="37">
        <v>10</v>
      </c>
      <c r="BN55" s="37">
        <v>70</v>
      </c>
      <c r="BO55" s="37">
        <v>12</v>
      </c>
      <c r="BQ55" s="37"/>
      <c r="BR55" s="37"/>
      <c r="BS55" s="37"/>
      <c r="BT55" s="37"/>
      <c r="BU55" s="37"/>
      <c r="BV55" s="37"/>
      <c r="BY55" s="42">
        <f t="shared" si="0"/>
        <v>400</v>
      </c>
      <c r="BZ55" s="37">
        <v>300</v>
      </c>
    </row>
    <row r="56" spans="1:78" ht="30" customHeight="1" x14ac:dyDescent="0.25">
      <c r="A56" s="108" t="str">
        <f>IF('11th Data'!A52="","",'11th Data'!A52)</f>
        <v/>
      </c>
      <c r="B56" s="108" t="str">
        <f>IF('11th Data'!J52="","",'11th Data'!J52)</f>
        <v/>
      </c>
      <c r="C56" s="108" t="str">
        <f>IF('11th Data'!D52="","",'11th Data'!D52)</f>
        <v/>
      </c>
      <c r="D56" s="40" t="str">
        <f>IF('11th Data'!E52="","",'11th Data'!E52)</f>
        <v/>
      </c>
      <c r="E56" s="40" t="str">
        <f>IF('11th Data'!F52="","",'11th Data'!F52)</f>
        <v/>
      </c>
      <c r="F56" s="40" t="str">
        <f>IF('11th Data'!G52="","",'11th Data'!G52)</f>
        <v/>
      </c>
      <c r="G56" s="108" t="str">
        <f>IF('11th Data'!H52="","",'11th Data'!H52)</f>
        <v/>
      </c>
      <c r="H56" s="41" t="str">
        <f>IF('11th Data'!I52="","",'11th Data'!I52)</f>
        <v/>
      </c>
      <c r="I56" s="108" t="str">
        <f>IF('11th Data'!K52="","",'11th Data'!K52)</f>
        <v/>
      </c>
      <c r="K56" s="37">
        <v>10</v>
      </c>
      <c r="L56" s="37">
        <v>20</v>
      </c>
      <c r="M56" s="37">
        <v>10</v>
      </c>
      <c r="N56" s="37">
        <v>5</v>
      </c>
      <c r="O56" s="37">
        <v>78</v>
      </c>
      <c r="P56" s="37">
        <v>16</v>
      </c>
      <c r="R56" s="37">
        <v>10</v>
      </c>
      <c r="S56" s="37">
        <v>10</v>
      </c>
      <c r="T56" s="37">
        <v>30</v>
      </c>
      <c r="U56" s="37">
        <v>10</v>
      </c>
      <c r="V56" s="37">
        <v>72</v>
      </c>
      <c r="W56" s="37">
        <v>13</v>
      </c>
      <c r="Y56" s="109"/>
      <c r="Z56" s="37">
        <v>10</v>
      </c>
      <c r="AA56" s="37">
        <v>10</v>
      </c>
      <c r="AB56" s="37">
        <v>30</v>
      </c>
      <c r="AC56" s="37">
        <v>10</v>
      </c>
      <c r="AD56" s="37"/>
      <c r="AE56" s="37">
        <v>30</v>
      </c>
      <c r="AF56" s="37">
        <v>11</v>
      </c>
      <c r="AG56" s="37"/>
      <c r="AI56" s="109"/>
      <c r="AJ56" s="37">
        <v>10</v>
      </c>
      <c r="AK56" s="37">
        <v>10</v>
      </c>
      <c r="AL56" s="37">
        <v>30</v>
      </c>
      <c r="AM56" s="37">
        <v>10</v>
      </c>
      <c r="AN56" s="37"/>
      <c r="AO56" s="37">
        <v>50</v>
      </c>
      <c r="AP56" s="37">
        <v>10</v>
      </c>
      <c r="AQ56" s="37"/>
      <c r="AS56" s="109"/>
      <c r="AT56" s="37">
        <v>10</v>
      </c>
      <c r="AU56" s="37">
        <v>10</v>
      </c>
      <c r="AV56" s="37">
        <v>18</v>
      </c>
      <c r="AW56" s="37">
        <v>5</v>
      </c>
      <c r="AX56" s="37">
        <v>12</v>
      </c>
      <c r="AY56" s="37">
        <v>29</v>
      </c>
      <c r="AZ56" s="37">
        <v>8</v>
      </c>
      <c r="BA56" s="37">
        <v>14</v>
      </c>
      <c r="BC56" s="37">
        <v>15</v>
      </c>
      <c r="BD56" s="37">
        <v>15</v>
      </c>
      <c r="BE56" s="37">
        <v>15</v>
      </c>
      <c r="BF56" s="37">
        <v>10</v>
      </c>
      <c r="BG56" s="37">
        <v>70</v>
      </c>
      <c r="BH56" s="37">
        <v>12</v>
      </c>
      <c r="BJ56" s="37">
        <v>15</v>
      </c>
      <c r="BK56" s="37">
        <v>15</v>
      </c>
      <c r="BL56" s="37">
        <v>15</v>
      </c>
      <c r="BM56" s="37">
        <v>10</v>
      </c>
      <c r="BN56" s="37">
        <v>70</v>
      </c>
      <c r="BO56" s="37">
        <v>12</v>
      </c>
      <c r="BQ56" s="37"/>
      <c r="BR56" s="37"/>
      <c r="BS56" s="37"/>
      <c r="BT56" s="37"/>
      <c r="BU56" s="37"/>
      <c r="BV56" s="37"/>
      <c r="BY56" s="42">
        <f t="shared" si="0"/>
        <v>400</v>
      </c>
      <c r="BZ56" s="37">
        <v>300</v>
      </c>
    </row>
    <row r="57" spans="1:78" ht="30" customHeight="1" x14ac:dyDescent="0.25">
      <c r="A57" s="108" t="str">
        <f>IF('11th Data'!A53="","",'11th Data'!A53)</f>
        <v/>
      </c>
      <c r="B57" s="108" t="str">
        <f>IF('11th Data'!J53="","",'11th Data'!J53)</f>
        <v/>
      </c>
      <c r="C57" s="108" t="str">
        <f>IF('11th Data'!D53="","",'11th Data'!D53)</f>
        <v/>
      </c>
      <c r="D57" s="40" t="str">
        <f>IF('11th Data'!E53="","",'11th Data'!E53)</f>
        <v/>
      </c>
      <c r="E57" s="40" t="str">
        <f>IF('11th Data'!F53="","",'11th Data'!F53)</f>
        <v/>
      </c>
      <c r="F57" s="40" t="str">
        <f>IF('11th Data'!G53="","",'11th Data'!G53)</f>
        <v/>
      </c>
      <c r="G57" s="108" t="str">
        <f>IF('11th Data'!H53="","",'11th Data'!H53)</f>
        <v/>
      </c>
      <c r="H57" s="41" t="str">
        <f>IF('11th Data'!I53="","",'11th Data'!I53)</f>
        <v/>
      </c>
      <c r="I57" s="108" t="str">
        <f>IF('11th Data'!K53="","",'11th Data'!K53)</f>
        <v/>
      </c>
      <c r="K57" s="37">
        <v>10</v>
      </c>
      <c r="L57" s="37">
        <v>10</v>
      </c>
      <c r="M57" s="37">
        <v>30</v>
      </c>
      <c r="N57" s="37">
        <v>10</v>
      </c>
      <c r="O57" s="37">
        <v>79</v>
      </c>
      <c r="P57" s="37">
        <v>16</v>
      </c>
      <c r="R57" s="37">
        <v>15</v>
      </c>
      <c r="S57" s="37">
        <v>15</v>
      </c>
      <c r="T57" s="37">
        <v>30</v>
      </c>
      <c r="U57" s="37">
        <v>10</v>
      </c>
      <c r="V57" s="37">
        <v>73</v>
      </c>
      <c r="W57" s="37">
        <v>13</v>
      </c>
      <c r="Y57" s="109"/>
      <c r="Z57" s="37">
        <v>15</v>
      </c>
      <c r="AA57" s="37">
        <v>15</v>
      </c>
      <c r="AB57" s="37">
        <v>30</v>
      </c>
      <c r="AC57" s="37">
        <v>10</v>
      </c>
      <c r="AD57" s="37"/>
      <c r="AE57" s="37">
        <v>60</v>
      </c>
      <c r="AF57" s="37">
        <v>11</v>
      </c>
      <c r="AG57" s="37"/>
      <c r="AI57" s="109"/>
      <c r="AJ57" s="37">
        <v>15</v>
      </c>
      <c r="AK57" s="37">
        <v>15</v>
      </c>
      <c r="AL57" s="37">
        <v>30</v>
      </c>
      <c r="AM57" s="37">
        <v>10</v>
      </c>
      <c r="AN57" s="37"/>
      <c r="AO57" s="37">
        <v>60</v>
      </c>
      <c r="AP57" s="37">
        <v>5</v>
      </c>
      <c r="AQ57" s="37"/>
      <c r="AS57" s="109"/>
      <c r="AT57" s="37">
        <v>15</v>
      </c>
      <c r="AU57" s="37">
        <v>15</v>
      </c>
      <c r="AV57" s="37">
        <v>15</v>
      </c>
      <c r="AW57" s="37">
        <v>5</v>
      </c>
      <c r="AX57" s="37">
        <v>10</v>
      </c>
      <c r="AY57" s="37">
        <v>15</v>
      </c>
      <c r="AZ57" s="37">
        <v>10</v>
      </c>
      <c r="BA57" s="37">
        <v>12</v>
      </c>
      <c r="BC57" s="37">
        <v>15</v>
      </c>
      <c r="BD57" s="37">
        <v>15</v>
      </c>
      <c r="BE57" s="37">
        <v>15</v>
      </c>
      <c r="BF57" s="37">
        <v>10</v>
      </c>
      <c r="BG57" s="37">
        <v>70</v>
      </c>
      <c r="BH57" s="37">
        <v>12</v>
      </c>
      <c r="BJ57" s="37">
        <v>15</v>
      </c>
      <c r="BK57" s="37">
        <v>15</v>
      </c>
      <c r="BL57" s="37">
        <v>15</v>
      </c>
      <c r="BM57" s="37">
        <v>10</v>
      </c>
      <c r="BN57" s="37">
        <v>70</v>
      </c>
      <c r="BO57" s="37">
        <v>12</v>
      </c>
      <c r="BQ57" s="37"/>
      <c r="BR57" s="37"/>
      <c r="BS57" s="37"/>
      <c r="BT57" s="37"/>
      <c r="BU57" s="37"/>
      <c r="BV57" s="37"/>
      <c r="BY57" s="42">
        <f t="shared" si="0"/>
        <v>400</v>
      </c>
      <c r="BZ57" s="37">
        <v>300</v>
      </c>
    </row>
    <row r="58" spans="1:78" ht="30" customHeight="1" x14ac:dyDescent="0.25">
      <c r="A58" s="108" t="str">
        <f>IF('11th Data'!A54="","",'11th Data'!A54)</f>
        <v/>
      </c>
      <c r="B58" s="108" t="str">
        <f>IF('11th Data'!J54="","",'11th Data'!J54)</f>
        <v/>
      </c>
      <c r="C58" s="108" t="str">
        <f>IF('11th Data'!D54="","",'11th Data'!D54)</f>
        <v/>
      </c>
      <c r="D58" s="40" t="str">
        <f>IF('11th Data'!E54="","",'11th Data'!E54)</f>
        <v/>
      </c>
      <c r="E58" s="40" t="str">
        <f>IF('11th Data'!F54="","",'11th Data'!F54)</f>
        <v/>
      </c>
      <c r="F58" s="40" t="str">
        <f>IF('11th Data'!G54="","",'11th Data'!G54)</f>
        <v/>
      </c>
      <c r="G58" s="108" t="str">
        <f>IF('11th Data'!H54="","",'11th Data'!H54)</f>
        <v/>
      </c>
      <c r="H58" s="41" t="str">
        <f>IF('11th Data'!I54="","",'11th Data'!I54)</f>
        <v/>
      </c>
      <c r="I58" s="108" t="str">
        <f>IF('11th Data'!K54="","",'11th Data'!K54)</f>
        <v/>
      </c>
      <c r="K58" s="37">
        <v>10</v>
      </c>
      <c r="L58" s="37">
        <v>10</v>
      </c>
      <c r="M58" s="37">
        <v>12</v>
      </c>
      <c r="N58" s="37">
        <v>4</v>
      </c>
      <c r="O58" s="37">
        <v>80</v>
      </c>
      <c r="P58" s="37">
        <v>16</v>
      </c>
      <c r="R58" s="37">
        <v>5</v>
      </c>
      <c r="S58" s="37">
        <v>10</v>
      </c>
      <c r="T58" s="37">
        <v>12</v>
      </c>
      <c r="U58" s="37">
        <v>4</v>
      </c>
      <c r="V58" s="37">
        <v>74</v>
      </c>
      <c r="W58" s="37">
        <v>13</v>
      </c>
      <c r="Y58" s="109"/>
      <c r="Z58" s="37">
        <v>12</v>
      </c>
      <c r="AA58" s="37">
        <v>10</v>
      </c>
      <c r="AB58" s="37">
        <v>12</v>
      </c>
      <c r="AC58" s="37">
        <v>4</v>
      </c>
      <c r="AD58" s="37"/>
      <c r="AE58" s="37">
        <v>40</v>
      </c>
      <c r="AF58" s="37">
        <v>11</v>
      </c>
      <c r="AG58" s="37"/>
      <c r="AI58" s="109"/>
      <c r="AJ58" s="37">
        <v>6</v>
      </c>
      <c r="AK58" s="37">
        <v>10</v>
      </c>
      <c r="AL58" s="37">
        <v>12</v>
      </c>
      <c r="AM58" s="37">
        <v>4</v>
      </c>
      <c r="AN58" s="37"/>
      <c r="AO58" s="37">
        <v>40</v>
      </c>
      <c r="AP58" s="37">
        <v>4</v>
      </c>
      <c r="AQ58" s="37"/>
      <c r="AS58" s="109"/>
      <c r="AT58" s="37">
        <v>15</v>
      </c>
      <c r="AU58" s="37">
        <v>10</v>
      </c>
      <c r="AV58" s="37">
        <v>12</v>
      </c>
      <c r="AW58" s="37">
        <v>8</v>
      </c>
      <c r="AX58" s="37">
        <v>4</v>
      </c>
      <c r="AY58" s="37">
        <v>20</v>
      </c>
      <c r="AZ58" s="37">
        <v>12</v>
      </c>
      <c r="BA58" s="37">
        <v>13</v>
      </c>
      <c r="BC58" s="37">
        <v>15</v>
      </c>
      <c r="BD58" s="37">
        <v>15</v>
      </c>
      <c r="BE58" s="37">
        <v>15</v>
      </c>
      <c r="BF58" s="37">
        <v>10</v>
      </c>
      <c r="BG58" s="37">
        <v>70</v>
      </c>
      <c r="BH58" s="37">
        <v>12</v>
      </c>
      <c r="BJ58" s="37">
        <v>15</v>
      </c>
      <c r="BK58" s="37">
        <v>15</v>
      </c>
      <c r="BL58" s="37">
        <v>15</v>
      </c>
      <c r="BM58" s="37">
        <v>10</v>
      </c>
      <c r="BN58" s="37">
        <v>70</v>
      </c>
      <c r="BO58" s="37">
        <v>12</v>
      </c>
      <c r="BQ58" s="37"/>
      <c r="BR58" s="37"/>
      <c r="BS58" s="37"/>
      <c r="BT58" s="37"/>
      <c r="BU58" s="37"/>
      <c r="BV58" s="37"/>
      <c r="BY58" s="42">
        <f t="shared" si="0"/>
        <v>400</v>
      </c>
      <c r="BZ58" s="37">
        <v>300</v>
      </c>
    </row>
    <row r="59" spans="1:78" ht="30" customHeight="1" x14ac:dyDescent="0.25">
      <c r="A59" s="108" t="str">
        <f>IF('11th Data'!A55="","",'11th Data'!A55)</f>
        <v/>
      </c>
      <c r="B59" s="108" t="str">
        <f>IF('11th Data'!J55="","",'11th Data'!J55)</f>
        <v/>
      </c>
      <c r="C59" s="108" t="str">
        <f>IF('11th Data'!D55="","",'11th Data'!D55)</f>
        <v/>
      </c>
      <c r="D59" s="40" t="str">
        <f>IF('11th Data'!E55="","",'11th Data'!E55)</f>
        <v/>
      </c>
      <c r="E59" s="40" t="str">
        <f>IF('11th Data'!F55="","",'11th Data'!F55)</f>
        <v/>
      </c>
      <c r="F59" s="40" t="str">
        <f>IF('11th Data'!G55="","",'11th Data'!G55)</f>
        <v/>
      </c>
      <c r="G59" s="108" t="str">
        <f>IF('11th Data'!H55="","",'11th Data'!H55)</f>
        <v/>
      </c>
      <c r="H59" s="41" t="str">
        <f>IF('11th Data'!I55="","",'11th Data'!I55)</f>
        <v/>
      </c>
      <c r="I59" s="108" t="str">
        <f>IF('11th Data'!K55="","",'11th Data'!K55)</f>
        <v/>
      </c>
      <c r="K59" s="37">
        <v>15</v>
      </c>
      <c r="L59" s="37">
        <v>15</v>
      </c>
      <c r="M59" s="37">
        <v>20</v>
      </c>
      <c r="N59" s="37">
        <v>10</v>
      </c>
      <c r="O59" s="37">
        <v>81</v>
      </c>
      <c r="P59" s="37">
        <v>16</v>
      </c>
      <c r="R59" s="37">
        <v>10</v>
      </c>
      <c r="S59" s="37">
        <v>10</v>
      </c>
      <c r="T59" s="37">
        <v>10</v>
      </c>
      <c r="U59" s="37">
        <v>10</v>
      </c>
      <c r="V59" s="37">
        <v>75</v>
      </c>
      <c r="W59" s="37">
        <v>13</v>
      </c>
      <c r="Y59" s="109"/>
      <c r="Z59" s="37">
        <v>10</v>
      </c>
      <c r="AA59" s="37">
        <v>10</v>
      </c>
      <c r="AB59" s="37">
        <v>30</v>
      </c>
      <c r="AC59" s="37">
        <v>10</v>
      </c>
      <c r="AD59" s="37"/>
      <c r="AE59" s="37">
        <v>30</v>
      </c>
      <c r="AF59" s="37">
        <v>11</v>
      </c>
      <c r="AG59" s="37"/>
      <c r="AI59" s="109"/>
      <c r="AJ59" s="37">
        <v>10</v>
      </c>
      <c r="AK59" s="37">
        <v>10</v>
      </c>
      <c r="AL59" s="37">
        <v>30</v>
      </c>
      <c r="AM59" s="37">
        <v>10</v>
      </c>
      <c r="AN59" s="37"/>
      <c r="AO59" s="37">
        <v>50</v>
      </c>
      <c r="AP59" s="37">
        <v>15</v>
      </c>
      <c r="AQ59" s="37"/>
      <c r="AS59" s="109"/>
      <c r="AT59" s="37">
        <v>10</v>
      </c>
      <c r="AU59" s="37">
        <v>10</v>
      </c>
      <c r="AV59" s="37">
        <v>18</v>
      </c>
      <c r="AW59" s="37">
        <v>7</v>
      </c>
      <c r="AX59" s="37">
        <v>10</v>
      </c>
      <c r="AY59" s="37">
        <v>28</v>
      </c>
      <c r="AZ59" s="37">
        <v>10</v>
      </c>
      <c r="BA59" s="37">
        <v>14</v>
      </c>
      <c r="BC59" s="37">
        <v>15</v>
      </c>
      <c r="BD59" s="37">
        <v>15</v>
      </c>
      <c r="BE59" s="37">
        <v>15</v>
      </c>
      <c r="BF59" s="37">
        <v>10</v>
      </c>
      <c r="BG59" s="37">
        <v>70</v>
      </c>
      <c r="BH59" s="37">
        <v>12</v>
      </c>
      <c r="BJ59" s="37">
        <v>15</v>
      </c>
      <c r="BK59" s="37">
        <v>15</v>
      </c>
      <c r="BL59" s="37">
        <v>15</v>
      </c>
      <c r="BM59" s="37">
        <v>10</v>
      </c>
      <c r="BN59" s="37">
        <v>70</v>
      </c>
      <c r="BO59" s="37">
        <v>12</v>
      </c>
      <c r="BQ59" s="37"/>
      <c r="BR59" s="37"/>
      <c r="BS59" s="37"/>
      <c r="BT59" s="37"/>
      <c r="BU59" s="37"/>
      <c r="BV59" s="37"/>
      <c r="BY59" s="42">
        <f t="shared" si="0"/>
        <v>400</v>
      </c>
      <c r="BZ59" s="37">
        <v>300</v>
      </c>
    </row>
    <row r="60" spans="1:78" ht="30" customHeight="1" x14ac:dyDescent="0.25">
      <c r="A60" s="108" t="str">
        <f>IF('11th Data'!A56="","",'11th Data'!A56)</f>
        <v/>
      </c>
      <c r="B60" s="108" t="str">
        <f>IF('11th Data'!J56="","",'11th Data'!J56)</f>
        <v/>
      </c>
      <c r="C60" s="108" t="str">
        <f>IF('11th Data'!D56="","",'11th Data'!D56)</f>
        <v/>
      </c>
      <c r="D60" s="40" t="str">
        <f>IF('11th Data'!E56="","",'11th Data'!E56)</f>
        <v/>
      </c>
      <c r="E60" s="40" t="str">
        <f>IF('11th Data'!F56="","",'11th Data'!F56)</f>
        <v/>
      </c>
      <c r="F60" s="40" t="str">
        <f>IF('11th Data'!G56="","",'11th Data'!G56)</f>
        <v/>
      </c>
      <c r="G60" s="108" t="str">
        <f>IF('11th Data'!H56="","",'11th Data'!H56)</f>
        <v/>
      </c>
      <c r="H60" s="41" t="str">
        <f>IF('11th Data'!I56="","",'11th Data'!I56)</f>
        <v/>
      </c>
      <c r="I60" s="108" t="str">
        <f>IF('11th Data'!K56="","",'11th Data'!K56)</f>
        <v/>
      </c>
      <c r="K60" s="37">
        <v>5</v>
      </c>
      <c r="L60" s="37">
        <v>5</v>
      </c>
      <c r="M60" s="37">
        <v>5</v>
      </c>
      <c r="N60" s="37">
        <v>5</v>
      </c>
      <c r="O60" s="37">
        <v>82</v>
      </c>
      <c r="P60" s="37">
        <v>16</v>
      </c>
      <c r="R60" s="37">
        <v>5</v>
      </c>
      <c r="S60" s="37">
        <v>5</v>
      </c>
      <c r="T60" s="37">
        <v>5</v>
      </c>
      <c r="U60" s="37">
        <v>5</v>
      </c>
      <c r="V60" s="37">
        <v>76</v>
      </c>
      <c r="W60" s="37">
        <v>13</v>
      </c>
      <c r="Y60" s="109"/>
      <c r="Z60" s="37">
        <v>5</v>
      </c>
      <c r="AA60" s="37">
        <v>5</v>
      </c>
      <c r="AB60" s="37">
        <v>5</v>
      </c>
      <c r="AC60" s="37">
        <v>5</v>
      </c>
      <c r="AD60" s="37"/>
      <c r="AE60" s="37">
        <v>5</v>
      </c>
      <c r="AF60" s="37">
        <v>11</v>
      </c>
      <c r="AG60" s="37"/>
      <c r="AI60" s="109"/>
      <c r="AJ60" s="37">
        <v>5</v>
      </c>
      <c r="AK60" s="37">
        <v>5</v>
      </c>
      <c r="AL60" s="37">
        <v>5</v>
      </c>
      <c r="AM60" s="37">
        <v>5</v>
      </c>
      <c r="AN60" s="37"/>
      <c r="AO60" s="37">
        <v>5</v>
      </c>
      <c r="AP60" s="37">
        <v>10</v>
      </c>
      <c r="AQ60" s="37"/>
      <c r="AS60" s="109"/>
      <c r="AT60" s="37">
        <v>5</v>
      </c>
      <c r="AU60" s="37">
        <v>5</v>
      </c>
      <c r="AV60" s="37">
        <v>17</v>
      </c>
      <c r="AW60" s="37">
        <v>4</v>
      </c>
      <c r="AX60" s="37">
        <v>15</v>
      </c>
      <c r="AY60" s="37">
        <v>25</v>
      </c>
      <c r="AZ60" s="37">
        <v>11</v>
      </c>
      <c r="BA60" s="37">
        <v>15</v>
      </c>
      <c r="BC60" s="37">
        <v>15</v>
      </c>
      <c r="BD60" s="37">
        <v>15</v>
      </c>
      <c r="BE60" s="37">
        <v>15</v>
      </c>
      <c r="BF60" s="37">
        <v>10</v>
      </c>
      <c r="BG60" s="37">
        <v>70</v>
      </c>
      <c r="BH60" s="37">
        <v>12</v>
      </c>
      <c r="BJ60" s="37">
        <v>15</v>
      </c>
      <c r="BK60" s="37">
        <v>15</v>
      </c>
      <c r="BL60" s="37">
        <v>15</v>
      </c>
      <c r="BM60" s="37">
        <v>10</v>
      </c>
      <c r="BN60" s="37">
        <v>70</v>
      </c>
      <c r="BO60" s="37">
        <v>12</v>
      </c>
      <c r="BQ60" s="37"/>
      <c r="BR60" s="37"/>
      <c r="BS60" s="37"/>
      <c r="BT60" s="37"/>
      <c r="BU60" s="37"/>
      <c r="BV60" s="37"/>
      <c r="BY60" s="42">
        <f t="shared" si="0"/>
        <v>400</v>
      </c>
      <c r="BZ60" s="37">
        <v>300</v>
      </c>
    </row>
    <row r="61" spans="1:78" ht="30" customHeight="1" x14ac:dyDescent="0.25">
      <c r="A61" s="108" t="str">
        <f>IF('11th Data'!A57="","",'11th Data'!A57)</f>
        <v/>
      </c>
      <c r="B61" s="108" t="str">
        <f>IF('11th Data'!J57="","",'11th Data'!J57)</f>
        <v/>
      </c>
      <c r="C61" s="108" t="str">
        <f>IF('11th Data'!D57="","",'11th Data'!D57)</f>
        <v/>
      </c>
      <c r="D61" s="40" t="str">
        <f>IF('11th Data'!E57="","",'11th Data'!E57)</f>
        <v/>
      </c>
      <c r="E61" s="40" t="str">
        <f>IF('11th Data'!F57="","",'11th Data'!F57)</f>
        <v/>
      </c>
      <c r="F61" s="40" t="str">
        <f>IF('11th Data'!G57="","",'11th Data'!G57)</f>
        <v/>
      </c>
      <c r="G61" s="108" t="str">
        <f>IF('11th Data'!H57="","",'11th Data'!H57)</f>
        <v/>
      </c>
      <c r="H61" s="41" t="str">
        <f>IF('11th Data'!I57="","",'11th Data'!I57)</f>
        <v/>
      </c>
      <c r="I61" s="108" t="str">
        <f>IF('11th Data'!K57="","",'11th Data'!K57)</f>
        <v/>
      </c>
      <c r="K61" s="37">
        <v>10</v>
      </c>
      <c r="L61" s="37">
        <v>9</v>
      </c>
      <c r="M61" s="37">
        <v>5</v>
      </c>
      <c r="N61" s="37">
        <v>5</v>
      </c>
      <c r="O61" s="37">
        <v>83</v>
      </c>
      <c r="P61" s="37">
        <v>16</v>
      </c>
      <c r="R61" s="37">
        <v>10</v>
      </c>
      <c r="S61" s="37">
        <v>10</v>
      </c>
      <c r="T61" s="37">
        <v>30</v>
      </c>
      <c r="U61" s="37">
        <v>10</v>
      </c>
      <c r="V61" s="37">
        <v>77</v>
      </c>
      <c r="W61" s="37">
        <v>13</v>
      </c>
      <c r="Y61" s="109"/>
      <c r="Z61" s="37">
        <v>18</v>
      </c>
      <c r="AA61" s="37">
        <v>18</v>
      </c>
      <c r="AB61" s="37">
        <v>40</v>
      </c>
      <c r="AC61" s="37">
        <v>10</v>
      </c>
      <c r="AD61" s="37"/>
      <c r="AE61" s="37">
        <v>65</v>
      </c>
      <c r="AF61" s="37">
        <v>11</v>
      </c>
      <c r="AG61" s="37"/>
      <c r="AI61" s="109"/>
      <c r="AJ61" s="37">
        <v>5</v>
      </c>
      <c r="AK61" s="37">
        <v>5</v>
      </c>
      <c r="AL61" s="37">
        <v>18</v>
      </c>
      <c r="AM61" s="37">
        <v>10</v>
      </c>
      <c r="AN61" s="37"/>
      <c r="AO61" s="37">
        <v>30</v>
      </c>
      <c r="AP61" s="37">
        <v>9</v>
      </c>
      <c r="AQ61" s="37"/>
      <c r="AS61" s="109"/>
      <c r="AT61" s="37">
        <v>10</v>
      </c>
      <c r="AU61" s="37">
        <v>10</v>
      </c>
      <c r="AV61" s="37">
        <v>16</v>
      </c>
      <c r="AW61" s="37">
        <v>8</v>
      </c>
      <c r="AX61" s="37">
        <v>10</v>
      </c>
      <c r="AY61" s="37">
        <v>31</v>
      </c>
      <c r="AZ61" s="37">
        <v>10</v>
      </c>
      <c r="BA61" s="37">
        <v>16</v>
      </c>
      <c r="BC61" s="37">
        <v>15</v>
      </c>
      <c r="BD61" s="37">
        <v>15</v>
      </c>
      <c r="BE61" s="37">
        <v>15</v>
      </c>
      <c r="BF61" s="37">
        <v>10</v>
      </c>
      <c r="BG61" s="37">
        <v>70</v>
      </c>
      <c r="BH61" s="37">
        <v>12</v>
      </c>
      <c r="BJ61" s="37">
        <v>15</v>
      </c>
      <c r="BK61" s="37">
        <v>15</v>
      </c>
      <c r="BL61" s="37">
        <v>15</v>
      </c>
      <c r="BM61" s="37">
        <v>10</v>
      </c>
      <c r="BN61" s="37">
        <v>70</v>
      </c>
      <c r="BO61" s="37">
        <v>12</v>
      </c>
      <c r="BQ61" s="37"/>
      <c r="BR61" s="37"/>
      <c r="BS61" s="37"/>
      <c r="BT61" s="37"/>
      <c r="BU61" s="37"/>
      <c r="BV61" s="37"/>
      <c r="BY61" s="42">
        <f t="shared" si="0"/>
        <v>400</v>
      </c>
      <c r="BZ61" s="37">
        <v>300</v>
      </c>
    </row>
    <row r="62" spans="1:78" ht="30" customHeight="1" x14ac:dyDescent="0.25">
      <c r="A62" s="108" t="str">
        <f>IF('11th Data'!A58="","",'11th Data'!A58)</f>
        <v/>
      </c>
      <c r="B62" s="108" t="str">
        <f>IF('11th Data'!J58="","",'11th Data'!J58)</f>
        <v/>
      </c>
      <c r="C62" s="108" t="str">
        <f>IF('11th Data'!D58="","",'11th Data'!D58)</f>
        <v/>
      </c>
      <c r="D62" s="40" t="str">
        <f>IF('11th Data'!E58="","",'11th Data'!E58)</f>
        <v/>
      </c>
      <c r="E62" s="40" t="str">
        <f>IF('11th Data'!F58="","",'11th Data'!F58)</f>
        <v/>
      </c>
      <c r="F62" s="40" t="str">
        <f>IF('11th Data'!G58="","",'11th Data'!G58)</f>
        <v/>
      </c>
      <c r="G62" s="108" t="str">
        <f>IF('11th Data'!H58="","",'11th Data'!H58)</f>
        <v/>
      </c>
      <c r="H62" s="41" t="str">
        <f>IF('11th Data'!I58="","",'11th Data'!I58)</f>
        <v/>
      </c>
      <c r="I62" s="108" t="str">
        <f>IF('11th Data'!K58="","",'11th Data'!K58)</f>
        <v/>
      </c>
      <c r="K62" s="37">
        <v>10</v>
      </c>
      <c r="L62" s="37">
        <v>20</v>
      </c>
      <c r="M62" s="37">
        <v>10</v>
      </c>
      <c r="N62" s="37">
        <v>5</v>
      </c>
      <c r="O62" s="37">
        <v>84</v>
      </c>
      <c r="P62" s="37">
        <v>16</v>
      </c>
      <c r="R62" s="37">
        <v>10</v>
      </c>
      <c r="S62" s="37">
        <v>10</v>
      </c>
      <c r="T62" s="37">
        <v>30</v>
      </c>
      <c r="U62" s="37">
        <v>10</v>
      </c>
      <c r="V62" s="37">
        <v>78</v>
      </c>
      <c r="W62" s="37">
        <v>13</v>
      </c>
      <c r="Y62" s="109"/>
      <c r="Z62" s="37">
        <v>10</v>
      </c>
      <c r="AA62" s="37">
        <v>10</v>
      </c>
      <c r="AB62" s="37">
        <v>30</v>
      </c>
      <c r="AC62" s="37">
        <v>10</v>
      </c>
      <c r="AD62" s="37"/>
      <c r="AE62" s="37">
        <v>30</v>
      </c>
      <c r="AF62" s="37">
        <v>11</v>
      </c>
      <c r="AG62" s="37"/>
      <c r="AI62" s="109"/>
      <c r="AJ62" s="37">
        <v>10</v>
      </c>
      <c r="AK62" s="37">
        <v>10</v>
      </c>
      <c r="AL62" s="37">
        <v>30</v>
      </c>
      <c r="AM62" s="37">
        <v>10</v>
      </c>
      <c r="AN62" s="37"/>
      <c r="AO62" s="37">
        <v>50</v>
      </c>
      <c r="AP62" s="37">
        <v>8</v>
      </c>
      <c r="AQ62" s="37"/>
      <c r="AS62" s="109"/>
      <c r="AT62" s="37">
        <v>10</v>
      </c>
      <c r="AU62" s="37">
        <v>10</v>
      </c>
      <c r="AV62" s="37">
        <v>15</v>
      </c>
      <c r="AW62" s="37">
        <v>7</v>
      </c>
      <c r="AX62" s="37">
        <v>11</v>
      </c>
      <c r="AY62" s="37">
        <v>32</v>
      </c>
      <c r="AZ62" s="37">
        <v>8</v>
      </c>
      <c r="BA62" s="37">
        <v>10</v>
      </c>
      <c r="BC62" s="37">
        <v>15</v>
      </c>
      <c r="BD62" s="37">
        <v>15</v>
      </c>
      <c r="BE62" s="37">
        <v>15</v>
      </c>
      <c r="BF62" s="37">
        <v>10</v>
      </c>
      <c r="BG62" s="37">
        <v>70</v>
      </c>
      <c r="BH62" s="37">
        <v>12</v>
      </c>
      <c r="BJ62" s="37">
        <v>15</v>
      </c>
      <c r="BK62" s="37">
        <v>15</v>
      </c>
      <c r="BL62" s="37">
        <v>15</v>
      </c>
      <c r="BM62" s="37">
        <v>10</v>
      </c>
      <c r="BN62" s="37">
        <v>70</v>
      </c>
      <c r="BO62" s="37">
        <v>12</v>
      </c>
      <c r="BQ62" s="37"/>
      <c r="BR62" s="37"/>
      <c r="BS62" s="37"/>
      <c r="BT62" s="37"/>
      <c r="BU62" s="37"/>
      <c r="BV62" s="37"/>
      <c r="BY62" s="42">
        <f t="shared" si="0"/>
        <v>400</v>
      </c>
      <c r="BZ62" s="37">
        <v>300</v>
      </c>
    </row>
    <row r="63" spans="1:78" ht="30" customHeight="1" x14ac:dyDescent="0.25">
      <c r="A63" s="108" t="str">
        <f>IF('11th Data'!A59="","",'11th Data'!A59)</f>
        <v/>
      </c>
      <c r="B63" s="108" t="str">
        <f>IF('11th Data'!J59="","",'11th Data'!J59)</f>
        <v/>
      </c>
      <c r="C63" s="108" t="str">
        <f>IF('11th Data'!D59="","",'11th Data'!D59)</f>
        <v/>
      </c>
      <c r="D63" s="40" t="str">
        <f>IF('11th Data'!E59="","",'11th Data'!E59)</f>
        <v/>
      </c>
      <c r="E63" s="40" t="str">
        <f>IF('11th Data'!F59="","",'11th Data'!F59)</f>
        <v/>
      </c>
      <c r="F63" s="40" t="str">
        <f>IF('11th Data'!G59="","",'11th Data'!G59)</f>
        <v/>
      </c>
      <c r="G63" s="108" t="str">
        <f>IF('11th Data'!H59="","",'11th Data'!H59)</f>
        <v/>
      </c>
      <c r="H63" s="41" t="str">
        <f>IF('11th Data'!I59="","",'11th Data'!I59)</f>
        <v/>
      </c>
      <c r="I63" s="108" t="str">
        <f>IF('11th Data'!K59="","",'11th Data'!K59)</f>
        <v/>
      </c>
      <c r="K63" s="37">
        <v>10</v>
      </c>
      <c r="L63" s="37">
        <v>20</v>
      </c>
      <c r="M63" s="37">
        <v>10</v>
      </c>
      <c r="N63" s="37">
        <v>5</v>
      </c>
      <c r="O63" s="37">
        <v>85</v>
      </c>
      <c r="P63" s="37">
        <v>16</v>
      </c>
      <c r="R63" s="37">
        <v>10</v>
      </c>
      <c r="S63" s="37">
        <v>10</v>
      </c>
      <c r="T63" s="37">
        <v>30</v>
      </c>
      <c r="U63" s="37">
        <v>10</v>
      </c>
      <c r="V63" s="37">
        <v>79</v>
      </c>
      <c r="W63" s="37">
        <v>13</v>
      </c>
      <c r="Y63" s="109"/>
      <c r="Z63" s="37">
        <v>10</v>
      </c>
      <c r="AA63" s="37">
        <v>10</v>
      </c>
      <c r="AB63" s="37">
        <v>30</v>
      </c>
      <c r="AC63" s="37">
        <v>10</v>
      </c>
      <c r="AD63" s="37"/>
      <c r="AE63" s="37">
        <v>30</v>
      </c>
      <c r="AF63" s="37">
        <v>11</v>
      </c>
      <c r="AG63" s="37"/>
      <c r="AI63" s="109"/>
      <c r="AJ63" s="37">
        <v>10</v>
      </c>
      <c r="AK63" s="37">
        <v>10</v>
      </c>
      <c r="AL63" s="37">
        <v>30</v>
      </c>
      <c r="AM63" s="37">
        <v>10</v>
      </c>
      <c r="AN63" s="37"/>
      <c r="AO63" s="37">
        <v>50</v>
      </c>
      <c r="AP63" s="37">
        <v>10</v>
      </c>
      <c r="AQ63" s="37"/>
      <c r="AS63" s="109"/>
      <c r="AT63" s="37">
        <v>10</v>
      </c>
      <c r="AU63" s="37">
        <v>10</v>
      </c>
      <c r="AV63" s="37">
        <v>14</v>
      </c>
      <c r="AW63" s="37">
        <v>6</v>
      </c>
      <c r="AX63" s="37">
        <v>10</v>
      </c>
      <c r="AY63" s="37">
        <v>30</v>
      </c>
      <c r="AZ63" s="37">
        <v>10</v>
      </c>
      <c r="BA63" s="37">
        <v>15</v>
      </c>
      <c r="BC63" s="37">
        <v>15</v>
      </c>
      <c r="BD63" s="37">
        <v>15</v>
      </c>
      <c r="BE63" s="37">
        <v>15</v>
      </c>
      <c r="BF63" s="37">
        <v>10</v>
      </c>
      <c r="BG63" s="37">
        <v>70</v>
      </c>
      <c r="BH63" s="37">
        <v>12</v>
      </c>
      <c r="BJ63" s="37">
        <v>15</v>
      </c>
      <c r="BK63" s="37">
        <v>15</v>
      </c>
      <c r="BL63" s="37">
        <v>15</v>
      </c>
      <c r="BM63" s="37">
        <v>10</v>
      </c>
      <c r="BN63" s="37">
        <v>70</v>
      </c>
      <c r="BO63" s="37">
        <v>12</v>
      </c>
      <c r="BQ63" s="37"/>
      <c r="BR63" s="37"/>
      <c r="BS63" s="37"/>
      <c r="BT63" s="37"/>
      <c r="BU63" s="37"/>
      <c r="BV63" s="37"/>
      <c r="BY63" s="42">
        <f t="shared" si="0"/>
        <v>400</v>
      </c>
      <c r="BZ63" s="37">
        <v>300</v>
      </c>
    </row>
    <row r="64" spans="1:78" ht="30" customHeight="1" x14ac:dyDescent="0.25">
      <c r="A64" s="108" t="str">
        <f>IF('11th Data'!A60="","",'11th Data'!A60)</f>
        <v/>
      </c>
      <c r="B64" s="108" t="str">
        <f>IF('11th Data'!J60="","",'11th Data'!J60)</f>
        <v/>
      </c>
      <c r="C64" s="108" t="str">
        <f>IF('11th Data'!D60="","",'11th Data'!D60)</f>
        <v/>
      </c>
      <c r="D64" s="40" t="str">
        <f>IF('11th Data'!E60="","",'11th Data'!E60)</f>
        <v/>
      </c>
      <c r="E64" s="40" t="str">
        <f>IF('11th Data'!F60="","",'11th Data'!F60)</f>
        <v/>
      </c>
      <c r="F64" s="40" t="str">
        <f>IF('11th Data'!G60="","",'11th Data'!G60)</f>
        <v/>
      </c>
      <c r="G64" s="108" t="str">
        <f>IF('11th Data'!H60="","",'11th Data'!H60)</f>
        <v/>
      </c>
      <c r="H64" s="41" t="str">
        <f>IF('11th Data'!I60="","",'11th Data'!I60)</f>
        <v/>
      </c>
      <c r="I64" s="108" t="str">
        <f>IF('11th Data'!K60="","",'11th Data'!K60)</f>
        <v/>
      </c>
      <c r="K64" s="37">
        <v>10</v>
      </c>
      <c r="L64" s="37">
        <v>20</v>
      </c>
      <c r="M64" s="37">
        <v>10</v>
      </c>
      <c r="N64" s="37">
        <v>5</v>
      </c>
      <c r="O64" s="37">
        <v>86</v>
      </c>
      <c r="P64" s="37">
        <v>16</v>
      </c>
      <c r="R64" s="37">
        <v>10</v>
      </c>
      <c r="S64" s="37">
        <v>10</v>
      </c>
      <c r="T64" s="37">
        <v>30</v>
      </c>
      <c r="U64" s="37">
        <v>10</v>
      </c>
      <c r="V64" s="37">
        <v>80</v>
      </c>
      <c r="W64" s="37">
        <v>13</v>
      </c>
      <c r="Y64" s="109"/>
      <c r="Z64" s="37">
        <v>10</v>
      </c>
      <c r="AA64" s="37">
        <v>10</v>
      </c>
      <c r="AB64" s="37">
        <v>30</v>
      </c>
      <c r="AC64" s="37">
        <v>10</v>
      </c>
      <c r="AD64" s="37"/>
      <c r="AE64" s="37">
        <v>30</v>
      </c>
      <c r="AF64" s="37">
        <v>11</v>
      </c>
      <c r="AG64" s="37"/>
      <c r="AI64" s="109"/>
      <c r="AJ64" s="37">
        <v>10</v>
      </c>
      <c r="AK64" s="37">
        <v>10</v>
      </c>
      <c r="AL64" s="37">
        <v>30</v>
      </c>
      <c r="AM64" s="37">
        <v>10</v>
      </c>
      <c r="AN64" s="37"/>
      <c r="AO64" s="37">
        <v>50</v>
      </c>
      <c r="AP64" s="37">
        <v>12</v>
      </c>
      <c r="AQ64" s="37"/>
      <c r="AS64" s="109"/>
      <c r="AT64" s="37">
        <v>10</v>
      </c>
      <c r="AU64" s="37">
        <v>10</v>
      </c>
      <c r="AV64" s="37">
        <v>15</v>
      </c>
      <c r="AW64" s="37">
        <v>4</v>
      </c>
      <c r="AX64" s="37">
        <v>12</v>
      </c>
      <c r="AY64" s="37">
        <v>28</v>
      </c>
      <c r="AZ64" s="37">
        <v>9</v>
      </c>
      <c r="BA64" s="37">
        <v>18</v>
      </c>
      <c r="BC64" s="37">
        <v>15</v>
      </c>
      <c r="BD64" s="37">
        <v>15</v>
      </c>
      <c r="BE64" s="37">
        <v>15</v>
      </c>
      <c r="BF64" s="37">
        <v>10</v>
      </c>
      <c r="BG64" s="37">
        <v>70</v>
      </c>
      <c r="BH64" s="37">
        <v>12</v>
      </c>
      <c r="BJ64" s="37">
        <v>15</v>
      </c>
      <c r="BK64" s="37">
        <v>15</v>
      </c>
      <c r="BL64" s="37">
        <v>15</v>
      </c>
      <c r="BM64" s="37">
        <v>10</v>
      </c>
      <c r="BN64" s="37">
        <v>70</v>
      </c>
      <c r="BO64" s="37">
        <v>12</v>
      </c>
      <c r="BQ64" s="37"/>
      <c r="BR64" s="37"/>
      <c r="BS64" s="37"/>
      <c r="BT64" s="37"/>
      <c r="BU64" s="37"/>
      <c r="BV64" s="37"/>
      <c r="BY64" s="42">
        <f t="shared" si="0"/>
        <v>400</v>
      </c>
      <c r="BZ64" s="37">
        <v>300</v>
      </c>
    </row>
    <row r="65" spans="1:78" ht="30" customHeight="1" x14ac:dyDescent="0.25">
      <c r="A65" s="108" t="str">
        <f>IF('11th Data'!A61="","",'11th Data'!A61)</f>
        <v/>
      </c>
      <c r="B65" s="108" t="str">
        <f>IF('11th Data'!J61="","",'11th Data'!J61)</f>
        <v/>
      </c>
      <c r="C65" s="108" t="str">
        <f>IF('11th Data'!D61="","",'11th Data'!D61)</f>
        <v/>
      </c>
      <c r="D65" s="40" t="str">
        <f>IF('11th Data'!E61="","",'11th Data'!E61)</f>
        <v/>
      </c>
      <c r="E65" s="40" t="str">
        <f>IF('11th Data'!F61="","",'11th Data'!F61)</f>
        <v/>
      </c>
      <c r="F65" s="40" t="str">
        <f>IF('11th Data'!G61="","",'11th Data'!G61)</f>
        <v/>
      </c>
      <c r="G65" s="108" t="str">
        <f>IF('11th Data'!H61="","",'11th Data'!H61)</f>
        <v/>
      </c>
      <c r="H65" s="41" t="str">
        <f>IF('11th Data'!I61="","",'11th Data'!I61)</f>
        <v/>
      </c>
      <c r="I65" s="108" t="str">
        <f>IF('11th Data'!K61="","",'11th Data'!K61)</f>
        <v/>
      </c>
      <c r="K65" s="37">
        <v>10</v>
      </c>
      <c r="L65" s="37">
        <v>10</v>
      </c>
      <c r="M65" s="37">
        <v>30</v>
      </c>
      <c r="N65" s="37">
        <v>10</v>
      </c>
      <c r="O65" s="37">
        <v>87</v>
      </c>
      <c r="P65" s="37">
        <v>16</v>
      </c>
      <c r="R65" s="37">
        <v>15</v>
      </c>
      <c r="S65" s="37">
        <v>15</v>
      </c>
      <c r="T65" s="37">
        <v>30</v>
      </c>
      <c r="U65" s="37">
        <v>10</v>
      </c>
      <c r="V65" s="37">
        <v>80</v>
      </c>
      <c r="W65" s="37">
        <v>13</v>
      </c>
      <c r="Y65" s="109"/>
      <c r="Z65" s="37">
        <v>15</v>
      </c>
      <c r="AA65" s="37">
        <v>15</v>
      </c>
      <c r="AB65" s="37">
        <v>30</v>
      </c>
      <c r="AC65" s="37">
        <v>10</v>
      </c>
      <c r="AD65" s="37"/>
      <c r="AE65" s="37">
        <v>60</v>
      </c>
      <c r="AF65" s="37">
        <v>11</v>
      </c>
      <c r="AG65" s="37"/>
      <c r="AI65" s="109"/>
      <c r="AJ65" s="37">
        <v>15</v>
      </c>
      <c r="AK65" s="37">
        <v>15</v>
      </c>
      <c r="AL65" s="37">
        <v>30</v>
      </c>
      <c r="AM65" s="37">
        <v>10</v>
      </c>
      <c r="AN65" s="37"/>
      <c r="AO65" s="37">
        <v>60</v>
      </c>
      <c r="AP65" s="37">
        <v>15</v>
      </c>
      <c r="AQ65" s="37"/>
      <c r="AS65" s="109"/>
      <c r="AT65" s="37">
        <v>15</v>
      </c>
      <c r="AU65" s="37">
        <v>15</v>
      </c>
      <c r="AV65" s="37">
        <v>12</v>
      </c>
      <c r="AW65" s="37">
        <v>10</v>
      </c>
      <c r="AX65" s="37">
        <v>14</v>
      </c>
      <c r="AY65" s="37">
        <v>30</v>
      </c>
      <c r="AZ65" s="37">
        <v>10</v>
      </c>
      <c r="BA65" s="37">
        <v>18</v>
      </c>
      <c r="BC65" s="37">
        <v>15</v>
      </c>
      <c r="BD65" s="37">
        <v>15</v>
      </c>
      <c r="BE65" s="37">
        <v>15</v>
      </c>
      <c r="BF65" s="37">
        <v>10</v>
      </c>
      <c r="BG65" s="37">
        <v>70</v>
      </c>
      <c r="BH65" s="37">
        <v>12</v>
      </c>
      <c r="BJ65" s="37">
        <v>15</v>
      </c>
      <c r="BK65" s="37">
        <v>15</v>
      </c>
      <c r="BL65" s="37">
        <v>15</v>
      </c>
      <c r="BM65" s="37">
        <v>10</v>
      </c>
      <c r="BN65" s="37">
        <v>70</v>
      </c>
      <c r="BO65" s="37">
        <v>12</v>
      </c>
      <c r="BQ65" s="37"/>
      <c r="BR65" s="37"/>
      <c r="BS65" s="37"/>
      <c r="BT65" s="37"/>
      <c r="BU65" s="37"/>
      <c r="BV65" s="37"/>
      <c r="BY65" s="42">
        <f t="shared" si="0"/>
        <v>400</v>
      </c>
      <c r="BZ65" s="37">
        <v>300</v>
      </c>
    </row>
    <row r="66" spans="1:78" ht="30" customHeight="1" x14ac:dyDescent="0.25">
      <c r="A66" s="108" t="str">
        <f>IF('11th Data'!A62="","",'11th Data'!A62)</f>
        <v/>
      </c>
      <c r="B66" s="108" t="str">
        <f>IF('11th Data'!J62="","",'11th Data'!J62)</f>
        <v/>
      </c>
      <c r="C66" s="108" t="str">
        <f>IF('11th Data'!D62="","",'11th Data'!D62)</f>
        <v/>
      </c>
      <c r="D66" s="40" t="str">
        <f>IF('11th Data'!E62="","",'11th Data'!E62)</f>
        <v/>
      </c>
      <c r="E66" s="40" t="str">
        <f>IF('11th Data'!F62="","",'11th Data'!F62)</f>
        <v/>
      </c>
      <c r="F66" s="40" t="str">
        <f>IF('11th Data'!G62="","",'11th Data'!G62)</f>
        <v/>
      </c>
      <c r="G66" s="108" t="str">
        <f>IF('11th Data'!H62="","",'11th Data'!H62)</f>
        <v/>
      </c>
      <c r="H66" s="41" t="str">
        <f>IF('11th Data'!I62="","",'11th Data'!I62)</f>
        <v/>
      </c>
      <c r="I66" s="108" t="str">
        <f>IF('11th Data'!K62="","",'11th Data'!K62)</f>
        <v/>
      </c>
      <c r="K66" s="37">
        <v>10</v>
      </c>
      <c r="L66" s="37">
        <v>10</v>
      </c>
      <c r="M66" s="37">
        <v>12</v>
      </c>
      <c r="N66" s="37">
        <v>4</v>
      </c>
      <c r="O66" s="37">
        <v>88</v>
      </c>
      <c r="P66" s="37">
        <v>16</v>
      </c>
      <c r="R66" s="37">
        <v>5</v>
      </c>
      <c r="S66" s="37">
        <v>10</v>
      </c>
      <c r="T66" s="37">
        <v>12</v>
      </c>
      <c r="U66" s="37">
        <v>4</v>
      </c>
      <c r="V66" s="37">
        <v>80</v>
      </c>
      <c r="W66" s="37">
        <v>13</v>
      </c>
      <c r="Y66" s="109"/>
      <c r="Z66" s="37">
        <v>12</v>
      </c>
      <c r="AA66" s="37">
        <v>10</v>
      </c>
      <c r="AB66" s="37">
        <v>12</v>
      </c>
      <c r="AC66" s="37">
        <v>4</v>
      </c>
      <c r="AD66" s="37"/>
      <c r="AE66" s="37">
        <v>40</v>
      </c>
      <c r="AF66" s="37">
        <v>11</v>
      </c>
      <c r="AG66" s="37"/>
      <c r="AI66" s="109"/>
      <c r="AJ66" s="37">
        <v>6</v>
      </c>
      <c r="AK66" s="37">
        <v>10</v>
      </c>
      <c r="AL66" s="37">
        <v>12</v>
      </c>
      <c r="AM66" s="37">
        <v>4</v>
      </c>
      <c r="AN66" s="37"/>
      <c r="AO66" s="37">
        <v>40</v>
      </c>
      <c r="AP66" s="37">
        <v>10</v>
      </c>
      <c r="AQ66" s="37"/>
      <c r="AS66" s="109"/>
      <c r="AT66" s="37">
        <v>15</v>
      </c>
      <c r="AU66" s="37">
        <v>10</v>
      </c>
      <c r="AV66" s="37">
        <v>18</v>
      </c>
      <c r="AW66" s="37">
        <v>1</v>
      </c>
      <c r="AX66" s="37">
        <v>10</v>
      </c>
      <c r="AY66" s="37">
        <v>21</v>
      </c>
      <c r="AZ66" s="37">
        <v>8</v>
      </c>
      <c r="BA66" s="37">
        <v>15</v>
      </c>
      <c r="BC66" s="37">
        <v>15</v>
      </c>
      <c r="BD66" s="37">
        <v>15</v>
      </c>
      <c r="BE66" s="37">
        <v>15</v>
      </c>
      <c r="BF66" s="37">
        <v>10</v>
      </c>
      <c r="BG66" s="37">
        <v>70</v>
      </c>
      <c r="BH66" s="37">
        <v>12</v>
      </c>
      <c r="BJ66" s="37">
        <v>15</v>
      </c>
      <c r="BK66" s="37">
        <v>15</v>
      </c>
      <c r="BL66" s="37">
        <v>15</v>
      </c>
      <c r="BM66" s="37">
        <v>10</v>
      </c>
      <c r="BN66" s="37">
        <v>70</v>
      </c>
      <c r="BO66" s="37">
        <v>12</v>
      </c>
      <c r="BQ66" s="37"/>
      <c r="BR66" s="37"/>
      <c r="BS66" s="37"/>
      <c r="BT66" s="37"/>
      <c r="BU66" s="37"/>
      <c r="BV66" s="37"/>
      <c r="BY66" s="42">
        <f t="shared" si="0"/>
        <v>400</v>
      </c>
      <c r="BZ66" s="37">
        <v>300</v>
      </c>
    </row>
    <row r="67" spans="1:78" ht="30" customHeight="1" x14ac:dyDescent="0.25">
      <c r="A67" s="108" t="str">
        <f>IF('11th Data'!A63="","",'11th Data'!A63)</f>
        <v/>
      </c>
      <c r="B67" s="108" t="str">
        <f>IF('11th Data'!J63="","",'11th Data'!J63)</f>
        <v/>
      </c>
      <c r="C67" s="108" t="str">
        <f>IF('11th Data'!D63="","",'11th Data'!D63)</f>
        <v/>
      </c>
      <c r="D67" s="40" t="str">
        <f>IF('11th Data'!E63="","",'11th Data'!E63)</f>
        <v/>
      </c>
      <c r="E67" s="40" t="str">
        <f>IF('11th Data'!F63="","",'11th Data'!F63)</f>
        <v/>
      </c>
      <c r="F67" s="40" t="str">
        <f>IF('11th Data'!G63="","",'11th Data'!G63)</f>
        <v/>
      </c>
      <c r="G67" s="108" t="str">
        <f>IF('11th Data'!H63="","",'11th Data'!H63)</f>
        <v/>
      </c>
      <c r="H67" s="41" t="str">
        <f>IF('11th Data'!I63="","",'11th Data'!I63)</f>
        <v/>
      </c>
      <c r="I67" s="108" t="str">
        <f>IF('11th Data'!K63="","",'11th Data'!K63)</f>
        <v/>
      </c>
      <c r="K67" s="37">
        <v>15</v>
      </c>
      <c r="L67" s="37">
        <v>15</v>
      </c>
      <c r="M67" s="37">
        <v>20</v>
      </c>
      <c r="N67" s="37">
        <v>10</v>
      </c>
      <c r="O67" s="37">
        <v>89</v>
      </c>
      <c r="P67" s="37">
        <v>16</v>
      </c>
      <c r="R67" s="37">
        <v>10</v>
      </c>
      <c r="S67" s="37">
        <v>10</v>
      </c>
      <c r="T67" s="37">
        <v>10</v>
      </c>
      <c r="U67" s="37">
        <v>10</v>
      </c>
      <c r="V67" s="37">
        <v>80</v>
      </c>
      <c r="W67" s="37">
        <v>13</v>
      </c>
      <c r="Y67" s="109"/>
      <c r="Z67" s="37">
        <v>10</v>
      </c>
      <c r="AA67" s="37">
        <v>10</v>
      </c>
      <c r="AB67" s="37">
        <v>30</v>
      </c>
      <c r="AC67" s="37">
        <v>10</v>
      </c>
      <c r="AD67" s="37"/>
      <c r="AE67" s="37">
        <v>30</v>
      </c>
      <c r="AF67" s="37">
        <v>11</v>
      </c>
      <c r="AG67" s="37"/>
      <c r="AI67" s="109"/>
      <c r="AJ67" s="37">
        <v>10</v>
      </c>
      <c r="AK67" s="37">
        <v>10</v>
      </c>
      <c r="AL67" s="37">
        <v>30</v>
      </c>
      <c r="AM67" s="37">
        <v>10</v>
      </c>
      <c r="AN67" s="37"/>
      <c r="AO67" s="37">
        <v>50</v>
      </c>
      <c r="AP67" s="37">
        <v>5</v>
      </c>
      <c r="AQ67" s="37"/>
      <c r="AS67" s="109"/>
      <c r="AT67" s="37">
        <v>10</v>
      </c>
      <c r="AU67" s="37">
        <v>10</v>
      </c>
      <c r="AV67" s="37">
        <v>15</v>
      </c>
      <c r="AW67" s="37">
        <v>8</v>
      </c>
      <c r="AX67" s="37">
        <v>8</v>
      </c>
      <c r="AY67" s="37">
        <v>25</v>
      </c>
      <c r="AZ67" s="37">
        <v>10</v>
      </c>
      <c r="BA67" s="37">
        <v>16</v>
      </c>
      <c r="BC67" s="37">
        <v>15</v>
      </c>
      <c r="BD67" s="37">
        <v>15</v>
      </c>
      <c r="BE67" s="37">
        <v>15</v>
      </c>
      <c r="BF67" s="37">
        <v>10</v>
      </c>
      <c r="BG67" s="37">
        <v>70</v>
      </c>
      <c r="BH67" s="37">
        <v>12</v>
      </c>
      <c r="BJ67" s="37">
        <v>15</v>
      </c>
      <c r="BK67" s="37">
        <v>15</v>
      </c>
      <c r="BL67" s="37">
        <v>15</v>
      </c>
      <c r="BM67" s="37">
        <v>10</v>
      </c>
      <c r="BN67" s="37">
        <v>70</v>
      </c>
      <c r="BO67" s="37">
        <v>12</v>
      </c>
      <c r="BQ67" s="37"/>
      <c r="BR67" s="37"/>
      <c r="BS67" s="37"/>
      <c r="BT67" s="37"/>
      <c r="BU67" s="37"/>
      <c r="BV67" s="37"/>
      <c r="BY67" s="42">
        <f t="shared" si="0"/>
        <v>400</v>
      </c>
      <c r="BZ67" s="37">
        <v>300</v>
      </c>
    </row>
    <row r="68" spans="1:78" ht="30" customHeight="1" x14ac:dyDescent="0.25">
      <c r="A68" s="108" t="str">
        <f>IF('11th Data'!A64="","",'11th Data'!A64)</f>
        <v/>
      </c>
      <c r="B68" s="108" t="str">
        <f>IF('11th Data'!J64="","",'11th Data'!J64)</f>
        <v/>
      </c>
      <c r="C68" s="108" t="str">
        <f>IF('11th Data'!D64="","",'11th Data'!D64)</f>
        <v/>
      </c>
      <c r="D68" s="40" t="str">
        <f>IF('11th Data'!E64="","",'11th Data'!E64)</f>
        <v/>
      </c>
      <c r="E68" s="40" t="str">
        <f>IF('11th Data'!F64="","",'11th Data'!F64)</f>
        <v/>
      </c>
      <c r="F68" s="40" t="str">
        <f>IF('11th Data'!G64="","",'11th Data'!G64)</f>
        <v/>
      </c>
      <c r="G68" s="108" t="str">
        <f>IF('11th Data'!H64="","",'11th Data'!H64)</f>
        <v/>
      </c>
      <c r="H68" s="41" t="str">
        <f>IF('11th Data'!I64="","",'11th Data'!I64)</f>
        <v/>
      </c>
      <c r="I68" s="108" t="str">
        <f>IF('11th Data'!K64="","",'11th Data'!K64)</f>
        <v/>
      </c>
      <c r="K68" s="37">
        <v>5</v>
      </c>
      <c r="L68" s="37">
        <v>5</v>
      </c>
      <c r="M68" s="37">
        <v>5</v>
      </c>
      <c r="N68" s="37">
        <v>5</v>
      </c>
      <c r="O68" s="37">
        <v>90</v>
      </c>
      <c r="P68" s="37">
        <v>16</v>
      </c>
      <c r="R68" s="37">
        <v>5</v>
      </c>
      <c r="S68" s="37">
        <v>5</v>
      </c>
      <c r="T68" s="37">
        <v>5</v>
      </c>
      <c r="U68" s="37">
        <v>5</v>
      </c>
      <c r="V68" s="37">
        <v>80</v>
      </c>
      <c r="W68" s="37">
        <v>13</v>
      </c>
      <c r="Y68" s="109"/>
      <c r="Z68" s="37">
        <v>5</v>
      </c>
      <c r="AA68" s="37">
        <v>5</v>
      </c>
      <c r="AB68" s="37">
        <v>5</v>
      </c>
      <c r="AC68" s="37">
        <v>5</v>
      </c>
      <c r="AD68" s="37"/>
      <c r="AE68" s="37">
        <v>5</v>
      </c>
      <c r="AF68" s="37">
        <v>11</v>
      </c>
      <c r="AG68" s="37"/>
      <c r="AI68" s="109"/>
      <c r="AJ68" s="37">
        <v>5</v>
      </c>
      <c r="AK68" s="37">
        <v>5</v>
      </c>
      <c r="AL68" s="37">
        <v>5</v>
      </c>
      <c r="AM68" s="37">
        <v>5</v>
      </c>
      <c r="AN68" s="37"/>
      <c r="AO68" s="37">
        <v>5</v>
      </c>
      <c r="AP68" s="37">
        <v>4</v>
      </c>
      <c r="AQ68" s="37"/>
      <c r="AS68" s="109"/>
      <c r="AT68" s="37">
        <v>5</v>
      </c>
      <c r="AU68" s="37">
        <v>5</v>
      </c>
      <c r="AV68" s="37">
        <v>12</v>
      </c>
      <c r="AW68" s="37">
        <v>5</v>
      </c>
      <c r="AX68" s="37">
        <v>10</v>
      </c>
      <c r="AY68" s="37">
        <v>28</v>
      </c>
      <c r="AZ68" s="37">
        <v>12</v>
      </c>
      <c r="BA68" s="37">
        <v>14</v>
      </c>
      <c r="BC68" s="37">
        <v>15</v>
      </c>
      <c r="BD68" s="37">
        <v>15</v>
      </c>
      <c r="BE68" s="37">
        <v>15</v>
      </c>
      <c r="BF68" s="37">
        <v>10</v>
      </c>
      <c r="BG68" s="37">
        <v>70</v>
      </c>
      <c r="BH68" s="37">
        <v>12</v>
      </c>
      <c r="BJ68" s="37">
        <v>15</v>
      </c>
      <c r="BK68" s="37">
        <v>15</v>
      </c>
      <c r="BL68" s="37">
        <v>15</v>
      </c>
      <c r="BM68" s="37">
        <v>10</v>
      </c>
      <c r="BN68" s="37">
        <v>70</v>
      </c>
      <c r="BO68" s="37">
        <v>12</v>
      </c>
      <c r="BQ68" s="37"/>
      <c r="BR68" s="37"/>
      <c r="BS68" s="37"/>
      <c r="BT68" s="37"/>
      <c r="BU68" s="37"/>
      <c r="BV68" s="37"/>
      <c r="BY68" s="42">
        <f t="shared" si="0"/>
        <v>400</v>
      </c>
      <c r="BZ68" s="37">
        <v>300</v>
      </c>
    </row>
    <row r="69" spans="1:78" ht="30" customHeight="1" x14ac:dyDescent="0.25">
      <c r="A69" s="108" t="str">
        <f>IF('11th Data'!A65="","",'11th Data'!A65)</f>
        <v/>
      </c>
      <c r="B69" s="108" t="str">
        <f>IF('11th Data'!J65="","",'11th Data'!J65)</f>
        <v/>
      </c>
      <c r="C69" s="108" t="str">
        <f>IF('11th Data'!D65="","",'11th Data'!D65)</f>
        <v/>
      </c>
      <c r="D69" s="40" t="str">
        <f>IF('11th Data'!E65="","",'11th Data'!E65)</f>
        <v/>
      </c>
      <c r="E69" s="40" t="str">
        <f>IF('11th Data'!F65="","",'11th Data'!F65)</f>
        <v/>
      </c>
      <c r="F69" s="40" t="str">
        <f>IF('11th Data'!G65="","",'11th Data'!G65)</f>
        <v/>
      </c>
      <c r="G69" s="108" t="str">
        <f>IF('11th Data'!H65="","",'11th Data'!H65)</f>
        <v/>
      </c>
      <c r="H69" s="41" t="str">
        <f>IF('11th Data'!I65="","",'11th Data'!I65)</f>
        <v/>
      </c>
      <c r="I69" s="108" t="str">
        <f>IF('11th Data'!K65="","",'11th Data'!K65)</f>
        <v/>
      </c>
      <c r="K69" s="37"/>
      <c r="L69" s="37"/>
      <c r="M69" s="37"/>
      <c r="N69" s="37"/>
      <c r="O69" s="37"/>
      <c r="P69" s="37"/>
      <c r="R69" s="37"/>
      <c r="S69" s="37"/>
      <c r="T69" s="37"/>
      <c r="U69" s="37"/>
      <c r="V69" s="37"/>
      <c r="W69" s="37"/>
      <c r="Y69" s="109"/>
      <c r="Z69" s="37"/>
      <c r="AA69" s="37"/>
      <c r="AB69" s="37"/>
      <c r="AC69" s="37"/>
      <c r="AD69" s="37"/>
      <c r="AE69" s="37"/>
      <c r="AF69" s="37"/>
      <c r="AG69" s="37"/>
      <c r="AI69" s="109"/>
      <c r="AJ69" s="37"/>
      <c r="AK69" s="37"/>
      <c r="AL69" s="37"/>
      <c r="AM69" s="37"/>
      <c r="AN69" s="37"/>
      <c r="AO69" s="37"/>
      <c r="AP69" s="37"/>
      <c r="AQ69" s="37"/>
      <c r="AS69" s="109"/>
      <c r="AT69" s="37"/>
      <c r="AU69" s="37"/>
      <c r="AV69" s="37"/>
      <c r="AW69" s="37"/>
      <c r="AX69" s="37"/>
      <c r="AY69" s="37"/>
      <c r="AZ69" s="37"/>
      <c r="BA69" s="37"/>
      <c r="BC69" s="37"/>
      <c r="BD69" s="37"/>
      <c r="BE69" s="37"/>
      <c r="BF69" s="37"/>
      <c r="BG69" s="37"/>
      <c r="BH69" s="37"/>
      <c r="BJ69" s="37"/>
      <c r="BK69" s="37"/>
      <c r="BL69" s="37"/>
      <c r="BM69" s="37"/>
      <c r="BN69" s="37"/>
      <c r="BO69" s="37"/>
      <c r="BQ69" s="37"/>
      <c r="BR69" s="37"/>
      <c r="BS69" s="37"/>
      <c r="BT69" s="37"/>
      <c r="BU69" s="37"/>
      <c r="BV69" s="37"/>
      <c r="BY69" s="42">
        <f t="shared" si="0"/>
        <v>400</v>
      </c>
      <c r="BZ69" s="37">
        <v>300</v>
      </c>
    </row>
    <row r="70" spans="1:78" ht="30" customHeight="1" x14ac:dyDescent="0.25">
      <c r="A70" s="108" t="str">
        <f>IF('11th Data'!A66="","",'11th Data'!A66)</f>
        <v/>
      </c>
      <c r="B70" s="108" t="str">
        <f>IF('11th Data'!J66="","",'11th Data'!J66)</f>
        <v/>
      </c>
      <c r="C70" s="108" t="str">
        <f>IF('11th Data'!D66="","",'11th Data'!D66)</f>
        <v/>
      </c>
      <c r="D70" s="40" t="str">
        <f>IF('11th Data'!E66="","",'11th Data'!E66)</f>
        <v/>
      </c>
      <c r="E70" s="40" t="str">
        <f>IF('11th Data'!F66="","",'11th Data'!F66)</f>
        <v/>
      </c>
      <c r="F70" s="40" t="str">
        <f>IF('11th Data'!G66="","",'11th Data'!G66)</f>
        <v/>
      </c>
      <c r="G70" s="108" t="str">
        <f>IF('11th Data'!H66="","",'11th Data'!H66)</f>
        <v/>
      </c>
      <c r="H70" s="41" t="str">
        <f>IF('11th Data'!I66="","",'11th Data'!I66)</f>
        <v/>
      </c>
      <c r="I70" s="108" t="str">
        <f>IF('11th Data'!K66="","",'11th Data'!K66)</f>
        <v/>
      </c>
      <c r="K70" s="37"/>
      <c r="L70" s="37"/>
      <c r="M70" s="37"/>
      <c r="N70" s="37"/>
      <c r="O70" s="37"/>
      <c r="P70" s="37"/>
      <c r="R70" s="37"/>
      <c r="S70" s="37"/>
      <c r="T70" s="37"/>
      <c r="U70" s="37"/>
      <c r="V70" s="37"/>
      <c r="W70" s="37"/>
      <c r="Y70" s="109"/>
      <c r="Z70" s="37"/>
      <c r="AA70" s="37"/>
      <c r="AB70" s="37"/>
      <c r="AC70" s="37"/>
      <c r="AD70" s="37"/>
      <c r="AE70" s="37"/>
      <c r="AF70" s="37"/>
      <c r="AG70" s="37"/>
      <c r="AI70" s="109"/>
      <c r="AJ70" s="37"/>
      <c r="AK70" s="37"/>
      <c r="AL70" s="37"/>
      <c r="AM70" s="37"/>
      <c r="AN70" s="37"/>
      <c r="AO70" s="37"/>
      <c r="AP70" s="37"/>
      <c r="AQ70" s="37"/>
      <c r="AS70" s="109"/>
      <c r="AT70" s="37"/>
      <c r="AU70" s="37"/>
      <c r="AV70" s="37"/>
      <c r="AW70" s="37"/>
      <c r="AX70" s="37"/>
      <c r="AY70" s="37"/>
      <c r="AZ70" s="37"/>
      <c r="BA70" s="37"/>
      <c r="BC70" s="37"/>
      <c r="BD70" s="37"/>
      <c r="BE70" s="37"/>
      <c r="BF70" s="37"/>
      <c r="BG70" s="37"/>
      <c r="BH70" s="37"/>
      <c r="BJ70" s="37"/>
      <c r="BK70" s="37"/>
      <c r="BL70" s="37"/>
      <c r="BM70" s="37"/>
      <c r="BN70" s="37"/>
      <c r="BO70" s="37"/>
      <c r="BQ70" s="37"/>
      <c r="BR70" s="37"/>
      <c r="BS70" s="37"/>
      <c r="BT70" s="37"/>
      <c r="BU70" s="37"/>
      <c r="BV70" s="37"/>
      <c r="BY70" s="42">
        <f t="shared" si="0"/>
        <v>400</v>
      </c>
      <c r="BZ70" s="37">
        <v>300</v>
      </c>
    </row>
    <row r="71" spans="1:78" ht="30" customHeight="1" x14ac:dyDescent="0.25">
      <c r="A71" s="108" t="str">
        <f>IF('11th Data'!A67="","",'11th Data'!A67)</f>
        <v/>
      </c>
      <c r="B71" s="108" t="str">
        <f>IF('11th Data'!J67="","",'11th Data'!J67)</f>
        <v/>
      </c>
      <c r="C71" s="108" t="str">
        <f>IF('11th Data'!D67="","",'11th Data'!D67)</f>
        <v/>
      </c>
      <c r="D71" s="40" t="str">
        <f>IF('11th Data'!E67="","",'11th Data'!E67)</f>
        <v/>
      </c>
      <c r="E71" s="40" t="str">
        <f>IF('11th Data'!F67="","",'11th Data'!F67)</f>
        <v/>
      </c>
      <c r="F71" s="40" t="str">
        <f>IF('11th Data'!G67="","",'11th Data'!G67)</f>
        <v/>
      </c>
      <c r="G71" s="108" t="str">
        <f>IF('11th Data'!H67="","",'11th Data'!H67)</f>
        <v/>
      </c>
      <c r="H71" s="41" t="str">
        <f>IF('11th Data'!I67="","",'11th Data'!I67)</f>
        <v/>
      </c>
      <c r="I71" s="108" t="str">
        <f>IF('11th Data'!K67="","",'11th Data'!K67)</f>
        <v/>
      </c>
      <c r="K71" s="37"/>
      <c r="L71" s="37"/>
      <c r="M71" s="37"/>
      <c r="N71" s="37"/>
      <c r="O71" s="37"/>
      <c r="P71" s="37"/>
      <c r="R71" s="37"/>
      <c r="S71" s="37"/>
      <c r="T71" s="37"/>
      <c r="U71" s="37"/>
      <c r="V71" s="37"/>
      <c r="W71" s="37"/>
      <c r="Y71" s="109"/>
      <c r="Z71" s="37"/>
      <c r="AA71" s="37"/>
      <c r="AB71" s="37"/>
      <c r="AC71" s="37"/>
      <c r="AD71" s="37"/>
      <c r="AE71" s="37"/>
      <c r="AF71" s="37"/>
      <c r="AG71" s="37"/>
      <c r="AI71" s="109"/>
      <c r="AJ71" s="37"/>
      <c r="AK71" s="37"/>
      <c r="AL71" s="37"/>
      <c r="AM71" s="37"/>
      <c r="AN71" s="37"/>
      <c r="AO71" s="37"/>
      <c r="AP71" s="37"/>
      <c r="AQ71" s="37"/>
      <c r="AS71" s="109"/>
      <c r="AT71" s="37"/>
      <c r="AU71" s="37"/>
      <c r="AV71" s="37"/>
      <c r="AW71" s="37"/>
      <c r="AX71" s="37"/>
      <c r="AY71" s="37"/>
      <c r="AZ71" s="37"/>
      <c r="BA71" s="37"/>
      <c r="BC71" s="37"/>
      <c r="BD71" s="37"/>
      <c r="BE71" s="37"/>
      <c r="BF71" s="37"/>
      <c r="BG71" s="37"/>
      <c r="BH71" s="37"/>
      <c r="BJ71" s="37"/>
      <c r="BK71" s="37"/>
      <c r="BL71" s="37"/>
      <c r="BM71" s="37"/>
      <c r="BN71" s="37"/>
      <c r="BO71" s="37"/>
      <c r="BQ71" s="37"/>
      <c r="BR71" s="37"/>
      <c r="BS71" s="37"/>
      <c r="BT71" s="37"/>
      <c r="BU71" s="37"/>
      <c r="BV71" s="37"/>
      <c r="BY71" s="42">
        <f t="shared" si="0"/>
        <v>400</v>
      </c>
      <c r="BZ71" s="37">
        <v>300</v>
      </c>
    </row>
    <row r="72" spans="1:78" ht="30" customHeight="1" x14ac:dyDescent="0.25">
      <c r="A72" s="108" t="str">
        <f>IF('11th Data'!A68="","",'11th Data'!A68)</f>
        <v/>
      </c>
      <c r="B72" s="108" t="str">
        <f>IF('11th Data'!J68="","",'11th Data'!J68)</f>
        <v/>
      </c>
      <c r="C72" s="108" t="str">
        <f>IF('11th Data'!D68="","",'11th Data'!D68)</f>
        <v/>
      </c>
      <c r="D72" s="40" t="str">
        <f>IF('11th Data'!E68="","",'11th Data'!E68)</f>
        <v/>
      </c>
      <c r="E72" s="40" t="str">
        <f>IF('11th Data'!F68="","",'11th Data'!F68)</f>
        <v/>
      </c>
      <c r="F72" s="40" t="str">
        <f>IF('11th Data'!G68="","",'11th Data'!G68)</f>
        <v/>
      </c>
      <c r="G72" s="108" t="str">
        <f>IF('11th Data'!H68="","",'11th Data'!H68)</f>
        <v/>
      </c>
      <c r="H72" s="41" t="str">
        <f>IF('11th Data'!I68="","",'11th Data'!I68)</f>
        <v/>
      </c>
      <c r="I72" s="108" t="str">
        <f>IF('11th Data'!K68="","",'11th Data'!K68)</f>
        <v/>
      </c>
      <c r="K72" s="37"/>
      <c r="L72" s="37"/>
      <c r="M72" s="37"/>
      <c r="N72" s="37"/>
      <c r="O72" s="37"/>
      <c r="P72" s="37"/>
      <c r="R72" s="37"/>
      <c r="S72" s="37"/>
      <c r="T72" s="37"/>
      <c r="U72" s="37"/>
      <c r="V72" s="37"/>
      <c r="W72" s="37"/>
      <c r="Y72" s="109"/>
      <c r="Z72" s="37"/>
      <c r="AA72" s="37"/>
      <c r="AB72" s="37"/>
      <c r="AC72" s="37"/>
      <c r="AD72" s="37"/>
      <c r="AE72" s="37"/>
      <c r="AF72" s="37"/>
      <c r="AG72" s="37"/>
      <c r="AI72" s="109"/>
      <c r="AJ72" s="37"/>
      <c r="AK72" s="37"/>
      <c r="AL72" s="37"/>
      <c r="AM72" s="37"/>
      <c r="AN72" s="37"/>
      <c r="AO72" s="37"/>
      <c r="AP72" s="37"/>
      <c r="AQ72" s="37"/>
      <c r="AS72" s="109"/>
      <c r="AT72" s="37"/>
      <c r="AU72" s="37"/>
      <c r="AV72" s="37"/>
      <c r="AW72" s="37"/>
      <c r="AX72" s="37"/>
      <c r="AY72" s="37"/>
      <c r="AZ72" s="37"/>
      <c r="BA72" s="37"/>
      <c r="BC72" s="37"/>
      <c r="BD72" s="37"/>
      <c r="BE72" s="37"/>
      <c r="BF72" s="37"/>
      <c r="BG72" s="37"/>
      <c r="BH72" s="37"/>
      <c r="BJ72" s="37"/>
      <c r="BK72" s="37"/>
      <c r="BL72" s="37"/>
      <c r="BM72" s="37"/>
      <c r="BN72" s="37"/>
      <c r="BO72" s="37"/>
      <c r="BQ72" s="37"/>
      <c r="BR72" s="37"/>
      <c r="BS72" s="37"/>
      <c r="BT72" s="37"/>
      <c r="BU72" s="37"/>
      <c r="BV72" s="37"/>
      <c r="BY72" s="42">
        <f t="shared" si="0"/>
        <v>400</v>
      </c>
      <c r="BZ72" s="37">
        <v>300</v>
      </c>
    </row>
    <row r="73" spans="1:78" ht="30" customHeight="1" x14ac:dyDescent="0.25">
      <c r="A73" s="108" t="str">
        <f>IF('11th Data'!A69="","",'11th Data'!A69)</f>
        <v/>
      </c>
      <c r="B73" s="108" t="str">
        <f>IF('11th Data'!J69="","",'11th Data'!J69)</f>
        <v/>
      </c>
      <c r="C73" s="108" t="str">
        <f>IF('11th Data'!D69="","",'11th Data'!D69)</f>
        <v/>
      </c>
      <c r="D73" s="40" t="str">
        <f>IF('11th Data'!E69="","",'11th Data'!E69)</f>
        <v/>
      </c>
      <c r="E73" s="40" t="str">
        <f>IF('11th Data'!F69="","",'11th Data'!F69)</f>
        <v/>
      </c>
      <c r="F73" s="40" t="str">
        <f>IF('11th Data'!G69="","",'11th Data'!G69)</f>
        <v/>
      </c>
      <c r="G73" s="108" t="str">
        <f>IF('11th Data'!H69="","",'11th Data'!H69)</f>
        <v/>
      </c>
      <c r="H73" s="41" t="str">
        <f>IF('11th Data'!I69="","",'11th Data'!I69)</f>
        <v/>
      </c>
      <c r="I73" s="108" t="str">
        <f>IF('11th Data'!K69="","",'11th Data'!K69)</f>
        <v/>
      </c>
      <c r="K73" s="37"/>
      <c r="L73" s="37"/>
      <c r="M73" s="37"/>
      <c r="N73" s="37"/>
      <c r="O73" s="37"/>
      <c r="P73" s="37"/>
      <c r="R73" s="37"/>
      <c r="S73" s="37"/>
      <c r="T73" s="37"/>
      <c r="U73" s="37"/>
      <c r="V73" s="37"/>
      <c r="W73" s="37"/>
      <c r="Y73" s="109"/>
      <c r="Z73" s="37"/>
      <c r="AA73" s="37"/>
      <c r="AB73" s="37"/>
      <c r="AC73" s="37"/>
      <c r="AD73" s="37"/>
      <c r="AE73" s="37"/>
      <c r="AF73" s="37"/>
      <c r="AG73" s="37"/>
      <c r="AI73" s="109"/>
      <c r="AJ73" s="37"/>
      <c r="AK73" s="37"/>
      <c r="AL73" s="37"/>
      <c r="AM73" s="37"/>
      <c r="AN73" s="37"/>
      <c r="AO73" s="37"/>
      <c r="AP73" s="37"/>
      <c r="AQ73" s="37"/>
      <c r="AS73" s="109"/>
      <c r="AT73" s="37"/>
      <c r="AU73" s="37"/>
      <c r="AV73" s="37"/>
      <c r="AW73" s="37"/>
      <c r="AX73" s="37"/>
      <c r="AY73" s="37"/>
      <c r="AZ73" s="37"/>
      <c r="BA73" s="37"/>
      <c r="BC73" s="37"/>
      <c r="BD73" s="37"/>
      <c r="BE73" s="37"/>
      <c r="BF73" s="37"/>
      <c r="BG73" s="37"/>
      <c r="BH73" s="37"/>
      <c r="BJ73" s="37"/>
      <c r="BK73" s="37"/>
      <c r="BL73" s="37"/>
      <c r="BM73" s="37"/>
      <c r="BN73" s="37"/>
      <c r="BO73" s="37"/>
      <c r="BQ73" s="37"/>
      <c r="BR73" s="37"/>
      <c r="BS73" s="37"/>
      <c r="BT73" s="37"/>
      <c r="BU73" s="37"/>
      <c r="BV73" s="37"/>
      <c r="BY73" s="42">
        <f t="shared" si="0"/>
        <v>400</v>
      </c>
      <c r="BZ73" s="37">
        <v>300</v>
      </c>
    </row>
    <row r="74" spans="1:78" ht="30" customHeight="1" x14ac:dyDescent="0.25">
      <c r="A74" s="108" t="str">
        <f>IF('11th Data'!A70="","",'11th Data'!A70)</f>
        <v/>
      </c>
      <c r="B74" s="108" t="str">
        <f>IF('11th Data'!J70="","",'11th Data'!J70)</f>
        <v/>
      </c>
      <c r="C74" s="108" t="str">
        <f>IF('11th Data'!D70="","",'11th Data'!D70)</f>
        <v/>
      </c>
      <c r="D74" s="40" t="str">
        <f>IF('11th Data'!E70="","",'11th Data'!E70)</f>
        <v/>
      </c>
      <c r="E74" s="40" t="str">
        <f>IF('11th Data'!F70="","",'11th Data'!F70)</f>
        <v/>
      </c>
      <c r="F74" s="40" t="str">
        <f>IF('11th Data'!G70="","",'11th Data'!G70)</f>
        <v/>
      </c>
      <c r="G74" s="108" t="str">
        <f>IF('11th Data'!H70="","",'11th Data'!H70)</f>
        <v/>
      </c>
      <c r="H74" s="41" t="str">
        <f>IF('11th Data'!I70="","",'11th Data'!I70)</f>
        <v/>
      </c>
      <c r="I74" s="108" t="str">
        <f>IF('11th Data'!K70="","",'11th Data'!K70)</f>
        <v/>
      </c>
      <c r="K74" s="37"/>
      <c r="L74" s="37"/>
      <c r="M74" s="37"/>
      <c r="N74" s="37"/>
      <c r="O74" s="37"/>
      <c r="P74" s="37"/>
      <c r="R74" s="37"/>
      <c r="S74" s="37"/>
      <c r="T74" s="37"/>
      <c r="U74" s="37"/>
      <c r="V74" s="37"/>
      <c r="W74" s="37"/>
      <c r="Y74" s="109"/>
      <c r="Z74" s="37"/>
      <c r="AA74" s="37"/>
      <c r="AB74" s="37"/>
      <c r="AC74" s="37"/>
      <c r="AD74" s="37"/>
      <c r="AE74" s="37"/>
      <c r="AF74" s="37"/>
      <c r="AG74" s="37"/>
      <c r="AI74" s="109"/>
      <c r="AJ74" s="37"/>
      <c r="AK74" s="37"/>
      <c r="AL74" s="37"/>
      <c r="AM74" s="37"/>
      <c r="AN74" s="37"/>
      <c r="AO74" s="37"/>
      <c r="AP74" s="37"/>
      <c r="AQ74" s="37"/>
      <c r="AS74" s="109"/>
      <c r="AT74" s="37"/>
      <c r="AU74" s="37"/>
      <c r="AV74" s="37"/>
      <c r="AW74" s="37"/>
      <c r="AX74" s="37"/>
      <c r="AY74" s="37"/>
      <c r="AZ74" s="37"/>
      <c r="BA74" s="37"/>
      <c r="BC74" s="37"/>
      <c r="BD74" s="37"/>
      <c r="BE74" s="37"/>
      <c r="BF74" s="37"/>
      <c r="BG74" s="37"/>
      <c r="BH74" s="37"/>
      <c r="BJ74" s="37"/>
      <c r="BK74" s="37"/>
      <c r="BL74" s="37"/>
      <c r="BM74" s="37"/>
      <c r="BN74" s="37"/>
      <c r="BO74" s="37"/>
      <c r="BQ74" s="37"/>
      <c r="BR74" s="37"/>
      <c r="BS74" s="37"/>
      <c r="BT74" s="37"/>
      <c r="BU74" s="37"/>
      <c r="BV74" s="37"/>
      <c r="BY74" s="42">
        <f t="shared" si="0"/>
        <v>400</v>
      </c>
      <c r="BZ74" s="37">
        <v>300</v>
      </c>
    </row>
    <row r="75" spans="1:78" ht="30" customHeight="1" x14ac:dyDescent="0.25">
      <c r="A75" s="108" t="str">
        <f>IF('11th Data'!A71="","",'11th Data'!A71)</f>
        <v/>
      </c>
      <c r="B75" s="108" t="str">
        <f>IF('11th Data'!J71="","",'11th Data'!J71)</f>
        <v/>
      </c>
      <c r="C75" s="108" t="str">
        <f>IF('11th Data'!D71="","",'11th Data'!D71)</f>
        <v/>
      </c>
      <c r="D75" s="40" t="str">
        <f>IF('11th Data'!E71="","",'11th Data'!E71)</f>
        <v/>
      </c>
      <c r="E75" s="40" t="str">
        <f>IF('11th Data'!F71="","",'11th Data'!F71)</f>
        <v/>
      </c>
      <c r="F75" s="40" t="str">
        <f>IF('11th Data'!G71="","",'11th Data'!G71)</f>
        <v/>
      </c>
      <c r="G75" s="108" t="str">
        <f>IF('11th Data'!H71="","",'11th Data'!H71)</f>
        <v/>
      </c>
      <c r="H75" s="41" t="str">
        <f>IF('11th Data'!I71="","",'11th Data'!I71)</f>
        <v/>
      </c>
      <c r="I75" s="108" t="str">
        <f>IF('11th Data'!K71="","",'11th Data'!K71)</f>
        <v/>
      </c>
      <c r="K75" s="37"/>
      <c r="L75" s="37"/>
      <c r="M75" s="37"/>
      <c r="N75" s="37"/>
      <c r="O75" s="37"/>
      <c r="P75" s="37"/>
      <c r="R75" s="37"/>
      <c r="S75" s="37"/>
      <c r="T75" s="37"/>
      <c r="U75" s="37"/>
      <c r="V75" s="37"/>
      <c r="W75" s="37"/>
      <c r="Y75" s="109"/>
      <c r="Z75" s="37"/>
      <c r="AA75" s="37"/>
      <c r="AB75" s="37"/>
      <c r="AC75" s="37"/>
      <c r="AD75" s="37"/>
      <c r="AE75" s="37"/>
      <c r="AF75" s="37"/>
      <c r="AG75" s="37"/>
      <c r="AI75" s="109"/>
      <c r="AJ75" s="37"/>
      <c r="AK75" s="37"/>
      <c r="AL75" s="37"/>
      <c r="AM75" s="37"/>
      <c r="AN75" s="37"/>
      <c r="AO75" s="37"/>
      <c r="AP75" s="37"/>
      <c r="AQ75" s="37"/>
      <c r="AS75" s="109"/>
      <c r="AT75" s="37"/>
      <c r="AU75" s="37"/>
      <c r="AV75" s="37"/>
      <c r="AW75" s="37"/>
      <c r="AX75" s="37"/>
      <c r="AY75" s="37"/>
      <c r="AZ75" s="37"/>
      <c r="BA75" s="37"/>
      <c r="BC75" s="37"/>
      <c r="BD75" s="37"/>
      <c r="BE75" s="37"/>
      <c r="BF75" s="37"/>
      <c r="BG75" s="37"/>
      <c r="BH75" s="37"/>
      <c r="BJ75" s="37"/>
      <c r="BK75" s="37"/>
      <c r="BL75" s="37"/>
      <c r="BM75" s="37"/>
      <c r="BN75" s="37"/>
      <c r="BO75" s="37"/>
      <c r="BQ75" s="37"/>
      <c r="BR75" s="37"/>
      <c r="BS75" s="37"/>
      <c r="BT75" s="37"/>
      <c r="BU75" s="37"/>
      <c r="BV75" s="37"/>
      <c r="BY75" s="42">
        <f t="shared" ref="BY75:BY109" si="1">BY74</f>
        <v>400</v>
      </c>
      <c r="BZ75" s="37">
        <v>300</v>
      </c>
    </row>
    <row r="76" spans="1:78" ht="30" customHeight="1" x14ac:dyDescent="0.25">
      <c r="A76" s="108" t="str">
        <f>IF('11th Data'!A72="","",'11th Data'!A72)</f>
        <v/>
      </c>
      <c r="B76" s="108" t="str">
        <f>IF('11th Data'!J72="","",'11th Data'!J72)</f>
        <v/>
      </c>
      <c r="C76" s="108" t="str">
        <f>IF('11th Data'!D72="","",'11th Data'!D72)</f>
        <v/>
      </c>
      <c r="D76" s="40" t="str">
        <f>IF('11th Data'!E72="","",'11th Data'!E72)</f>
        <v/>
      </c>
      <c r="E76" s="40" t="str">
        <f>IF('11th Data'!F72="","",'11th Data'!F72)</f>
        <v/>
      </c>
      <c r="F76" s="40" t="str">
        <f>IF('11th Data'!G72="","",'11th Data'!G72)</f>
        <v/>
      </c>
      <c r="G76" s="108" t="str">
        <f>IF('11th Data'!H72="","",'11th Data'!H72)</f>
        <v/>
      </c>
      <c r="H76" s="41" t="str">
        <f>IF('11th Data'!I72="","",'11th Data'!I72)</f>
        <v/>
      </c>
      <c r="I76" s="108" t="str">
        <f>IF('11th Data'!K72="","",'11th Data'!K72)</f>
        <v/>
      </c>
      <c r="K76" s="37"/>
      <c r="L76" s="37"/>
      <c r="M76" s="37"/>
      <c r="N76" s="37"/>
      <c r="O76" s="37"/>
      <c r="P76" s="37"/>
      <c r="R76" s="37"/>
      <c r="S76" s="37"/>
      <c r="T76" s="37"/>
      <c r="U76" s="37"/>
      <c r="V76" s="37"/>
      <c r="W76" s="37"/>
      <c r="Y76" s="109"/>
      <c r="Z76" s="37"/>
      <c r="AA76" s="37"/>
      <c r="AB76" s="37"/>
      <c r="AC76" s="37"/>
      <c r="AD76" s="37"/>
      <c r="AE76" s="37"/>
      <c r="AF76" s="37"/>
      <c r="AG76" s="37"/>
      <c r="AI76" s="109"/>
      <c r="AJ76" s="37"/>
      <c r="AK76" s="37"/>
      <c r="AL76" s="37"/>
      <c r="AM76" s="37"/>
      <c r="AN76" s="37"/>
      <c r="AO76" s="37"/>
      <c r="AP76" s="37"/>
      <c r="AQ76" s="37"/>
      <c r="AS76" s="109"/>
      <c r="AT76" s="37"/>
      <c r="AU76" s="37"/>
      <c r="AV76" s="37"/>
      <c r="AW76" s="37"/>
      <c r="AX76" s="37"/>
      <c r="AY76" s="37"/>
      <c r="AZ76" s="37"/>
      <c r="BA76" s="37"/>
      <c r="BC76" s="37"/>
      <c r="BD76" s="37"/>
      <c r="BE76" s="37"/>
      <c r="BF76" s="37"/>
      <c r="BG76" s="37"/>
      <c r="BH76" s="37"/>
      <c r="BJ76" s="37"/>
      <c r="BK76" s="37"/>
      <c r="BL76" s="37"/>
      <c r="BM76" s="37"/>
      <c r="BN76" s="37"/>
      <c r="BO76" s="37"/>
      <c r="BQ76" s="37"/>
      <c r="BR76" s="37"/>
      <c r="BS76" s="37"/>
      <c r="BT76" s="37"/>
      <c r="BU76" s="37"/>
      <c r="BV76" s="37"/>
      <c r="BY76" s="42">
        <f t="shared" si="1"/>
        <v>400</v>
      </c>
      <c r="BZ76" s="37">
        <v>300</v>
      </c>
    </row>
    <row r="77" spans="1:78" ht="30" customHeight="1" x14ac:dyDescent="0.25">
      <c r="A77" s="108" t="str">
        <f>IF('11th Data'!A73="","",'11th Data'!A73)</f>
        <v/>
      </c>
      <c r="B77" s="108" t="str">
        <f>IF('11th Data'!J73="","",'11th Data'!J73)</f>
        <v/>
      </c>
      <c r="C77" s="108" t="str">
        <f>IF('11th Data'!D73="","",'11th Data'!D73)</f>
        <v/>
      </c>
      <c r="D77" s="40" t="str">
        <f>IF('11th Data'!E73="","",'11th Data'!E73)</f>
        <v/>
      </c>
      <c r="E77" s="40" t="str">
        <f>IF('11th Data'!F73="","",'11th Data'!F73)</f>
        <v/>
      </c>
      <c r="F77" s="40" t="str">
        <f>IF('11th Data'!G73="","",'11th Data'!G73)</f>
        <v/>
      </c>
      <c r="G77" s="108" t="str">
        <f>IF('11th Data'!H73="","",'11th Data'!H73)</f>
        <v/>
      </c>
      <c r="H77" s="41" t="str">
        <f>IF('11th Data'!I73="","",'11th Data'!I73)</f>
        <v/>
      </c>
      <c r="I77" s="108" t="str">
        <f>IF('11th Data'!K73="","",'11th Data'!K73)</f>
        <v/>
      </c>
      <c r="K77" s="37"/>
      <c r="L77" s="37"/>
      <c r="M77" s="37"/>
      <c r="N77" s="37"/>
      <c r="O77" s="37"/>
      <c r="P77" s="37"/>
      <c r="R77" s="37"/>
      <c r="S77" s="37"/>
      <c r="T77" s="37"/>
      <c r="U77" s="37"/>
      <c r="V77" s="37"/>
      <c r="W77" s="37"/>
      <c r="Y77" s="109"/>
      <c r="Z77" s="37"/>
      <c r="AA77" s="37"/>
      <c r="AB77" s="37"/>
      <c r="AC77" s="37"/>
      <c r="AD77" s="37"/>
      <c r="AE77" s="37"/>
      <c r="AF77" s="37"/>
      <c r="AG77" s="37"/>
      <c r="AI77" s="109"/>
      <c r="AJ77" s="37"/>
      <c r="AK77" s="37"/>
      <c r="AL77" s="37"/>
      <c r="AM77" s="37"/>
      <c r="AN77" s="37"/>
      <c r="AO77" s="37"/>
      <c r="AP77" s="37"/>
      <c r="AQ77" s="37"/>
      <c r="AS77" s="109"/>
      <c r="AT77" s="37"/>
      <c r="AU77" s="37"/>
      <c r="AV77" s="37"/>
      <c r="AW77" s="37"/>
      <c r="AX77" s="37"/>
      <c r="AY77" s="37"/>
      <c r="AZ77" s="37"/>
      <c r="BA77" s="37"/>
      <c r="BC77" s="37"/>
      <c r="BD77" s="37"/>
      <c r="BE77" s="37"/>
      <c r="BF77" s="37"/>
      <c r="BG77" s="37"/>
      <c r="BH77" s="37"/>
      <c r="BJ77" s="37"/>
      <c r="BK77" s="37"/>
      <c r="BL77" s="37"/>
      <c r="BM77" s="37"/>
      <c r="BN77" s="37"/>
      <c r="BO77" s="37"/>
      <c r="BQ77" s="37"/>
      <c r="BR77" s="37"/>
      <c r="BS77" s="37"/>
      <c r="BT77" s="37"/>
      <c r="BU77" s="37"/>
      <c r="BV77" s="37"/>
      <c r="BY77" s="42">
        <f t="shared" si="1"/>
        <v>400</v>
      </c>
      <c r="BZ77" s="37">
        <v>300</v>
      </c>
    </row>
    <row r="78" spans="1:78" ht="30" customHeight="1" x14ac:dyDescent="0.25">
      <c r="A78" s="108" t="str">
        <f>IF('11th Data'!A74="","",'11th Data'!A74)</f>
        <v/>
      </c>
      <c r="B78" s="108" t="str">
        <f>IF('11th Data'!J74="","",'11th Data'!J74)</f>
        <v/>
      </c>
      <c r="C78" s="108" t="str">
        <f>IF('11th Data'!D74="","",'11th Data'!D74)</f>
        <v/>
      </c>
      <c r="D78" s="40" t="str">
        <f>IF('11th Data'!E74="","",'11th Data'!E74)</f>
        <v/>
      </c>
      <c r="E78" s="40" t="str">
        <f>IF('11th Data'!F74="","",'11th Data'!F74)</f>
        <v/>
      </c>
      <c r="F78" s="40" t="str">
        <f>IF('11th Data'!G74="","",'11th Data'!G74)</f>
        <v/>
      </c>
      <c r="G78" s="108" t="str">
        <f>IF('11th Data'!H74="","",'11th Data'!H74)</f>
        <v/>
      </c>
      <c r="H78" s="41" t="str">
        <f>IF('11th Data'!I74="","",'11th Data'!I74)</f>
        <v/>
      </c>
      <c r="I78" s="108" t="str">
        <f>IF('11th Data'!K74="","",'11th Data'!K74)</f>
        <v/>
      </c>
      <c r="K78" s="37"/>
      <c r="L78" s="37"/>
      <c r="M78" s="37"/>
      <c r="N78" s="37"/>
      <c r="O78" s="37"/>
      <c r="P78" s="37"/>
      <c r="R78" s="37"/>
      <c r="S78" s="37"/>
      <c r="T78" s="37"/>
      <c r="U78" s="37"/>
      <c r="V78" s="37"/>
      <c r="W78" s="37"/>
      <c r="Y78" s="109"/>
      <c r="Z78" s="37"/>
      <c r="AA78" s="37"/>
      <c r="AB78" s="37"/>
      <c r="AC78" s="37"/>
      <c r="AD78" s="37"/>
      <c r="AE78" s="37"/>
      <c r="AF78" s="37"/>
      <c r="AG78" s="37"/>
      <c r="AI78" s="109"/>
      <c r="AJ78" s="37"/>
      <c r="AK78" s="37"/>
      <c r="AL78" s="37"/>
      <c r="AM78" s="37"/>
      <c r="AN78" s="37"/>
      <c r="AO78" s="37"/>
      <c r="AP78" s="37"/>
      <c r="AQ78" s="37"/>
      <c r="AS78" s="109"/>
      <c r="AT78" s="37"/>
      <c r="AU78" s="37"/>
      <c r="AV78" s="37"/>
      <c r="AW78" s="37"/>
      <c r="AX78" s="37"/>
      <c r="AY78" s="37"/>
      <c r="AZ78" s="37"/>
      <c r="BA78" s="37"/>
      <c r="BC78" s="37"/>
      <c r="BD78" s="37"/>
      <c r="BE78" s="37"/>
      <c r="BF78" s="37"/>
      <c r="BG78" s="37"/>
      <c r="BH78" s="37"/>
      <c r="BJ78" s="37"/>
      <c r="BK78" s="37"/>
      <c r="BL78" s="37"/>
      <c r="BM78" s="37"/>
      <c r="BN78" s="37"/>
      <c r="BO78" s="37"/>
      <c r="BQ78" s="37"/>
      <c r="BR78" s="37"/>
      <c r="BS78" s="37"/>
      <c r="BT78" s="37"/>
      <c r="BU78" s="37"/>
      <c r="BV78" s="37"/>
      <c r="BY78" s="42">
        <f t="shared" si="1"/>
        <v>400</v>
      </c>
      <c r="BZ78" s="37">
        <v>300</v>
      </c>
    </row>
    <row r="79" spans="1:78" ht="30" customHeight="1" x14ac:dyDescent="0.25">
      <c r="A79" s="108" t="str">
        <f>IF('11th Data'!A75="","",'11th Data'!A75)</f>
        <v/>
      </c>
      <c r="B79" s="108" t="str">
        <f>IF('11th Data'!J75="","",'11th Data'!J75)</f>
        <v/>
      </c>
      <c r="C79" s="108" t="str">
        <f>IF('11th Data'!D75="","",'11th Data'!D75)</f>
        <v/>
      </c>
      <c r="D79" s="40" t="str">
        <f>IF('11th Data'!E75="","",'11th Data'!E75)</f>
        <v/>
      </c>
      <c r="E79" s="40" t="str">
        <f>IF('11th Data'!F75="","",'11th Data'!F75)</f>
        <v/>
      </c>
      <c r="F79" s="40" t="str">
        <f>IF('11th Data'!G75="","",'11th Data'!G75)</f>
        <v/>
      </c>
      <c r="G79" s="108" t="str">
        <f>IF('11th Data'!H75="","",'11th Data'!H75)</f>
        <v/>
      </c>
      <c r="H79" s="41" t="str">
        <f>IF('11th Data'!I75="","",'11th Data'!I75)</f>
        <v/>
      </c>
      <c r="I79" s="108" t="str">
        <f>IF('11th Data'!K75="","",'11th Data'!K75)</f>
        <v/>
      </c>
      <c r="K79" s="37"/>
      <c r="L79" s="37"/>
      <c r="M79" s="37"/>
      <c r="N79" s="37"/>
      <c r="O79" s="37"/>
      <c r="P79" s="37"/>
      <c r="R79" s="37"/>
      <c r="S79" s="37"/>
      <c r="T79" s="37"/>
      <c r="U79" s="37"/>
      <c r="V79" s="37"/>
      <c r="W79" s="37"/>
      <c r="Y79" s="109"/>
      <c r="Z79" s="37"/>
      <c r="AA79" s="37"/>
      <c r="AB79" s="37"/>
      <c r="AC79" s="37"/>
      <c r="AD79" s="37"/>
      <c r="AE79" s="37"/>
      <c r="AF79" s="37"/>
      <c r="AG79" s="37"/>
      <c r="AI79" s="109"/>
      <c r="AJ79" s="37"/>
      <c r="AK79" s="37"/>
      <c r="AL79" s="37"/>
      <c r="AM79" s="37"/>
      <c r="AN79" s="37"/>
      <c r="AO79" s="37"/>
      <c r="AP79" s="37"/>
      <c r="AQ79" s="37"/>
      <c r="AS79" s="109"/>
      <c r="AT79" s="37"/>
      <c r="AU79" s="37"/>
      <c r="AV79" s="37"/>
      <c r="AW79" s="37"/>
      <c r="AX79" s="37"/>
      <c r="AY79" s="37"/>
      <c r="AZ79" s="37"/>
      <c r="BA79" s="37"/>
      <c r="BC79" s="37"/>
      <c r="BD79" s="37"/>
      <c r="BE79" s="37"/>
      <c r="BF79" s="37"/>
      <c r="BG79" s="37"/>
      <c r="BH79" s="37"/>
      <c r="BJ79" s="37"/>
      <c r="BK79" s="37"/>
      <c r="BL79" s="37"/>
      <c r="BM79" s="37"/>
      <c r="BN79" s="37"/>
      <c r="BO79" s="37"/>
      <c r="BQ79" s="37"/>
      <c r="BR79" s="37"/>
      <c r="BS79" s="37"/>
      <c r="BT79" s="37"/>
      <c r="BU79" s="37"/>
      <c r="BV79" s="37"/>
      <c r="BY79" s="42">
        <f t="shared" si="1"/>
        <v>400</v>
      </c>
      <c r="BZ79" s="37">
        <v>300</v>
      </c>
    </row>
    <row r="80" spans="1:78" ht="30" customHeight="1" x14ac:dyDescent="0.25">
      <c r="A80" s="108" t="str">
        <f>IF('11th Data'!A76="","",'11th Data'!A76)</f>
        <v/>
      </c>
      <c r="B80" s="108" t="str">
        <f>IF('11th Data'!J76="","",'11th Data'!J76)</f>
        <v/>
      </c>
      <c r="C80" s="108" t="str">
        <f>IF('11th Data'!D76="","",'11th Data'!D76)</f>
        <v/>
      </c>
      <c r="D80" s="40" t="str">
        <f>IF('11th Data'!E76="","",'11th Data'!E76)</f>
        <v/>
      </c>
      <c r="E80" s="40" t="str">
        <f>IF('11th Data'!F76="","",'11th Data'!F76)</f>
        <v/>
      </c>
      <c r="F80" s="40" t="str">
        <f>IF('11th Data'!G76="","",'11th Data'!G76)</f>
        <v/>
      </c>
      <c r="G80" s="108" t="str">
        <f>IF('11th Data'!H76="","",'11th Data'!H76)</f>
        <v/>
      </c>
      <c r="H80" s="41" t="str">
        <f>IF('11th Data'!I76="","",'11th Data'!I76)</f>
        <v/>
      </c>
      <c r="I80" s="108" t="str">
        <f>IF('11th Data'!K76="","",'11th Data'!K76)</f>
        <v/>
      </c>
      <c r="K80" s="37"/>
      <c r="L80" s="37"/>
      <c r="M80" s="37"/>
      <c r="N80" s="37"/>
      <c r="O80" s="37"/>
      <c r="P80" s="37"/>
      <c r="R80" s="37"/>
      <c r="S80" s="37"/>
      <c r="T80" s="37"/>
      <c r="U80" s="37"/>
      <c r="V80" s="37"/>
      <c r="W80" s="37"/>
      <c r="Y80" s="109"/>
      <c r="Z80" s="37"/>
      <c r="AA80" s="37"/>
      <c r="AB80" s="37"/>
      <c r="AC80" s="37"/>
      <c r="AD80" s="37"/>
      <c r="AE80" s="37"/>
      <c r="AF80" s="37"/>
      <c r="AG80" s="37"/>
      <c r="AI80" s="109"/>
      <c r="AJ80" s="37"/>
      <c r="AK80" s="37"/>
      <c r="AL80" s="37"/>
      <c r="AM80" s="37"/>
      <c r="AN80" s="37"/>
      <c r="AO80" s="37"/>
      <c r="AP80" s="37"/>
      <c r="AQ80" s="37"/>
      <c r="AS80" s="109"/>
      <c r="AT80" s="37"/>
      <c r="AU80" s="37"/>
      <c r="AV80" s="37"/>
      <c r="AW80" s="37"/>
      <c r="AX80" s="37"/>
      <c r="AY80" s="37"/>
      <c r="AZ80" s="37"/>
      <c r="BA80" s="37"/>
      <c r="BC80" s="37"/>
      <c r="BD80" s="37"/>
      <c r="BE80" s="37"/>
      <c r="BF80" s="37"/>
      <c r="BG80" s="37"/>
      <c r="BH80" s="37"/>
      <c r="BJ80" s="37"/>
      <c r="BK80" s="37"/>
      <c r="BL80" s="37"/>
      <c r="BM80" s="37"/>
      <c r="BN80" s="37"/>
      <c r="BO80" s="37"/>
      <c r="BQ80" s="37"/>
      <c r="BR80" s="37"/>
      <c r="BS80" s="37"/>
      <c r="BT80" s="37"/>
      <c r="BU80" s="37"/>
      <c r="BV80" s="37"/>
      <c r="BY80" s="42">
        <f t="shared" si="1"/>
        <v>400</v>
      </c>
      <c r="BZ80" s="37">
        <v>300</v>
      </c>
    </row>
    <row r="81" spans="1:78" ht="30" customHeight="1" x14ac:dyDescent="0.25">
      <c r="A81" s="108" t="str">
        <f>IF('11th Data'!A77="","",'11th Data'!A77)</f>
        <v/>
      </c>
      <c r="B81" s="108" t="str">
        <f>IF('11th Data'!J77="","",'11th Data'!J77)</f>
        <v/>
      </c>
      <c r="C81" s="108" t="str">
        <f>IF('11th Data'!D77="","",'11th Data'!D77)</f>
        <v/>
      </c>
      <c r="D81" s="40" t="str">
        <f>IF('11th Data'!E77="","",'11th Data'!E77)</f>
        <v/>
      </c>
      <c r="E81" s="40" t="str">
        <f>IF('11th Data'!F77="","",'11th Data'!F77)</f>
        <v/>
      </c>
      <c r="F81" s="40" t="str">
        <f>IF('11th Data'!G77="","",'11th Data'!G77)</f>
        <v/>
      </c>
      <c r="G81" s="108" t="str">
        <f>IF('11th Data'!H77="","",'11th Data'!H77)</f>
        <v/>
      </c>
      <c r="H81" s="41" t="str">
        <f>IF('11th Data'!I77="","",'11th Data'!I77)</f>
        <v/>
      </c>
      <c r="I81" s="108" t="str">
        <f>IF('11th Data'!K77="","",'11th Data'!K77)</f>
        <v/>
      </c>
      <c r="K81" s="37"/>
      <c r="L81" s="37"/>
      <c r="M81" s="37"/>
      <c r="N81" s="37"/>
      <c r="O81" s="37"/>
      <c r="P81" s="37"/>
      <c r="R81" s="37"/>
      <c r="S81" s="37"/>
      <c r="T81" s="37"/>
      <c r="U81" s="37"/>
      <c r="V81" s="37"/>
      <c r="W81" s="37"/>
      <c r="Y81" s="109"/>
      <c r="Z81" s="37"/>
      <c r="AA81" s="37"/>
      <c r="AB81" s="37"/>
      <c r="AC81" s="37"/>
      <c r="AD81" s="37"/>
      <c r="AE81" s="37"/>
      <c r="AF81" s="37"/>
      <c r="AG81" s="37"/>
      <c r="AI81" s="109"/>
      <c r="AJ81" s="37"/>
      <c r="AK81" s="37"/>
      <c r="AL81" s="37"/>
      <c r="AM81" s="37"/>
      <c r="AN81" s="37"/>
      <c r="AO81" s="37"/>
      <c r="AP81" s="37"/>
      <c r="AQ81" s="37"/>
      <c r="AS81" s="109"/>
      <c r="AT81" s="37"/>
      <c r="AU81" s="37"/>
      <c r="AV81" s="37"/>
      <c r="AW81" s="37"/>
      <c r="AX81" s="37"/>
      <c r="AY81" s="37"/>
      <c r="AZ81" s="37"/>
      <c r="BA81" s="37"/>
      <c r="BC81" s="37"/>
      <c r="BD81" s="37"/>
      <c r="BE81" s="37"/>
      <c r="BF81" s="37"/>
      <c r="BG81" s="37"/>
      <c r="BH81" s="37"/>
      <c r="BJ81" s="37"/>
      <c r="BK81" s="37"/>
      <c r="BL81" s="37"/>
      <c r="BM81" s="37"/>
      <c r="BN81" s="37"/>
      <c r="BO81" s="37"/>
      <c r="BQ81" s="37"/>
      <c r="BR81" s="37"/>
      <c r="BS81" s="37"/>
      <c r="BT81" s="37"/>
      <c r="BU81" s="37"/>
      <c r="BV81" s="37"/>
      <c r="BY81" s="42">
        <f t="shared" si="1"/>
        <v>400</v>
      </c>
      <c r="BZ81" s="37">
        <v>300</v>
      </c>
    </row>
    <row r="82" spans="1:78" ht="30" customHeight="1" x14ac:dyDescent="0.25">
      <c r="A82" s="108" t="str">
        <f>IF('11th Data'!A78="","",'11th Data'!A78)</f>
        <v/>
      </c>
      <c r="B82" s="108" t="str">
        <f>IF('11th Data'!J78="","",'11th Data'!J78)</f>
        <v/>
      </c>
      <c r="C82" s="108" t="str">
        <f>IF('11th Data'!D78="","",'11th Data'!D78)</f>
        <v/>
      </c>
      <c r="D82" s="40" t="str">
        <f>IF('11th Data'!E78="","",'11th Data'!E78)</f>
        <v/>
      </c>
      <c r="E82" s="40" t="str">
        <f>IF('11th Data'!F78="","",'11th Data'!F78)</f>
        <v/>
      </c>
      <c r="F82" s="40" t="str">
        <f>IF('11th Data'!G78="","",'11th Data'!G78)</f>
        <v/>
      </c>
      <c r="G82" s="108" t="str">
        <f>IF('11th Data'!H78="","",'11th Data'!H78)</f>
        <v/>
      </c>
      <c r="H82" s="41" t="str">
        <f>IF('11th Data'!I78="","",'11th Data'!I78)</f>
        <v/>
      </c>
      <c r="I82" s="108" t="str">
        <f>IF('11th Data'!K78="","",'11th Data'!K78)</f>
        <v/>
      </c>
      <c r="K82" s="37"/>
      <c r="L82" s="37"/>
      <c r="M82" s="37"/>
      <c r="N82" s="37"/>
      <c r="O82" s="37"/>
      <c r="P82" s="37"/>
      <c r="R82" s="37"/>
      <c r="S82" s="37"/>
      <c r="T82" s="37"/>
      <c r="U82" s="37"/>
      <c r="V82" s="37"/>
      <c r="W82" s="37"/>
      <c r="Y82" s="109"/>
      <c r="Z82" s="37"/>
      <c r="AA82" s="37"/>
      <c r="AB82" s="37"/>
      <c r="AC82" s="37"/>
      <c r="AD82" s="37"/>
      <c r="AE82" s="37"/>
      <c r="AF82" s="37"/>
      <c r="AG82" s="37"/>
      <c r="AI82" s="109"/>
      <c r="AJ82" s="37"/>
      <c r="AK82" s="37"/>
      <c r="AL82" s="37"/>
      <c r="AM82" s="37"/>
      <c r="AN82" s="37"/>
      <c r="AO82" s="37"/>
      <c r="AP82" s="37"/>
      <c r="AQ82" s="37"/>
      <c r="AS82" s="109"/>
      <c r="AT82" s="37"/>
      <c r="AU82" s="37"/>
      <c r="AV82" s="37"/>
      <c r="AW82" s="37"/>
      <c r="AX82" s="37"/>
      <c r="AY82" s="37"/>
      <c r="AZ82" s="37"/>
      <c r="BA82" s="37"/>
      <c r="BC82" s="37"/>
      <c r="BD82" s="37"/>
      <c r="BE82" s="37"/>
      <c r="BF82" s="37"/>
      <c r="BG82" s="37"/>
      <c r="BH82" s="37"/>
      <c r="BJ82" s="37"/>
      <c r="BK82" s="37"/>
      <c r="BL82" s="37"/>
      <c r="BM82" s="37"/>
      <c r="BN82" s="37"/>
      <c r="BO82" s="37"/>
      <c r="BQ82" s="37"/>
      <c r="BR82" s="37"/>
      <c r="BS82" s="37"/>
      <c r="BT82" s="37"/>
      <c r="BU82" s="37"/>
      <c r="BV82" s="37"/>
      <c r="BY82" s="42">
        <f t="shared" si="1"/>
        <v>400</v>
      </c>
      <c r="BZ82" s="37">
        <v>300</v>
      </c>
    </row>
    <row r="83" spans="1:78" ht="30" customHeight="1" x14ac:dyDescent="0.25">
      <c r="A83" s="108" t="str">
        <f>IF('11th Data'!A79="","",'11th Data'!A79)</f>
        <v/>
      </c>
      <c r="B83" s="108" t="str">
        <f>IF('11th Data'!J79="","",'11th Data'!J79)</f>
        <v/>
      </c>
      <c r="C83" s="108" t="str">
        <f>IF('11th Data'!D79="","",'11th Data'!D79)</f>
        <v/>
      </c>
      <c r="D83" s="40" t="str">
        <f>IF('11th Data'!E79="","",'11th Data'!E79)</f>
        <v/>
      </c>
      <c r="E83" s="40" t="str">
        <f>IF('11th Data'!F79="","",'11th Data'!F79)</f>
        <v/>
      </c>
      <c r="F83" s="40" t="str">
        <f>IF('11th Data'!G79="","",'11th Data'!G79)</f>
        <v/>
      </c>
      <c r="G83" s="108" t="str">
        <f>IF('11th Data'!H79="","",'11th Data'!H79)</f>
        <v/>
      </c>
      <c r="H83" s="41" t="str">
        <f>IF('11th Data'!I79="","",'11th Data'!I79)</f>
        <v/>
      </c>
      <c r="I83" s="108" t="str">
        <f>IF('11th Data'!K79="","",'11th Data'!K79)</f>
        <v/>
      </c>
      <c r="K83" s="37"/>
      <c r="L83" s="37"/>
      <c r="M83" s="37"/>
      <c r="N83" s="37"/>
      <c r="O83" s="37"/>
      <c r="P83" s="37"/>
      <c r="R83" s="37"/>
      <c r="S83" s="37"/>
      <c r="T83" s="37"/>
      <c r="U83" s="37"/>
      <c r="V83" s="37"/>
      <c r="W83" s="37"/>
      <c r="Y83" s="109"/>
      <c r="Z83" s="37"/>
      <c r="AA83" s="37"/>
      <c r="AB83" s="37"/>
      <c r="AC83" s="37"/>
      <c r="AD83" s="37"/>
      <c r="AE83" s="37"/>
      <c r="AF83" s="37"/>
      <c r="AG83" s="37"/>
      <c r="AI83" s="109"/>
      <c r="AJ83" s="37"/>
      <c r="AK83" s="37"/>
      <c r="AL83" s="37"/>
      <c r="AM83" s="37"/>
      <c r="AN83" s="37"/>
      <c r="AO83" s="37"/>
      <c r="AP83" s="37"/>
      <c r="AQ83" s="37"/>
      <c r="AS83" s="109"/>
      <c r="AT83" s="37"/>
      <c r="AU83" s="37"/>
      <c r="AV83" s="37"/>
      <c r="AW83" s="37"/>
      <c r="AX83" s="37"/>
      <c r="AY83" s="37"/>
      <c r="AZ83" s="37"/>
      <c r="BA83" s="37"/>
      <c r="BC83" s="37"/>
      <c r="BD83" s="37"/>
      <c r="BE83" s="37"/>
      <c r="BF83" s="37"/>
      <c r="BG83" s="37"/>
      <c r="BH83" s="37"/>
      <c r="BJ83" s="37"/>
      <c r="BK83" s="37"/>
      <c r="BL83" s="37"/>
      <c r="BM83" s="37"/>
      <c r="BN83" s="37"/>
      <c r="BO83" s="37"/>
      <c r="BQ83" s="37"/>
      <c r="BR83" s="37"/>
      <c r="BS83" s="37"/>
      <c r="BT83" s="37"/>
      <c r="BU83" s="37"/>
      <c r="BV83" s="37"/>
      <c r="BY83" s="42">
        <f t="shared" si="1"/>
        <v>400</v>
      </c>
      <c r="BZ83" s="37">
        <v>300</v>
      </c>
    </row>
    <row r="84" spans="1:78" ht="30" customHeight="1" x14ac:dyDescent="0.25">
      <c r="A84" s="108" t="str">
        <f>IF('11th Data'!A80="","",'11th Data'!A80)</f>
        <v/>
      </c>
      <c r="B84" s="108" t="str">
        <f>IF('11th Data'!J80="","",'11th Data'!J80)</f>
        <v/>
      </c>
      <c r="C84" s="108" t="str">
        <f>IF('11th Data'!D80="","",'11th Data'!D80)</f>
        <v/>
      </c>
      <c r="D84" s="40" t="str">
        <f>IF('11th Data'!E80="","",'11th Data'!E80)</f>
        <v/>
      </c>
      <c r="E84" s="40" t="str">
        <f>IF('11th Data'!F80="","",'11th Data'!F80)</f>
        <v/>
      </c>
      <c r="F84" s="40" t="str">
        <f>IF('11th Data'!G80="","",'11th Data'!G80)</f>
        <v/>
      </c>
      <c r="G84" s="108" t="str">
        <f>IF('11th Data'!H80="","",'11th Data'!H80)</f>
        <v/>
      </c>
      <c r="H84" s="41" t="str">
        <f>IF('11th Data'!I80="","",'11th Data'!I80)</f>
        <v/>
      </c>
      <c r="I84" s="108" t="str">
        <f>IF('11th Data'!K80="","",'11th Data'!K80)</f>
        <v/>
      </c>
      <c r="K84" s="37"/>
      <c r="L84" s="37"/>
      <c r="M84" s="37"/>
      <c r="N84" s="37"/>
      <c r="O84" s="37"/>
      <c r="P84" s="37"/>
      <c r="R84" s="37"/>
      <c r="S84" s="37"/>
      <c r="T84" s="37"/>
      <c r="U84" s="37"/>
      <c r="V84" s="37"/>
      <c r="W84" s="37"/>
      <c r="Y84" s="109"/>
      <c r="Z84" s="37"/>
      <c r="AA84" s="37"/>
      <c r="AB84" s="37"/>
      <c r="AC84" s="37"/>
      <c r="AD84" s="37"/>
      <c r="AE84" s="37"/>
      <c r="AF84" s="37"/>
      <c r="AG84" s="37"/>
      <c r="AI84" s="109"/>
      <c r="AJ84" s="37"/>
      <c r="AK84" s="37"/>
      <c r="AL84" s="37"/>
      <c r="AM84" s="37"/>
      <c r="AN84" s="37"/>
      <c r="AO84" s="37"/>
      <c r="AP84" s="37"/>
      <c r="AQ84" s="37"/>
      <c r="AS84" s="109"/>
      <c r="AT84" s="37"/>
      <c r="AU84" s="37"/>
      <c r="AV84" s="37"/>
      <c r="AW84" s="37"/>
      <c r="AX84" s="37"/>
      <c r="AY84" s="37"/>
      <c r="AZ84" s="37"/>
      <c r="BA84" s="37"/>
      <c r="BC84" s="37"/>
      <c r="BD84" s="37"/>
      <c r="BE84" s="37"/>
      <c r="BF84" s="37"/>
      <c r="BG84" s="37"/>
      <c r="BH84" s="37"/>
      <c r="BJ84" s="37"/>
      <c r="BK84" s="37"/>
      <c r="BL84" s="37"/>
      <c r="BM84" s="37"/>
      <c r="BN84" s="37"/>
      <c r="BO84" s="37"/>
      <c r="BQ84" s="37"/>
      <c r="BR84" s="37"/>
      <c r="BS84" s="37"/>
      <c r="BT84" s="37"/>
      <c r="BU84" s="37"/>
      <c r="BV84" s="37"/>
      <c r="BY84" s="42">
        <f t="shared" si="1"/>
        <v>400</v>
      </c>
      <c r="BZ84" s="37">
        <v>300</v>
      </c>
    </row>
    <row r="85" spans="1:78" ht="30" customHeight="1" x14ac:dyDescent="0.25">
      <c r="A85" s="108" t="str">
        <f>IF('11th Data'!A81="","",'11th Data'!A81)</f>
        <v/>
      </c>
      <c r="B85" s="108" t="str">
        <f>IF('11th Data'!J81="","",'11th Data'!J81)</f>
        <v/>
      </c>
      <c r="C85" s="108" t="str">
        <f>IF('11th Data'!D81="","",'11th Data'!D81)</f>
        <v/>
      </c>
      <c r="D85" s="40" t="str">
        <f>IF('11th Data'!E81="","",'11th Data'!E81)</f>
        <v/>
      </c>
      <c r="E85" s="40" t="str">
        <f>IF('11th Data'!F81="","",'11th Data'!F81)</f>
        <v/>
      </c>
      <c r="F85" s="40" t="str">
        <f>IF('11th Data'!G81="","",'11th Data'!G81)</f>
        <v/>
      </c>
      <c r="G85" s="108" t="str">
        <f>IF('11th Data'!H81="","",'11th Data'!H81)</f>
        <v/>
      </c>
      <c r="H85" s="41" t="str">
        <f>IF('11th Data'!I81="","",'11th Data'!I81)</f>
        <v/>
      </c>
      <c r="I85" s="108" t="str">
        <f>IF('11th Data'!K81="","",'11th Data'!K81)</f>
        <v/>
      </c>
      <c r="K85" s="37"/>
      <c r="L85" s="37"/>
      <c r="M85" s="37"/>
      <c r="N85" s="37"/>
      <c r="O85" s="37"/>
      <c r="P85" s="37"/>
      <c r="R85" s="37"/>
      <c r="S85" s="37"/>
      <c r="T85" s="37"/>
      <c r="U85" s="37"/>
      <c r="V85" s="37"/>
      <c r="W85" s="37"/>
      <c r="Y85" s="109"/>
      <c r="Z85" s="37"/>
      <c r="AA85" s="37"/>
      <c r="AB85" s="37"/>
      <c r="AC85" s="37"/>
      <c r="AD85" s="37"/>
      <c r="AE85" s="37"/>
      <c r="AF85" s="37"/>
      <c r="AG85" s="37"/>
      <c r="AI85" s="109"/>
      <c r="AJ85" s="37"/>
      <c r="AK85" s="37"/>
      <c r="AL85" s="37"/>
      <c r="AM85" s="37"/>
      <c r="AN85" s="37"/>
      <c r="AO85" s="37"/>
      <c r="AP85" s="37"/>
      <c r="AQ85" s="37"/>
      <c r="AS85" s="109"/>
      <c r="AT85" s="37"/>
      <c r="AU85" s="37"/>
      <c r="AV85" s="37"/>
      <c r="AW85" s="37"/>
      <c r="AX85" s="37"/>
      <c r="AY85" s="37"/>
      <c r="AZ85" s="37"/>
      <c r="BA85" s="37"/>
      <c r="BC85" s="37"/>
      <c r="BD85" s="37"/>
      <c r="BE85" s="37"/>
      <c r="BF85" s="37"/>
      <c r="BG85" s="37"/>
      <c r="BH85" s="37"/>
      <c r="BJ85" s="37"/>
      <c r="BK85" s="37"/>
      <c r="BL85" s="37"/>
      <c r="BM85" s="37"/>
      <c r="BN85" s="37"/>
      <c r="BO85" s="37"/>
      <c r="BQ85" s="37"/>
      <c r="BR85" s="37"/>
      <c r="BS85" s="37"/>
      <c r="BT85" s="37"/>
      <c r="BU85" s="37"/>
      <c r="BV85" s="37"/>
      <c r="BY85" s="42">
        <f t="shared" si="1"/>
        <v>400</v>
      </c>
      <c r="BZ85" s="37">
        <v>300</v>
      </c>
    </row>
    <row r="86" spans="1:78" ht="30" customHeight="1" x14ac:dyDescent="0.25">
      <c r="A86" s="108" t="str">
        <f>IF('11th Data'!A82="","",'11th Data'!A82)</f>
        <v/>
      </c>
      <c r="B86" s="108" t="str">
        <f>IF('11th Data'!J82="","",'11th Data'!J82)</f>
        <v/>
      </c>
      <c r="C86" s="108" t="str">
        <f>IF('11th Data'!D82="","",'11th Data'!D82)</f>
        <v/>
      </c>
      <c r="D86" s="40" t="str">
        <f>IF('11th Data'!E82="","",'11th Data'!E82)</f>
        <v/>
      </c>
      <c r="E86" s="40" t="str">
        <f>IF('11th Data'!F82="","",'11th Data'!F82)</f>
        <v/>
      </c>
      <c r="F86" s="40" t="str">
        <f>IF('11th Data'!G82="","",'11th Data'!G82)</f>
        <v/>
      </c>
      <c r="G86" s="108" t="str">
        <f>IF('11th Data'!H82="","",'11th Data'!H82)</f>
        <v/>
      </c>
      <c r="H86" s="41" t="str">
        <f>IF('11th Data'!I82="","",'11th Data'!I82)</f>
        <v/>
      </c>
      <c r="I86" s="108" t="str">
        <f>IF('11th Data'!K82="","",'11th Data'!K82)</f>
        <v/>
      </c>
      <c r="K86" s="37"/>
      <c r="L86" s="37"/>
      <c r="M86" s="37"/>
      <c r="N86" s="37"/>
      <c r="O86" s="37"/>
      <c r="P86" s="37"/>
      <c r="R86" s="37"/>
      <c r="S86" s="37"/>
      <c r="T86" s="37"/>
      <c r="U86" s="37"/>
      <c r="V86" s="37"/>
      <c r="W86" s="37"/>
      <c r="Y86" s="109"/>
      <c r="Z86" s="37"/>
      <c r="AA86" s="37"/>
      <c r="AB86" s="37"/>
      <c r="AC86" s="37"/>
      <c r="AD86" s="37"/>
      <c r="AE86" s="37"/>
      <c r="AF86" s="37"/>
      <c r="AG86" s="37"/>
      <c r="AI86" s="109"/>
      <c r="AJ86" s="37"/>
      <c r="AK86" s="37"/>
      <c r="AL86" s="37"/>
      <c r="AM86" s="37"/>
      <c r="AN86" s="37"/>
      <c r="AO86" s="37"/>
      <c r="AP86" s="37"/>
      <c r="AQ86" s="37"/>
      <c r="AS86" s="109"/>
      <c r="AT86" s="37"/>
      <c r="AU86" s="37"/>
      <c r="AV86" s="37"/>
      <c r="AW86" s="37"/>
      <c r="AX86" s="37"/>
      <c r="AY86" s="37"/>
      <c r="AZ86" s="37"/>
      <c r="BA86" s="37"/>
      <c r="BC86" s="37"/>
      <c r="BD86" s="37"/>
      <c r="BE86" s="37"/>
      <c r="BF86" s="37"/>
      <c r="BG86" s="37"/>
      <c r="BH86" s="37"/>
      <c r="BJ86" s="37"/>
      <c r="BK86" s="37"/>
      <c r="BL86" s="37"/>
      <c r="BM86" s="37"/>
      <c r="BN86" s="37"/>
      <c r="BO86" s="37"/>
      <c r="BQ86" s="37"/>
      <c r="BR86" s="37"/>
      <c r="BS86" s="37"/>
      <c r="BT86" s="37"/>
      <c r="BU86" s="37"/>
      <c r="BV86" s="37"/>
      <c r="BY86" s="42">
        <f t="shared" si="1"/>
        <v>400</v>
      </c>
      <c r="BZ86" s="37">
        <v>300</v>
      </c>
    </row>
    <row r="87" spans="1:78" ht="30" customHeight="1" x14ac:dyDescent="0.25">
      <c r="A87" s="108" t="str">
        <f>IF('11th Data'!A83="","",'11th Data'!A83)</f>
        <v/>
      </c>
      <c r="B87" s="108" t="str">
        <f>IF('11th Data'!J83="","",'11th Data'!J83)</f>
        <v/>
      </c>
      <c r="C87" s="108" t="str">
        <f>IF('11th Data'!D83="","",'11th Data'!D83)</f>
        <v/>
      </c>
      <c r="D87" s="40" t="str">
        <f>IF('11th Data'!E83="","",'11th Data'!E83)</f>
        <v/>
      </c>
      <c r="E87" s="40" t="str">
        <f>IF('11th Data'!F83="","",'11th Data'!F83)</f>
        <v/>
      </c>
      <c r="F87" s="40" t="str">
        <f>IF('11th Data'!G83="","",'11th Data'!G83)</f>
        <v/>
      </c>
      <c r="G87" s="108" t="str">
        <f>IF('11th Data'!H83="","",'11th Data'!H83)</f>
        <v/>
      </c>
      <c r="H87" s="41" t="str">
        <f>IF('11th Data'!I83="","",'11th Data'!I83)</f>
        <v/>
      </c>
      <c r="I87" s="108" t="str">
        <f>IF('11th Data'!K83="","",'11th Data'!K83)</f>
        <v/>
      </c>
      <c r="K87" s="37"/>
      <c r="L87" s="37"/>
      <c r="M87" s="37"/>
      <c r="N87" s="37"/>
      <c r="O87" s="37"/>
      <c r="P87" s="37"/>
      <c r="R87" s="37"/>
      <c r="S87" s="37"/>
      <c r="T87" s="37"/>
      <c r="U87" s="37"/>
      <c r="V87" s="37"/>
      <c r="W87" s="37"/>
      <c r="Y87" s="109"/>
      <c r="Z87" s="37"/>
      <c r="AA87" s="37"/>
      <c r="AB87" s="37"/>
      <c r="AC87" s="37"/>
      <c r="AD87" s="37"/>
      <c r="AE87" s="37"/>
      <c r="AF87" s="37"/>
      <c r="AG87" s="37"/>
      <c r="AI87" s="109"/>
      <c r="AJ87" s="37"/>
      <c r="AK87" s="37"/>
      <c r="AL87" s="37"/>
      <c r="AM87" s="37"/>
      <c r="AN87" s="37"/>
      <c r="AO87" s="37"/>
      <c r="AP87" s="37"/>
      <c r="AQ87" s="37"/>
      <c r="AS87" s="109"/>
      <c r="AT87" s="37"/>
      <c r="AU87" s="37"/>
      <c r="AV87" s="37"/>
      <c r="AW87" s="37"/>
      <c r="AX87" s="37"/>
      <c r="AY87" s="37"/>
      <c r="AZ87" s="37"/>
      <c r="BA87" s="37"/>
      <c r="BC87" s="37"/>
      <c r="BD87" s="37"/>
      <c r="BE87" s="37"/>
      <c r="BF87" s="37"/>
      <c r="BG87" s="37"/>
      <c r="BH87" s="37"/>
      <c r="BJ87" s="37"/>
      <c r="BK87" s="37"/>
      <c r="BL87" s="37"/>
      <c r="BM87" s="37"/>
      <c r="BN87" s="37"/>
      <c r="BO87" s="37"/>
      <c r="BQ87" s="37"/>
      <c r="BR87" s="37"/>
      <c r="BS87" s="37"/>
      <c r="BT87" s="37"/>
      <c r="BU87" s="37"/>
      <c r="BV87" s="37"/>
      <c r="BY87" s="42">
        <f t="shared" si="1"/>
        <v>400</v>
      </c>
      <c r="BZ87" s="37">
        <v>300</v>
      </c>
    </row>
    <row r="88" spans="1:78" ht="30" customHeight="1" x14ac:dyDescent="0.25">
      <c r="A88" s="108" t="str">
        <f>IF('11th Data'!A84="","",'11th Data'!A84)</f>
        <v/>
      </c>
      <c r="B88" s="108" t="str">
        <f>IF('11th Data'!J84="","",'11th Data'!J84)</f>
        <v/>
      </c>
      <c r="C88" s="108" t="str">
        <f>IF('11th Data'!D84="","",'11th Data'!D84)</f>
        <v/>
      </c>
      <c r="D88" s="40" t="str">
        <f>IF('11th Data'!E84="","",'11th Data'!E84)</f>
        <v/>
      </c>
      <c r="E88" s="40" t="str">
        <f>IF('11th Data'!F84="","",'11th Data'!F84)</f>
        <v/>
      </c>
      <c r="F88" s="40" t="str">
        <f>IF('11th Data'!G84="","",'11th Data'!G84)</f>
        <v/>
      </c>
      <c r="G88" s="108" t="str">
        <f>IF('11th Data'!H84="","",'11th Data'!H84)</f>
        <v/>
      </c>
      <c r="H88" s="41" t="str">
        <f>IF('11th Data'!I84="","",'11th Data'!I84)</f>
        <v/>
      </c>
      <c r="I88" s="108" t="str">
        <f>IF('11th Data'!K84="","",'11th Data'!K84)</f>
        <v/>
      </c>
      <c r="K88" s="37"/>
      <c r="L88" s="37"/>
      <c r="M88" s="37"/>
      <c r="N88" s="37"/>
      <c r="O88" s="37"/>
      <c r="P88" s="37"/>
      <c r="R88" s="37"/>
      <c r="S88" s="37"/>
      <c r="T88" s="37"/>
      <c r="U88" s="37"/>
      <c r="V88" s="37"/>
      <c r="W88" s="37"/>
      <c r="Y88" s="109"/>
      <c r="Z88" s="37"/>
      <c r="AA88" s="37"/>
      <c r="AB88" s="37"/>
      <c r="AC88" s="37"/>
      <c r="AD88" s="37"/>
      <c r="AE88" s="37"/>
      <c r="AF88" s="37"/>
      <c r="AG88" s="37"/>
      <c r="AI88" s="109"/>
      <c r="AJ88" s="37"/>
      <c r="AK88" s="37"/>
      <c r="AL88" s="37"/>
      <c r="AM88" s="37"/>
      <c r="AN88" s="37"/>
      <c r="AO88" s="37"/>
      <c r="AP88" s="37"/>
      <c r="AQ88" s="37"/>
      <c r="AS88" s="109"/>
      <c r="AT88" s="37"/>
      <c r="AU88" s="37"/>
      <c r="AV88" s="37"/>
      <c r="AW88" s="37"/>
      <c r="AX88" s="37"/>
      <c r="AY88" s="37"/>
      <c r="AZ88" s="37"/>
      <c r="BA88" s="37"/>
      <c r="BC88" s="37"/>
      <c r="BD88" s="37"/>
      <c r="BE88" s="37"/>
      <c r="BF88" s="37"/>
      <c r="BG88" s="37"/>
      <c r="BH88" s="37"/>
      <c r="BJ88" s="37"/>
      <c r="BK88" s="37"/>
      <c r="BL88" s="37"/>
      <c r="BM88" s="37"/>
      <c r="BN88" s="37"/>
      <c r="BO88" s="37"/>
      <c r="BQ88" s="37"/>
      <c r="BR88" s="37"/>
      <c r="BS88" s="37"/>
      <c r="BT88" s="37"/>
      <c r="BU88" s="37"/>
      <c r="BV88" s="37"/>
      <c r="BY88" s="42">
        <f t="shared" si="1"/>
        <v>400</v>
      </c>
      <c r="BZ88" s="37">
        <v>300</v>
      </c>
    </row>
    <row r="89" spans="1:78" ht="30" customHeight="1" x14ac:dyDescent="0.25">
      <c r="A89" s="108" t="str">
        <f>IF('11th Data'!A85="","",'11th Data'!A85)</f>
        <v/>
      </c>
      <c r="B89" s="108" t="str">
        <f>IF('11th Data'!J85="","",'11th Data'!J85)</f>
        <v/>
      </c>
      <c r="C89" s="108" t="str">
        <f>IF('11th Data'!D85="","",'11th Data'!D85)</f>
        <v/>
      </c>
      <c r="D89" s="40" t="str">
        <f>IF('11th Data'!E85="","",'11th Data'!E85)</f>
        <v/>
      </c>
      <c r="E89" s="40" t="str">
        <f>IF('11th Data'!F85="","",'11th Data'!F85)</f>
        <v/>
      </c>
      <c r="F89" s="40" t="str">
        <f>IF('11th Data'!G85="","",'11th Data'!G85)</f>
        <v/>
      </c>
      <c r="G89" s="108" t="str">
        <f>IF('11th Data'!H85="","",'11th Data'!H85)</f>
        <v/>
      </c>
      <c r="H89" s="41" t="str">
        <f>IF('11th Data'!I85="","",'11th Data'!I85)</f>
        <v/>
      </c>
      <c r="I89" s="108" t="str">
        <f>IF('11th Data'!K85="","",'11th Data'!K85)</f>
        <v/>
      </c>
      <c r="K89" s="37"/>
      <c r="L89" s="37"/>
      <c r="M89" s="37"/>
      <c r="N89" s="37"/>
      <c r="O89" s="37"/>
      <c r="P89" s="37"/>
      <c r="R89" s="37"/>
      <c r="S89" s="37"/>
      <c r="T89" s="37"/>
      <c r="U89" s="37"/>
      <c r="V89" s="37"/>
      <c r="W89" s="37"/>
      <c r="Y89" s="109"/>
      <c r="Z89" s="37"/>
      <c r="AA89" s="37"/>
      <c r="AB89" s="37"/>
      <c r="AC89" s="37"/>
      <c r="AD89" s="37"/>
      <c r="AE89" s="37"/>
      <c r="AF89" s="37"/>
      <c r="AG89" s="37"/>
      <c r="AI89" s="109"/>
      <c r="AJ89" s="37"/>
      <c r="AK89" s="37"/>
      <c r="AL89" s="37"/>
      <c r="AM89" s="37"/>
      <c r="AN89" s="37"/>
      <c r="AO89" s="37"/>
      <c r="AP89" s="37"/>
      <c r="AQ89" s="37"/>
      <c r="AS89" s="109"/>
      <c r="AT89" s="37"/>
      <c r="AU89" s="37"/>
      <c r="AV89" s="37"/>
      <c r="AW89" s="37"/>
      <c r="AX89" s="37"/>
      <c r="AY89" s="37"/>
      <c r="AZ89" s="37"/>
      <c r="BA89" s="37"/>
      <c r="BC89" s="37"/>
      <c r="BD89" s="37"/>
      <c r="BE89" s="37"/>
      <c r="BF89" s="37"/>
      <c r="BG89" s="37"/>
      <c r="BH89" s="37"/>
      <c r="BJ89" s="37"/>
      <c r="BK89" s="37"/>
      <c r="BL89" s="37"/>
      <c r="BM89" s="37"/>
      <c r="BN89" s="37"/>
      <c r="BO89" s="37"/>
      <c r="BQ89" s="37"/>
      <c r="BR89" s="37"/>
      <c r="BS89" s="37"/>
      <c r="BT89" s="37"/>
      <c r="BU89" s="37"/>
      <c r="BV89" s="37"/>
      <c r="BY89" s="42">
        <f t="shared" si="1"/>
        <v>400</v>
      </c>
      <c r="BZ89" s="37">
        <v>300</v>
      </c>
    </row>
    <row r="90" spans="1:78" ht="30" customHeight="1" x14ac:dyDescent="0.25">
      <c r="A90" s="108" t="str">
        <f>IF('11th Data'!A86="","",'11th Data'!A86)</f>
        <v/>
      </c>
      <c r="B90" s="108" t="str">
        <f>IF('11th Data'!J86="","",'11th Data'!J86)</f>
        <v/>
      </c>
      <c r="C90" s="108" t="str">
        <f>IF('11th Data'!D86="","",'11th Data'!D86)</f>
        <v/>
      </c>
      <c r="D90" s="40" t="str">
        <f>IF('11th Data'!E86="","",'11th Data'!E86)</f>
        <v/>
      </c>
      <c r="E90" s="40" t="str">
        <f>IF('11th Data'!F86="","",'11th Data'!F86)</f>
        <v/>
      </c>
      <c r="F90" s="40" t="str">
        <f>IF('11th Data'!G86="","",'11th Data'!G86)</f>
        <v/>
      </c>
      <c r="G90" s="108" t="str">
        <f>IF('11th Data'!H86="","",'11th Data'!H86)</f>
        <v/>
      </c>
      <c r="H90" s="41" t="str">
        <f>IF('11th Data'!I86="","",'11th Data'!I86)</f>
        <v/>
      </c>
      <c r="I90" s="108" t="str">
        <f>IF('11th Data'!K86="","",'11th Data'!K86)</f>
        <v/>
      </c>
      <c r="K90" s="37"/>
      <c r="L90" s="37"/>
      <c r="M90" s="37"/>
      <c r="N90" s="37"/>
      <c r="O90" s="37"/>
      <c r="P90" s="37"/>
      <c r="R90" s="37"/>
      <c r="S90" s="37"/>
      <c r="T90" s="37"/>
      <c r="U90" s="37"/>
      <c r="V90" s="37"/>
      <c r="W90" s="37"/>
      <c r="Y90" s="109"/>
      <c r="Z90" s="37"/>
      <c r="AA90" s="37"/>
      <c r="AB90" s="37"/>
      <c r="AC90" s="37"/>
      <c r="AD90" s="37"/>
      <c r="AE90" s="37"/>
      <c r="AF90" s="37"/>
      <c r="AG90" s="37"/>
      <c r="AI90" s="109"/>
      <c r="AJ90" s="37"/>
      <c r="AK90" s="37"/>
      <c r="AL90" s="37"/>
      <c r="AM90" s="37"/>
      <c r="AN90" s="37"/>
      <c r="AO90" s="37"/>
      <c r="AP90" s="37"/>
      <c r="AQ90" s="37"/>
      <c r="AS90" s="109"/>
      <c r="AT90" s="37"/>
      <c r="AU90" s="37"/>
      <c r="AV90" s="37"/>
      <c r="AW90" s="37"/>
      <c r="AX90" s="37"/>
      <c r="AY90" s="37"/>
      <c r="AZ90" s="37"/>
      <c r="BA90" s="37"/>
      <c r="BC90" s="37"/>
      <c r="BD90" s="37"/>
      <c r="BE90" s="37"/>
      <c r="BF90" s="37"/>
      <c r="BG90" s="37"/>
      <c r="BH90" s="37"/>
      <c r="BJ90" s="37"/>
      <c r="BK90" s="37"/>
      <c r="BL90" s="37"/>
      <c r="BM90" s="37"/>
      <c r="BN90" s="37"/>
      <c r="BO90" s="37"/>
      <c r="BQ90" s="37"/>
      <c r="BR90" s="37"/>
      <c r="BS90" s="37"/>
      <c r="BT90" s="37"/>
      <c r="BU90" s="37"/>
      <c r="BV90" s="37"/>
      <c r="BY90" s="42">
        <f t="shared" si="1"/>
        <v>400</v>
      </c>
      <c r="BZ90" s="37">
        <v>300</v>
      </c>
    </row>
    <row r="91" spans="1:78" ht="30" customHeight="1" x14ac:dyDescent="0.25">
      <c r="A91" s="108" t="str">
        <f>IF('11th Data'!A87="","",'11th Data'!A87)</f>
        <v/>
      </c>
      <c r="B91" s="108" t="str">
        <f>IF('11th Data'!J87="","",'11th Data'!J87)</f>
        <v/>
      </c>
      <c r="C91" s="108" t="str">
        <f>IF('11th Data'!D87="","",'11th Data'!D87)</f>
        <v/>
      </c>
      <c r="D91" s="40" t="str">
        <f>IF('11th Data'!E87="","",'11th Data'!E87)</f>
        <v/>
      </c>
      <c r="E91" s="40" t="str">
        <f>IF('11th Data'!F87="","",'11th Data'!F87)</f>
        <v/>
      </c>
      <c r="F91" s="40" t="str">
        <f>IF('11th Data'!G87="","",'11th Data'!G87)</f>
        <v/>
      </c>
      <c r="G91" s="108" t="str">
        <f>IF('11th Data'!H87="","",'11th Data'!H87)</f>
        <v/>
      </c>
      <c r="H91" s="41" t="str">
        <f>IF('11th Data'!I87="","",'11th Data'!I87)</f>
        <v/>
      </c>
      <c r="I91" s="108" t="str">
        <f>IF('11th Data'!K87="","",'11th Data'!K87)</f>
        <v/>
      </c>
      <c r="K91" s="37"/>
      <c r="L91" s="37"/>
      <c r="M91" s="37"/>
      <c r="N91" s="37"/>
      <c r="O91" s="37"/>
      <c r="P91" s="37"/>
      <c r="R91" s="37"/>
      <c r="S91" s="37"/>
      <c r="T91" s="37"/>
      <c r="U91" s="37"/>
      <c r="V91" s="37"/>
      <c r="W91" s="37"/>
      <c r="Y91" s="109"/>
      <c r="Z91" s="37"/>
      <c r="AA91" s="37"/>
      <c r="AB91" s="37"/>
      <c r="AC91" s="37"/>
      <c r="AD91" s="37"/>
      <c r="AE91" s="37"/>
      <c r="AF91" s="37"/>
      <c r="AG91" s="37"/>
      <c r="AI91" s="109"/>
      <c r="AJ91" s="37"/>
      <c r="AK91" s="37"/>
      <c r="AL91" s="37"/>
      <c r="AM91" s="37"/>
      <c r="AN91" s="37"/>
      <c r="AO91" s="37"/>
      <c r="AP91" s="37"/>
      <c r="AQ91" s="37"/>
      <c r="AS91" s="109"/>
      <c r="AT91" s="37"/>
      <c r="AU91" s="37"/>
      <c r="AV91" s="37"/>
      <c r="AW91" s="37"/>
      <c r="AX91" s="37"/>
      <c r="AY91" s="37"/>
      <c r="AZ91" s="37"/>
      <c r="BA91" s="37"/>
      <c r="BC91" s="37"/>
      <c r="BD91" s="37"/>
      <c r="BE91" s="37"/>
      <c r="BF91" s="37"/>
      <c r="BG91" s="37"/>
      <c r="BH91" s="37"/>
      <c r="BJ91" s="37"/>
      <c r="BK91" s="37"/>
      <c r="BL91" s="37"/>
      <c r="BM91" s="37"/>
      <c r="BN91" s="37"/>
      <c r="BO91" s="37"/>
      <c r="BQ91" s="37"/>
      <c r="BR91" s="37"/>
      <c r="BS91" s="37"/>
      <c r="BT91" s="37"/>
      <c r="BU91" s="37"/>
      <c r="BV91" s="37"/>
      <c r="BY91" s="42">
        <f t="shared" si="1"/>
        <v>400</v>
      </c>
      <c r="BZ91" s="37">
        <v>300</v>
      </c>
    </row>
    <row r="92" spans="1:78" ht="30" customHeight="1" x14ac:dyDescent="0.25">
      <c r="A92" s="108" t="str">
        <f>IF('11th Data'!A88="","",'11th Data'!A88)</f>
        <v/>
      </c>
      <c r="B92" s="108" t="str">
        <f>IF('11th Data'!J88="","",'11th Data'!J88)</f>
        <v/>
      </c>
      <c r="C92" s="108" t="str">
        <f>IF('11th Data'!D88="","",'11th Data'!D88)</f>
        <v/>
      </c>
      <c r="D92" s="40" t="str">
        <f>IF('11th Data'!E88="","",'11th Data'!E88)</f>
        <v/>
      </c>
      <c r="E92" s="40" t="str">
        <f>IF('11th Data'!F88="","",'11th Data'!F88)</f>
        <v/>
      </c>
      <c r="F92" s="40" t="str">
        <f>IF('11th Data'!G88="","",'11th Data'!G88)</f>
        <v/>
      </c>
      <c r="G92" s="108" t="str">
        <f>IF('11th Data'!H88="","",'11th Data'!H88)</f>
        <v/>
      </c>
      <c r="H92" s="41" t="str">
        <f>IF('11th Data'!I88="","",'11th Data'!I88)</f>
        <v/>
      </c>
      <c r="I92" s="108" t="str">
        <f>IF('11th Data'!K88="","",'11th Data'!K88)</f>
        <v/>
      </c>
      <c r="K92" s="37"/>
      <c r="L92" s="37"/>
      <c r="M92" s="37"/>
      <c r="N92" s="37"/>
      <c r="O92" s="37"/>
      <c r="P92" s="37"/>
      <c r="R92" s="37"/>
      <c r="S92" s="37"/>
      <c r="T92" s="37"/>
      <c r="U92" s="37"/>
      <c r="V92" s="37"/>
      <c r="W92" s="37"/>
      <c r="Y92" s="109"/>
      <c r="Z92" s="37"/>
      <c r="AA92" s="37"/>
      <c r="AB92" s="37"/>
      <c r="AC92" s="37"/>
      <c r="AD92" s="37"/>
      <c r="AE92" s="37"/>
      <c r="AF92" s="37"/>
      <c r="AG92" s="37"/>
      <c r="AI92" s="109"/>
      <c r="AJ92" s="37"/>
      <c r="AK92" s="37"/>
      <c r="AL92" s="37"/>
      <c r="AM92" s="37"/>
      <c r="AN92" s="37"/>
      <c r="AO92" s="37"/>
      <c r="AP92" s="37"/>
      <c r="AQ92" s="37"/>
      <c r="AS92" s="109"/>
      <c r="AT92" s="37"/>
      <c r="AU92" s="37"/>
      <c r="AV92" s="37"/>
      <c r="AW92" s="37"/>
      <c r="AX92" s="37"/>
      <c r="AY92" s="37"/>
      <c r="AZ92" s="37"/>
      <c r="BA92" s="37"/>
      <c r="BC92" s="37"/>
      <c r="BD92" s="37"/>
      <c r="BE92" s="37"/>
      <c r="BF92" s="37"/>
      <c r="BG92" s="37"/>
      <c r="BH92" s="37"/>
      <c r="BJ92" s="37"/>
      <c r="BK92" s="37"/>
      <c r="BL92" s="37"/>
      <c r="BM92" s="37"/>
      <c r="BN92" s="37"/>
      <c r="BO92" s="37"/>
      <c r="BQ92" s="37"/>
      <c r="BR92" s="37"/>
      <c r="BS92" s="37"/>
      <c r="BT92" s="37"/>
      <c r="BU92" s="37"/>
      <c r="BV92" s="37"/>
      <c r="BY92" s="42">
        <f t="shared" si="1"/>
        <v>400</v>
      </c>
      <c r="BZ92" s="37">
        <v>300</v>
      </c>
    </row>
    <row r="93" spans="1:78" ht="30" customHeight="1" x14ac:dyDescent="0.25">
      <c r="A93" s="108" t="str">
        <f>IF('11th Data'!A89="","",'11th Data'!A89)</f>
        <v/>
      </c>
      <c r="B93" s="108" t="str">
        <f>IF('11th Data'!J89="","",'11th Data'!J89)</f>
        <v/>
      </c>
      <c r="C93" s="108" t="str">
        <f>IF('11th Data'!D89="","",'11th Data'!D89)</f>
        <v/>
      </c>
      <c r="D93" s="40" t="str">
        <f>IF('11th Data'!E89="","",'11th Data'!E89)</f>
        <v/>
      </c>
      <c r="E93" s="40" t="str">
        <f>IF('11th Data'!F89="","",'11th Data'!F89)</f>
        <v/>
      </c>
      <c r="F93" s="40" t="str">
        <f>IF('11th Data'!G89="","",'11th Data'!G89)</f>
        <v/>
      </c>
      <c r="G93" s="108" t="str">
        <f>IF('11th Data'!H89="","",'11th Data'!H89)</f>
        <v/>
      </c>
      <c r="H93" s="41" t="str">
        <f>IF('11th Data'!I89="","",'11th Data'!I89)</f>
        <v/>
      </c>
      <c r="I93" s="108" t="str">
        <f>IF('11th Data'!K89="","",'11th Data'!K89)</f>
        <v/>
      </c>
      <c r="K93" s="37"/>
      <c r="L93" s="37"/>
      <c r="M93" s="37"/>
      <c r="N93" s="37"/>
      <c r="O93" s="37"/>
      <c r="P93" s="37"/>
      <c r="R93" s="37"/>
      <c r="S93" s="37"/>
      <c r="T93" s="37"/>
      <c r="U93" s="37"/>
      <c r="V93" s="37"/>
      <c r="W93" s="37"/>
      <c r="Y93" s="109"/>
      <c r="Z93" s="37"/>
      <c r="AA93" s="37"/>
      <c r="AB93" s="37"/>
      <c r="AC93" s="37"/>
      <c r="AD93" s="37"/>
      <c r="AE93" s="37"/>
      <c r="AF93" s="37"/>
      <c r="AG93" s="37"/>
      <c r="AI93" s="109"/>
      <c r="AJ93" s="37"/>
      <c r="AK93" s="37"/>
      <c r="AL93" s="37"/>
      <c r="AM93" s="37"/>
      <c r="AN93" s="37"/>
      <c r="AO93" s="37"/>
      <c r="AP93" s="37"/>
      <c r="AQ93" s="37"/>
      <c r="AS93" s="109"/>
      <c r="AT93" s="37"/>
      <c r="AU93" s="37"/>
      <c r="AV93" s="37"/>
      <c r="AW93" s="37"/>
      <c r="AX93" s="37"/>
      <c r="AY93" s="37"/>
      <c r="AZ93" s="37"/>
      <c r="BA93" s="37"/>
      <c r="BC93" s="37"/>
      <c r="BD93" s="37"/>
      <c r="BE93" s="37"/>
      <c r="BF93" s="37"/>
      <c r="BG93" s="37"/>
      <c r="BH93" s="37"/>
      <c r="BJ93" s="37"/>
      <c r="BK93" s="37"/>
      <c r="BL93" s="37"/>
      <c r="BM93" s="37"/>
      <c r="BN93" s="37"/>
      <c r="BO93" s="37"/>
      <c r="BQ93" s="37"/>
      <c r="BR93" s="37"/>
      <c r="BS93" s="37"/>
      <c r="BT93" s="37"/>
      <c r="BU93" s="37"/>
      <c r="BV93" s="37"/>
      <c r="BY93" s="42">
        <f t="shared" si="1"/>
        <v>400</v>
      </c>
      <c r="BZ93" s="37">
        <v>300</v>
      </c>
    </row>
    <row r="94" spans="1:78" ht="30" customHeight="1" x14ac:dyDescent="0.25">
      <c r="A94" s="108" t="str">
        <f>IF('11th Data'!A90="","",'11th Data'!A90)</f>
        <v/>
      </c>
      <c r="B94" s="108" t="str">
        <f>IF('11th Data'!J90="","",'11th Data'!J90)</f>
        <v/>
      </c>
      <c r="C94" s="108" t="str">
        <f>IF('11th Data'!D90="","",'11th Data'!D90)</f>
        <v/>
      </c>
      <c r="D94" s="40" t="str">
        <f>IF('11th Data'!E90="","",'11th Data'!E90)</f>
        <v/>
      </c>
      <c r="E94" s="40" t="str">
        <f>IF('11th Data'!F90="","",'11th Data'!F90)</f>
        <v/>
      </c>
      <c r="F94" s="40" t="str">
        <f>IF('11th Data'!G90="","",'11th Data'!G90)</f>
        <v/>
      </c>
      <c r="G94" s="108" t="str">
        <f>IF('11th Data'!H90="","",'11th Data'!H90)</f>
        <v/>
      </c>
      <c r="H94" s="41" t="str">
        <f>IF('11th Data'!I90="","",'11th Data'!I90)</f>
        <v/>
      </c>
      <c r="I94" s="108" t="str">
        <f>IF('11th Data'!K90="","",'11th Data'!K90)</f>
        <v/>
      </c>
      <c r="K94" s="37"/>
      <c r="L94" s="37"/>
      <c r="M94" s="37"/>
      <c r="N94" s="37"/>
      <c r="O94" s="37"/>
      <c r="P94" s="37"/>
      <c r="R94" s="37"/>
      <c r="S94" s="37"/>
      <c r="T94" s="37"/>
      <c r="U94" s="37"/>
      <c r="V94" s="37"/>
      <c r="W94" s="37"/>
      <c r="Y94" s="109"/>
      <c r="Z94" s="37"/>
      <c r="AA94" s="37"/>
      <c r="AB94" s="37"/>
      <c r="AC94" s="37"/>
      <c r="AD94" s="37"/>
      <c r="AE94" s="37"/>
      <c r="AF94" s="37"/>
      <c r="AG94" s="37"/>
      <c r="AI94" s="109"/>
      <c r="AJ94" s="37"/>
      <c r="AK94" s="37"/>
      <c r="AL94" s="37"/>
      <c r="AM94" s="37"/>
      <c r="AN94" s="37"/>
      <c r="AO94" s="37"/>
      <c r="AP94" s="37"/>
      <c r="AQ94" s="37"/>
      <c r="AS94" s="109"/>
      <c r="AT94" s="37"/>
      <c r="AU94" s="37"/>
      <c r="AV94" s="37"/>
      <c r="AW94" s="37"/>
      <c r="AX94" s="37"/>
      <c r="AY94" s="37"/>
      <c r="AZ94" s="37"/>
      <c r="BA94" s="37"/>
      <c r="BC94" s="37"/>
      <c r="BD94" s="37"/>
      <c r="BE94" s="37"/>
      <c r="BF94" s="37"/>
      <c r="BG94" s="37"/>
      <c r="BH94" s="37"/>
      <c r="BJ94" s="37"/>
      <c r="BK94" s="37"/>
      <c r="BL94" s="37"/>
      <c r="BM94" s="37"/>
      <c r="BN94" s="37"/>
      <c r="BO94" s="37"/>
      <c r="BQ94" s="37"/>
      <c r="BR94" s="37"/>
      <c r="BS94" s="37"/>
      <c r="BT94" s="37"/>
      <c r="BU94" s="37"/>
      <c r="BV94" s="37"/>
      <c r="BY94" s="42">
        <f t="shared" si="1"/>
        <v>400</v>
      </c>
      <c r="BZ94" s="37">
        <v>300</v>
      </c>
    </row>
    <row r="95" spans="1:78" ht="30" customHeight="1" x14ac:dyDescent="0.25">
      <c r="A95" s="108" t="str">
        <f>IF('11th Data'!A91="","",'11th Data'!A91)</f>
        <v/>
      </c>
      <c r="B95" s="108" t="str">
        <f>IF('11th Data'!J91="","",'11th Data'!J91)</f>
        <v/>
      </c>
      <c r="C95" s="108" t="str">
        <f>IF('11th Data'!D91="","",'11th Data'!D91)</f>
        <v/>
      </c>
      <c r="D95" s="40" t="str">
        <f>IF('11th Data'!E91="","",'11th Data'!E91)</f>
        <v/>
      </c>
      <c r="E95" s="40" t="str">
        <f>IF('11th Data'!F91="","",'11th Data'!F91)</f>
        <v/>
      </c>
      <c r="F95" s="40" t="str">
        <f>IF('11th Data'!G91="","",'11th Data'!G91)</f>
        <v/>
      </c>
      <c r="G95" s="108" t="str">
        <f>IF('11th Data'!H91="","",'11th Data'!H91)</f>
        <v/>
      </c>
      <c r="H95" s="41" t="str">
        <f>IF('11th Data'!I91="","",'11th Data'!I91)</f>
        <v/>
      </c>
      <c r="I95" s="108" t="str">
        <f>IF('11th Data'!K91="","",'11th Data'!K91)</f>
        <v/>
      </c>
      <c r="K95" s="37"/>
      <c r="L95" s="37"/>
      <c r="M95" s="37"/>
      <c r="N95" s="37"/>
      <c r="O95" s="37"/>
      <c r="P95" s="37"/>
      <c r="R95" s="37"/>
      <c r="S95" s="37"/>
      <c r="T95" s="37"/>
      <c r="U95" s="37"/>
      <c r="V95" s="37"/>
      <c r="W95" s="37"/>
      <c r="Y95" s="109"/>
      <c r="Z95" s="37"/>
      <c r="AA95" s="37"/>
      <c r="AB95" s="37"/>
      <c r="AC95" s="37"/>
      <c r="AD95" s="37"/>
      <c r="AE95" s="37"/>
      <c r="AF95" s="37"/>
      <c r="AG95" s="37"/>
      <c r="AI95" s="109"/>
      <c r="AJ95" s="37"/>
      <c r="AK95" s="37"/>
      <c r="AL95" s="37"/>
      <c r="AM95" s="37"/>
      <c r="AN95" s="37"/>
      <c r="AO95" s="37"/>
      <c r="AP95" s="37"/>
      <c r="AQ95" s="37"/>
      <c r="AS95" s="109"/>
      <c r="AT95" s="37"/>
      <c r="AU95" s="37"/>
      <c r="AV95" s="37"/>
      <c r="AW95" s="37"/>
      <c r="AX95" s="37"/>
      <c r="AY95" s="37"/>
      <c r="AZ95" s="37"/>
      <c r="BA95" s="37"/>
      <c r="BC95" s="37"/>
      <c r="BD95" s="37"/>
      <c r="BE95" s="37"/>
      <c r="BF95" s="37"/>
      <c r="BG95" s="37"/>
      <c r="BH95" s="37"/>
      <c r="BJ95" s="37"/>
      <c r="BK95" s="37"/>
      <c r="BL95" s="37"/>
      <c r="BM95" s="37"/>
      <c r="BN95" s="37"/>
      <c r="BO95" s="37"/>
      <c r="BQ95" s="37"/>
      <c r="BR95" s="37"/>
      <c r="BS95" s="37"/>
      <c r="BT95" s="37"/>
      <c r="BU95" s="37"/>
      <c r="BV95" s="37"/>
      <c r="BY95" s="42">
        <f t="shared" si="1"/>
        <v>400</v>
      </c>
      <c r="BZ95" s="37">
        <v>300</v>
      </c>
    </row>
    <row r="96" spans="1:78" ht="30" customHeight="1" x14ac:dyDescent="0.25">
      <c r="A96" s="108" t="str">
        <f>IF('11th Data'!A92="","",'11th Data'!A92)</f>
        <v/>
      </c>
      <c r="B96" s="108" t="str">
        <f>IF('11th Data'!J92="","",'11th Data'!J92)</f>
        <v/>
      </c>
      <c r="C96" s="108" t="str">
        <f>IF('11th Data'!D92="","",'11th Data'!D92)</f>
        <v/>
      </c>
      <c r="D96" s="40" t="str">
        <f>IF('11th Data'!E92="","",'11th Data'!E92)</f>
        <v/>
      </c>
      <c r="E96" s="40" t="str">
        <f>IF('11th Data'!F92="","",'11th Data'!F92)</f>
        <v/>
      </c>
      <c r="F96" s="40" t="str">
        <f>IF('11th Data'!G92="","",'11th Data'!G92)</f>
        <v/>
      </c>
      <c r="G96" s="108" t="str">
        <f>IF('11th Data'!H92="","",'11th Data'!H92)</f>
        <v/>
      </c>
      <c r="H96" s="41" t="str">
        <f>IF('11th Data'!I92="","",'11th Data'!I92)</f>
        <v/>
      </c>
      <c r="I96" s="108" t="str">
        <f>IF('11th Data'!K92="","",'11th Data'!K92)</f>
        <v/>
      </c>
      <c r="K96" s="37"/>
      <c r="L96" s="37"/>
      <c r="M96" s="37"/>
      <c r="N96" s="37"/>
      <c r="O96" s="37"/>
      <c r="P96" s="37"/>
      <c r="R96" s="37"/>
      <c r="S96" s="37"/>
      <c r="T96" s="37"/>
      <c r="U96" s="37"/>
      <c r="V96" s="37"/>
      <c r="W96" s="37"/>
      <c r="Y96" s="109"/>
      <c r="Z96" s="37"/>
      <c r="AA96" s="37"/>
      <c r="AB96" s="37"/>
      <c r="AC96" s="37"/>
      <c r="AD96" s="37"/>
      <c r="AE96" s="37"/>
      <c r="AF96" s="37"/>
      <c r="AG96" s="37"/>
      <c r="AI96" s="109"/>
      <c r="AJ96" s="37"/>
      <c r="AK96" s="37"/>
      <c r="AL96" s="37"/>
      <c r="AM96" s="37"/>
      <c r="AN96" s="37"/>
      <c r="AO96" s="37"/>
      <c r="AP96" s="37"/>
      <c r="AQ96" s="37"/>
      <c r="AS96" s="109"/>
      <c r="AT96" s="37"/>
      <c r="AU96" s="37"/>
      <c r="AV96" s="37"/>
      <c r="AW96" s="37"/>
      <c r="AX96" s="37"/>
      <c r="AY96" s="37"/>
      <c r="AZ96" s="37"/>
      <c r="BA96" s="37"/>
      <c r="BC96" s="37"/>
      <c r="BD96" s="37"/>
      <c r="BE96" s="37"/>
      <c r="BF96" s="37"/>
      <c r="BG96" s="37"/>
      <c r="BH96" s="37"/>
      <c r="BJ96" s="37"/>
      <c r="BK96" s="37"/>
      <c r="BL96" s="37"/>
      <c r="BM96" s="37"/>
      <c r="BN96" s="37"/>
      <c r="BO96" s="37"/>
      <c r="BQ96" s="37"/>
      <c r="BR96" s="37"/>
      <c r="BS96" s="37"/>
      <c r="BT96" s="37"/>
      <c r="BU96" s="37"/>
      <c r="BV96" s="37"/>
      <c r="BY96" s="42">
        <f t="shared" si="1"/>
        <v>400</v>
      </c>
      <c r="BZ96" s="37">
        <v>300</v>
      </c>
    </row>
    <row r="97" spans="1:78" ht="30" customHeight="1" x14ac:dyDescent="0.25">
      <c r="A97" s="108" t="str">
        <f>IF('11th Data'!A93="","",'11th Data'!A93)</f>
        <v/>
      </c>
      <c r="B97" s="108" t="str">
        <f>IF('11th Data'!J93="","",'11th Data'!J93)</f>
        <v/>
      </c>
      <c r="C97" s="108" t="str">
        <f>IF('11th Data'!D93="","",'11th Data'!D93)</f>
        <v/>
      </c>
      <c r="D97" s="40" t="str">
        <f>IF('11th Data'!E93="","",'11th Data'!E93)</f>
        <v/>
      </c>
      <c r="E97" s="40" t="str">
        <f>IF('11th Data'!F93="","",'11th Data'!F93)</f>
        <v/>
      </c>
      <c r="F97" s="40" t="str">
        <f>IF('11th Data'!G93="","",'11th Data'!G93)</f>
        <v/>
      </c>
      <c r="G97" s="108" t="str">
        <f>IF('11th Data'!H93="","",'11th Data'!H93)</f>
        <v/>
      </c>
      <c r="H97" s="41" t="str">
        <f>IF('11th Data'!I93="","",'11th Data'!I93)</f>
        <v/>
      </c>
      <c r="I97" s="108" t="str">
        <f>IF('11th Data'!K93="","",'11th Data'!K93)</f>
        <v/>
      </c>
      <c r="K97" s="37"/>
      <c r="L97" s="37"/>
      <c r="M97" s="37"/>
      <c r="N97" s="37"/>
      <c r="O97" s="37"/>
      <c r="P97" s="37"/>
      <c r="R97" s="37"/>
      <c r="S97" s="37"/>
      <c r="T97" s="37"/>
      <c r="U97" s="37"/>
      <c r="V97" s="37"/>
      <c r="W97" s="37"/>
      <c r="Y97" s="109"/>
      <c r="Z97" s="37"/>
      <c r="AA97" s="37"/>
      <c r="AB97" s="37"/>
      <c r="AC97" s="37"/>
      <c r="AD97" s="37"/>
      <c r="AE97" s="37"/>
      <c r="AF97" s="37"/>
      <c r="AG97" s="37"/>
      <c r="AI97" s="109"/>
      <c r="AJ97" s="37"/>
      <c r="AK97" s="37"/>
      <c r="AL97" s="37"/>
      <c r="AM97" s="37"/>
      <c r="AN97" s="37"/>
      <c r="AO97" s="37"/>
      <c r="AP97" s="37"/>
      <c r="AQ97" s="37"/>
      <c r="AS97" s="109"/>
      <c r="AT97" s="37"/>
      <c r="AU97" s="37"/>
      <c r="AV97" s="37"/>
      <c r="AW97" s="37"/>
      <c r="AX97" s="37"/>
      <c r="AY97" s="37"/>
      <c r="AZ97" s="37"/>
      <c r="BA97" s="37"/>
      <c r="BC97" s="37"/>
      <c r="BD97" s="37"/>
      <c r="BE97" s="37"/>
      <c r="BF97" s="37"/>
      <c r="BG97" s="37"/>
      <c r="BH97" s="37"/>
      <c r="BJ97" s="37"/>
      <c r="BK97" s="37"/>
      <c r="BL97" s="37"/>
      <c r="BM97" s="37"/>
      <c r="BN97" s="37"/>
      <c r="BO97" s="37"/>
      <c r="BQ97" s="37"/>
      <c r="BR97" s="37"/>
      <c r="BS97" s="37"/>
      <c r="BT97" s="37"/>
      <c r="BU97" s="37"/>
      <c r="BV97" s="37"/>
      <c r="BY97" s="42">
        <f t="shared" si="1"/>
        <v>400</v>
      </c>
      <c r="BZ97" s="37">
        <v>300</v>
      </c>
    </row>
    <row r="98" spans="1:78" ht="30" customHeight="1" x14ac:dyDescent="0.25">
      <c r="A98" s="108" t="str">
        <f>IF('11th Data'!A94="","",'11th Data'!A94)</f>
        <v/>
      </c>
      <c r="B98" s="108" t="str">
        <f>IF('11th Data'!J94="","",'11th Data'!J94)</f>
        <v/>
      </c>
      <c r="C98" s="108" t="str">
        <f>IF('11th Data'!D94="","",'11th Data'!D94)</f>
        <v/>
      </c>
      <c r="D98" s="40" t="str">
        <f>IF('11th Data'!E94="","",'11th Data'!E94)</f>
        <v/>
      </c>
      <c r="E98" s="40" t="str">
        <f>IF('11th Data'!F94="","",'11th Data'!F94)</f>
        <v/>
      </c>
      <c r="F98" s="40" t="str">
        <f>IF('11th Data'!G94="","",'11th Data'!G94)</f>
        <v/>
      </c>
      <c r="G98" s="108" t="str">
        <f>IF('11th Data'!H94="","",'11th Data'!H94)</f>
        <v/>
      </c>
      <c r="H98" s="41" t="str">
        <f>IF('11th Data'!I94="","",'11th Data'!I94)</f>
        <v/>
      </c>
      <c r="I98" s="108" t="str">
        <f>IF('11th Data'!K94="","",'11th Data'!K94)</f>
        <v/>
      </c>
      <c r="K98" s="37"/>
      <c r="L98" s="37"/>
      <c r="M98" s="37"/>
      <c r="N98" s="37"/>
      <c r="O98" s="37"/>
      <c r="P98" s="37"/>
      <c r="R98" s="37"/>
      <c r="S98" s="37"/>
      <c r="T98" s="37"/>
      <c r="U98" s="37"/>
      <c r="V98" s="37"/>
      <c r="W98" s="37"/>
      <c r="Y98" s="109"/>
      <c r="Z98" s="37"/>
      <c r="AA98" s="37"/>
      <c r="AB98" s="37"/>
      <c r="AC98" s="37"/>
      <c r="AD98" s="37"/>
      <c r="AE98" s="37"/>
      <c r="AF98" s="37"/>
      <c r="AG98" s="37"/>
      <c r="AI98" s="109"/>
      <c r="AJ98" s="37"/>
      <c r="AK98" s="37"/>
      <c r="AL98" s="37"/>
      <c r="AM98" s="37"/>
      <c r="AN98" s="37"/>
      <c r="AO98" s="37"/>
      <c r="AP98" s="37"/>
      <c r="AQ98" s="37"/>
      <c r="AS98" s="109"/>
      <c r="AT98" s="37"/>
      <c r="AU98" s="37"/>
      <c r="AV98" s="37"/>
      <c r="AW98" s="37"/>
      <c r="AX98" s="37"/>
      <c r="AY98" s="37"/>
      <c r="AZ98" s="37"/>
      <c r="BA98" s="37"/>
      <c r="BC98" s="37"/>
      <c r="BD98" s="37"/>
      <c r="BE98" s="37"/>
      <c r="BF98" s="37"/>
      <c r="BG98" s="37"/>
      <c r="BH98" s="37"/>
      <c r="BJ98" s="37"/>
      <c r="BK98" s="37"/>
      <c r="BL98" s="37"/>
      <c r="BM98" s="37"/>
      <c r="BN98" s="37"/>
      <c r="BO98" s="37"/>
      <c r="BQ98" s="37"/>
      <c r="BR98" s="37"/>
      <c r="BS98" s="37"/>
      <c r="BT98" s="37"/>
      <c r="BU98" s="37"/>
      <c r="BV98" s="37"/>
      <c r="BY98" s="42">
        <f t="shared" si="1"/>
        <v>400</v>
      </c>
      <c r="BZ98" s="37">
        <v>300</v>
      </c>
    </row>
    <row r="99" spans="1:78" ht="30" customHeight="1" x14ac:dyDescent="0.25">
      <c r="A99" s="108" t="str">
        <f>IF('11th Data'!A95="","",'11th Data'!A95)</f>
        <v/>
      </c>
      <c r="B99" s="108" t="str">
        <f>IF('11th Data'!J95="","",'11th Data'!J95)</f>
        <v/>
      </c>
      <c r="C99" s="108" t="str">
        <f>IF('11th Data'!D95="","",'11th Data'!D95)</f>
        <v/>
      </c>
      <c r="D99" s="40" t="str">
        <f>IF('11th Data'!E95="","",'11th Data'!E95)</f>
        <v/>
      </c>
      <c r="E99" s="40" t="str">
        <f>IF('11th Data'!F95="","",'11th Data'!F95)</f>
        <v/>
      </c>
      <c r="F99" s="40" t="str">
        <f>IF('11th Data'!G95="","",'11th Data'!G95)</f>
        <v/>
      </c>
      <c r="G99" s="108" t="str">
        <f>IF('11th Data'!H95="","",'11th Data'!H95)</f>
        <v/>
      </c>
      <c r="H99" s="41" t="str">
        <f>IF('11th Data'!I95="","",'11th Data'!I95)</f>
        <v/>
      </c>
      <c r="I99" s="108" t="str">
        <f>IF('11th Data'!K95="","",'11th Data'!K95)</f>
        <v/>
      </c>
      <c r="K99" s="37"/>
      <c r="L99" s="37"/>
      <c r="M99" s="37"/>
      <c r="N99" s="37"/>
      <c r="O99" s="37"/>
      <c r="P99" s="37"/>
      <c r="R99" s="37"/>
      <c r="S99" s="37"/>
      <c r="T99" s="37"/>
      <c r="U99" s="37"/>
      <c r="V99" s="37"/>
      <c r="W99" s="37"/>
      <c r="Y99" s="109"/>
      <c r="Z99" s="37"/>
      <c r="AA99" s="37"/>
      <c r="AB99" s="37"/>
      <c r="AC99" s="37"/>
      <c r="AD99" s="37"/>
      <c r="AE99" s="37"/>
      <c r="AF99" s="37"/>
      <c r="AG99" s="37"/>
      <c r="AI99" s="109"/>
      <c r="AJ99" s="37"/>
      <c r="AK99" s="37"/>
      <c r="AL99" s="37"/>
      <c r="AM99" s="37"/>
      <c r="AN99" s="37"/>
      <c r="AO99" s="37"/>
      <c r="AP99" s="37"/>
      <c r="AQ99" s="37"/>
      <c r="AS99" s="109"/>
      <c r="AT99" s="37"/>
      <c r="AU99" s="37"/>
      <c r="AV99" s="37"/>
      <c r="AW99" s="37"/>
      <c r="AX99" s="37"/>
      <c r="AY99" s="37"/>
      <c r="AZ99" s="37"/>
      <c r="BA99" s="37"/>
      <c r="BC99" s="37"/>
      <c r="BD99" s="37"/>
      <c r="BE99" s="37"/>
      <c r="BF99" s="37"/>
      <c r="BG99" s="37"/>
      <c r="BH99" s="37"/>
      <c r="BJ99" s="37"/>
      <c r="BK99" s="37"/>
      <c r="BL99" s="37"/>
      <c r="BM99" s="37"/>
      <c r="BN99" s="37"/>
      <c r="BO99" s="37"/>
      <c r="BQ99" s="37"/>
      <c r="BR99" s="37"/>
      <c r="BS99" s="37"/>
      <c r="BT99" s="37"/>
      <c r="BU99" s="37"/>
      <c r="BV99" s="37"/>
      <c r="BY99" s="42">
        <f t="shared" si="1"/>
        <v>400</v>
      </c>
      <c r="BZ99" s="37">
        <v>300</v>
      </c>
    </row>
    <row r="100" spans="1:78" ht="30" customHeight="1" x14ac:dyDescent="0.25">
      <c r="A100" s="108" t="str">
        <f>IF('11th Data'!A96="","",'11th Data'!A96)</f>
        <v/>
      </c>
      <c r="B100" s="108" t="str">
        <f>IF('11th Data'!J96="","",'11th Data'!J96)</f>
        <v/>
      </c>
      <c r="C100" s="108" t="str">
        <f>IF('11th Data'!D96="","",'11th Data'!D96)</f>
        <v/>
      </c>
      <c r="D100" s="40" t="str">
        <f>IF('11th Data'!E96="","",'11th Data'!E96)</f>
        <v/>
      </c>
      <c r="E100" s="40" t="str">
        <f>IF('11th Data'!F96="","",'11th Data'!F96)</f>
        <v/>
      </c>
      <c r="F100" s="40" t="str">
        <f>IF('11th Data'!G96="","",'11th Data'!G96)</f>
        <v/>
      </c>
      <c r="G100" s="108" t="str">
        <f>IF('11th Data'!H96="","",'11th Data'!H96)</f>
        <v/>
      </c>
      <c r="H100" s="41" t="str">
        <f>IF('11th Data'!I96="","",'11th Data'!I96)</f>
        <v/>
      </c>
      <c r="I100" s="108" t="str">
        <f>IF('11th Data'!K96="","",'11th Data'!K96)</f>
        <v/>
      </c>
      <c r="K100" s="37"/>
      <c r="L100" s="37"/>
      <c r="M100" s="37"/>
      <c r="N100" s="37"/>
      <c r="O100" s="37"/>
      <c r="P100" s="37"/>
      <c r="R100" s="37"/>
      <c r="S100" s="37"/>
      <c r="T100" s="37"/>
      <c r="U100" s="37"/>
      <c r="V100" s="37"/>
      <c r="W100" s="37"/>
      <c r="Y100" s="109"/>
      <c r="Z100" s="37"/>
      <c r="AA100" s="37"/>
      <c r="AB100" s="37"/>
      <c r="AC100" s="37"/>
      <c r="AD100" s="37"/>
      <c r="AE100" s="37"/>
      <c r="AF100" s="37"/>
      <c r="AG100" s="37"/>
      <c r="AI100" s="109"/>
      <c r="AJ100" s="37"/>
      <c r="AK100" s="37"/>
      <c r="AL100" s="37"/>
      <c r="AM100" s="37"/>
      <c r="AN100" s="37"/>
      <c r="AO100" s="37"/>
      <c r="AP100" s="37"/>
      <c r="AQ100" s="37"/>
      <c r="AS100" s="109"/>
      <c r="AT100" s="37"/>
      <c r="AU100" s="37"/>
      <c r="AV100" s="37"/>
      <c r="AW100" s="37"/>
      <c r="AX100" s="37"/>
      <c r="AY100" s="37"/>
      <c r="AZ100" s="37"/>
      <c r="BA100" s="37"/>
      <c r="BC100" s="37"/>
      <c r="BD100" s="37"/>
      <c r="BE100" s="37"/>
      <c r="BF100" s="37"/>
      <c r="BG100" s="37"/>
      <c r="BH100" s="37"/>
      <c r="BJ100" s="37"/>
      <c r="BK100" s="37"/>
      <c r="BL100" s="37"/>
      <c r="BM100" s="37"/>
      <c r="BN100" s="37"/>
      <c r="BO100" s="37"/>
      <c r="BQ100" s="37"/>
      <c r="BR100" s="37"/>
      <c r="BS100" s="37"/>
      <c r="BT100" s="37"/>
      <c r="BU100" s="37"/>
      <c r="BV100" s="37"/>
      <c r="BY100" s="42">
        <f t="shared" si="1"/>
        <v>400</v>
      </c>
      <c r="BZ100" s="37">
        <v>300</v>
      </c>
    </row>
    <row r="101" spans="1:78" ht="30" customHeight="1" x14ac:dyDescent="0.25">
      <c r="A101" s="108" t="str">
        <f>IF('11th Data'!A97="","",'11th Data'!A97)</f>
        <v/>
      </c>
      <c r="B101" s="108" t="str">
        <f>IF('11th Data'!J97="","",'11th Data'!J97)</f>
        <v/>
      </c>
      <c r="C101" s="108" t="str">
        <f>IF('11th Data'!D97="","",'11th Data'!D97)</f>
        <v/>
      </c>
      <c r="D101" s="40" t="str">
        <f>IF('11th Data'!E97="","",'11th Data'!E97)</f>
        <v/>
      </c>
      <c r="E101" s="40" t="str">
        <f>IF('11th Data'!F97="","",'11th Data'!F97)</f>
        <v/>
      </c>
      <c r="F101" s="40" t="str">
        <f>IF('11th Data'!G97="","",'11th Data'!G97)</f>
        <v/>
      </c>
      <c r="G101" s="108" t="str">
        <f>IF('11th Data'!H97="","",'11th Data'!H97)</f>
        <v/>
      </c>
      <c r="H101" s="41" t="str">
        <f>IF('11th Data'!I97="","",'11th Data'!I97)</f>
        <v/>
      </c>
      <c r="I101" s="108" t="str">
        <f>IF('11th Data'!K97="","",'11th Data'!K97)</f>
        <v/>
      </c>
      <c r="K101" s="37"/>
      <c r="L101" s="37"/>
      <c r="M101" s="37"/>
      <c r="N101" s="37"/>
      <c r="O101" s="37"/>
      <c r="P101" s="37"/>
      <c r="R101" s="37"/>
      <c r="S101" s="37"/>
      <c r="T101" s="37"/>
      <c r="U101" s="37"/>
      <c r="V101" s="37"/>
      <c r="W101" s="37"/>
      <c r="Y101" s="109"/>
      <c r="Z101" s="37"/>
      <c r="AA101" s="37"/>
      <c r="AB101" s="37"/>
      <c r="AC101" s="37"/>
      <c r="AD101" s="37"/>
      <c r="AE101" s="37"/>
      <c r="AF101" s="37"/>
      <c r="AG101" s="37"/>
      <c r="AI101" s="109"/>
      <c r="AJ101" s="37"/>
      <c r="AK101" s="37"/>
      <c r="AL101" s="37"/>
      <c r="AM101" s="37"/>
      <c r="AN101" s="37"/>
      <c r="AO101" s="37"/>
      <c r="AP101" s="37"/>
      <c r="AQ101" s="37"/>
      <c r="AS101" s="109"/>
      <c r="AT101" s="37"/>
      <c r="AU101" s="37"/>
      <c r="AV101" s="37"/>
      <c r="AW101" s="37"/>
      <c r="AX101" s="37"/>
      <c r="AY101" s="37"/>
      <c r="AZ101" s="37"/>
      <c r="BA101" s="37"/>
      <c r="BC101" s="37"/>
      <c r="BD101" s="37"/>
      <c r="BE101" s="37"/>
      <c r="BF101" s="37"/>
      <c r="BG101" s="37"/>
      <c r="BH101" s="37"/>
      <c r="BJ101" s="37"/>
      <c r="BK101" s="37"/>
      <c r="BL101" s="37"/>
      <c r="BM101" s="37"/>
      <c r="BN101" s="37"/>
      <c r="BO101" s="37"/>
      <c r="BQ101" s="37"/>
      <c r="BR101" s="37"/>
      <c r="BS101" s="37"/>
      <c r="BT101" s="37"/>
      <c r="BU101" s="37"/>
      <c r="BV101" s="37"/>
      <c r="BY101" s="42">
        <f t="shared" si="1"/>
        <v>400</v>
      </c>
      <c r="BZ101" s="37">
        <v>300</v>
      </c>
    </row>
    <row r="102" spans="1:78" ht="30" customHeight="1" x14ac:dyDescent="0.25">
      <c r="A102" s="108" t="str">
        <f>IF('11th Data'!A98="","",'11th Data'!A98)</f>
        <v/>
      </c>
      <c r="B102" s="108" t="str">
        <f>IF('11th Data'!J98="","",'11th Data'!J98)</f>
        <v/>
      </c>
      <c r="C102" s="108" t="str">
        <f>IF('11th Data'!D98="","",'11th Data'!D98)</f>
        <v/>
      </c>
      <c r="D102" s="40" t="str">
        <f>IF('11th Data'!E98="","",'11th Data'!E98)</f>
        <v/>
      </c>
      <c r="E102" s="40" t="str">
        <f>IF('11th Data'!F98="","",'11th Data'!F98)</f>
        <v/>
      </c>
      <c r="F102" s="40" t="str">
        <f>IF('11th Data'!G98="","",'11th Data'!G98)</f>
        <v/>
      </c>
      <c r="G102" s="108" t="str">
        <f>IF('11th Data'!H98="","",'11th Data'!H98)</f>
        <v/>
      </c>
      <c r="H102" s="41" t="str">
        <f>IF('11th Data'!I98="","",'11th Data'!I98)</f>
        <v/>
      </c>
      <c r="I102" s="108" t="str">
        <f>IF('11th Data'!K98="","",'11th Data'!K98)</f>
        <v/>
      </c>
      <c r="K102" s="37"/>
      <c r="L102" s="37"/>
      <c r="M102" s="37"/>
      <c r="N102" s="37"/>
      <c r="O102" s="37"/>
      <c r="P102" s="37"/>
      <c r="R102" s="37"/>
      <c r="S102" s="37"/>
      <c r="T102" s="37"/>
      <c r="U102" s="37"/>
      <c r="V102" s="37"/>
      <c r="W102" s="37"/>
      <c r="Y102" s="109"/>
      <c r="Z102" s="37"/>
      <c r="AA102" s="37"/>
      <c r="AB102" s="37"/>
      <c r="AC102" s="37"/>
      <c r="AD102" s="37"/>
      <c r="AE102" s="37"/>
      <c r="AF102" s="37"/>
      <c r="AG102" s="37"/>
      <c r="AI102" s="109"/>
      <c r="AJ102" s="37"/>
      <c r="AK102" s="37"/>
      <c r="AL102" s="37"/>
      <c r="AM102" s="37"/>
      <c r="AN102" s="37"/>
      <c r="AO102" s="37"/>
      <c r="AP102" s="37"/>
      <c r="AQ102" s="37"/>
      <c r="AS102" s="109"/>
      <c r="AT102" s="37"/>
      <c r="AU102" s="37"/>
      <c r="AV102" s="37"/>
      <c r="AW102" s="37"/>
      <c r="AX102" s="37"/>
      <c r="AY102" s="37"/>
      <c r="AZ102" s="37"/>
      <c r="BA102" s="37"/>
      <c r="BC102" s="37"/>
      <c r="BD102" s="37"/>
      <c r="BE102" s="37"/>
      <c r="BF102" s="37"/>
      <c r="BG102" s="37"/>
      <c r="BH102" s="37"/>
      <c r="BJ102" s="37"/>
      <c r="BK102" s="37"/>
      <c r="BL102" s="37"/>
      <c r="BM102" s="37"/>
      <c r="BN102" s="37"/>
      <c r="BO102" s="37"/>
      <c r="BQ102" s="37"/>
      <c r="BR102" s="37"/>
      <c r="BS102" s="37"/>
      <c r="BT102" s="37"/>
      <c r="BU102" s="37"/>
      <c r="BV102" s="37"/>
      <c r="BY102" s="42">
        <f t="shared" si="1"/>
        <v>400</v>
      </c>
      <c r="BZ102" s="37">
        <v>300</v>
      </c>
    </row>
    <row r="103" spans="1:78" ht="30" customHeight="1" x14ac:dyDescent="0.25">
      <c r="A103" s="108" t="str">
        <f>IF('11th Data'!A99="","",'11th Data'!A99)</f>
        <v/>
      </c>
      <c r="B103" s="108" t="str">
        <f>IF('11th Data'!J99="","",'11th Data'!J99)</f>
        <v/>
      </c>
      <c r="C103" s="108" t="str">
        <f>IF('11th Data'!D99="","",'11th Data'!D99)</f>
        <v/>
      </c>
      <c r="D103" s="40" t="str">
        <f>IF('11th Data'!E99="","",'11th Data'!E99)</f>
        <v/>
      </c>
      <c r="E103" s="40" t="str">
        <f>IF('11th Data'!F99="","",'11th Data'!F99)</f>
        <v/>
      </c>
      <c r="F103" s="40" t="str">
        <f>IF('11th Data'!G99="","",'11th Data'!G99)</f>
        <v/>
      </c>
      <c r="G103" s="108" t="str">
        <f>IF('11th Data'!H99="","",'11th Data'!H99)</f>
        <v/>
      </c>
      <c r="H103" s="41" t="str">
        <f>IF('11th Data'!I99="","",'11th Data'!I99)</f>
        <v/>
      </c>
      <c r="I103" s="108" t="str">
        <f>IF('11th Data'!K99="","",'11th Data'!K99)</f>
        <v/>
      </c>
      <c r="K103" s="37"/>
      <c r="L103" s="37"/>
      <c r="M103" s="37"/>
      <c r="N103" s="37"/>
      <c r="O103" s="37"/>
      <c r="P103" s="37"/>
      <c r="R103" s="37"/>
      <c r="S103" s="37"/>
      <c r="T103" s="37"/>
      <c r="U103" s="37"/>
      <c r="V103" s="37"/>
      <c r="W103" s="37"/>
      <c r="Y103" s="109"/>
      <c r="Z103" s="37"/>
      <c r="AA103" s="37"/>
      <c r="AB103" s="37"/>
      <c r="AC103" s="37"/>
      <c r="AD103" s="37"/>
      <c r="AE103" s="37"/>
      <c r="AF103" s="37"/>
      <c r="AG103" s="37"/>
      <c r="AI103" s="109"/>
      <c r="AJ103" s="37"/>
      <c r="AK103" s="37"/>
      <c r="AL103" s="37"/>
      <c r="AM103" s="37"/>
      <c r="AN103" s="37"/>
      <c r="AO103" s="37"/>
      <c r="AP103" s="37"/>
      <c r="AQ103" s="37"/>
      <c r="AS103" s="109"/>
      <c r="AT103" s="37"/>
      <c r="AU103" s="37"/>
      <c r="AV103" s="37"/>
      <c r="AW103" s="37"/>
      <c r="AX103" s="37"/>
      <c r="AY103" s="37"/>
      <c r="AZ103" s="37"/>
      <c r="BA103" s="37"/>
      <c r="BC103" s="37"/>
      <c r="BD103" s="37"/>
      <c r="BE103" s="37"/>
      <c r="BF103" s="37"/>
      <c r="BG103" s="37"/>
      <c r="BH103" s="37"/>
      <c r="BJ103" s="37"/>
      <c r="BK103" s="37"/>
      <c r="BL103" s="37"/>
      <c r="BM103" s="37"/>
      <c r="BN103" s="37"/>
      <c r="BO103" s="37"/>
      <c r="BQ103" s="37"/>
      <c r="BR103" s="37"/>
      <c r="BS103" s="37"/>
      <c r="BT103" s="37"/>
      <c r="BU103" s="37"/>
      <c r="BV103" s="37"/>
      <c r="BY103" s="42">
        <f t="shared" si="1"/>
        <v>400</v>
      </c>
      <c r="BZ103" s="37">
        <v>300</v>
      </c>
    </row>
    <row r="104" spans="1:78" ht="30" customHeight="1" x14ac:dyDescent="0.25">
      <c r="A104" s="108" t="str">
        <f>IF('11th Data'!A100="","",'11th Data'!A100)</f>
        <v/>
      </c>
      <c r="B104" s="108" t="str">
        <f>IF('11th Data'!J100="","",'11th Data'!J100)</f>
        <v/>
      </c>
      <c r="C104" s="108" t="str">
        <f>IF('11th Data'!D100="","",'11th Data'!D100)</f>
        <v/>
      </c>
      <c r="D104" s="40" t="str">
        <f>IF('11th Data'!E100="","",'11th Data'!E100)</f>
        <v/>
      </c>
      <c r="E104" s="40" t="str">
        <f>IF('11th Data'!F100="","",'11th Data'!F100)</f>
        <v/>
      </c>
      <c r="F104" s="40" t="str">
        <f>IF('11th Data'!G100="","",'11th Data'!G100)</f>
        <v/>
      </c>
      <c r="G104" s="108" t="str">
        <f>IF('11th Data'!H100="","",'11th Data'!H100)</f>
        <v/>
      </c>
      <c r="H104" s="41" t="str">
        <f>IF('11th Data'!I100="","",'11th Data'!I100)</f>
        <v/>
      </c>
      <c r="I104" s="108" t="str">
        <f>IF('11th Data'!K100="","",'11th Data'!K100)</f>
        <v/>
      </c>
      <c r="K104" s="37"/>
      <c r="L104" s="37"/>
      <c r="M104" s="37"/>
      <c r="N104" s="37"/>
      <c r="O104" s="37"/>
      <c r="P104" s="37"/>
      <c r="R104" s="37"/>
      <c r="S104" s="37"/>
      <c r="T104" s="37"/>
      <c r="U104" s="37"/>
      <c r="V104" s="37"/>
      <c r="W104" s="37"/>
      <c r="Y104" s="109"/>
      <c r="Z104" s="37"/>
      <c r="AA104" s="37"/>
      <c r="AB104" s="37"/>
      <c r="AC104" s="37"/>
      <c r="AD104" s="37"/>
      <c r="AE104" s="37"/>
      <c r="AF104" s="37"/>
      <c r="AG104" s="37"/>
      <c r="AI104" s="109"/>
      <c r="AJ104" s="37"/>
      <c r="AK104" s="37"/>
      <c r="AL104" s="37"/>
      <c r="AM104" s="37"/>
      <c r="AN104" s="37"/>
      <c r="AO104" s="37"/>
      <c r="AP104" s="37"/>
      <c r="AQ104" s="37"/>
      <c r="AS104" s="109"/>
      <c r="AT104" s="37"/>
      <c r="AU104" s="37"/>
      <c r="AV104" s="37"/>
      <c r="AW104" s="37"/>
      <c r="AX104" s="37"/>
      <c r="AY104" s="37"/>
      <c r="AZ104" s="37"/>
      <c r="BA104" s="37"/>
      <c r="BC104" s="37"/>
      <c r="BD104" s="37"/>
      <c r="BE104" s="37"/>
      <c r="BF104" s="37"/>
      <c r="BG104" s="37"/>
      <c r="BH104" s="37"/>
      <c r="BJ104" s="37"/>
      <c r="BK104" s="37"/>
      <c r="BL104" s="37"/>
      <c r="BM104" s="37"/>
      <c r="BN104" s="37"/>
      <c r="BO104" s="37"/>
      <c r="BQ104" s="37"/>
      <c r="BR104" s="37"/>
      <c r="BS104" s="37"/>
      <c r="BT104" s="37"/>
      <c r="BU104" s="37"/>
      <c r="BV104" s="37"/>
      <c r="BY104" s="42">
        <f t="shared" si="1"/>
        <v>400</v>
      </c>
      <c r="BZ104" s="37">
        <v>300</v>
      </c>
    </row>
    <row r="105" spans="1:78" ht="30" customHeight="1" x14ac:dyDescent="0.25">
      <c r="A105" s="108" t="str">
        <f>IF('11th Data'!A101="","",'11th Data'!A101)</f>
        <v/>
      </c>
      <c r="B105" s="108" t="str">
        <f>IF('11th Data'!J101="","",'11th Data'!J101)</f>
        <v/>
      </c>
      <c r="C105" s="108" t="str">
        <f>IF('11th Data'!D101="","",'11th Data'!D101)</f>
        <v/>
      </c>
      <c r="D105" s="40" t="str">
        <f>IF('11th Data'!E101="","",'11th Data'!E101)</f>
        <v/>
      </c>
      <c r="E105" s="40" t="str">
        <f>IF('11th Data'!F101="","",'11th Data'!F101)</f>
        <v/>
      </c>
      <c r="F105" s="40" t="str">
        <f>IF('11th Data'!G101="","",'11th Data'!G101)</f>
        <v/>
      </c>
      <c r="G105" s="108" t="str">
        <f>IF('11th Data'!H101="","",'11th Data'!H101)</f>
        <v/>
      </c>
      <c r="H105" s="41" t="str">
        <f>IF('11th Data'!I101="","",'11th Data'!I101)</f>
        <v/>
      </c>
      <c r="I105" s="108" t="str">
        <f>IF('11th Data'!K101="","",'11th Data'!K101)</f>
        <v/>
      </c>
      <c r="K105" s="37"/>
      <c r="L105" s="37"/>
      <c r="M105" s="37"/>
      <c r="N105" s="37"/>
      <c r="O105" s="37"/>
      <c r="P105" s="37"/>
      <c r="R105" s="37"/>
      <c r="S105" s="37"/>
      <c r="T105" s="37"/>
      <c r="U105" s="37"/>
      <c r="V105" s="37"/>
      <c r="W105" s="37"/>
      <c r="Y105" s="109"/>
      <c r="Z105" s="37"/>
      <c r="AA105" s="37"/>
      <c r="AB105" s="37"/>
      <c r="AC105" s="37"/>
      <c r="AD105" s="37"/>
      <c r="AE105" s="37"/>
      <c r="AF105" s="37"/>
      <c r="AG105" s="37"/>
      <c r="AI105" s="109"/>
      <c r="AJ105" s="37"/>
      <c r="AK105" s="37"/>
      <c r="AL105" s="37"/>
      <c r="AM105" s="37"/>
      <c r="AN105" s="37"/>
      <c r="AO105" s="37"/>
      <c r="AP105" s="37"/>
      <c r="AQ105" s="37"/>
      <c r="AS105" s="109"/>
      <c r="AT105" s="37"/>
      <c r="AU105" s="37"/>
      <c r="AV105" s="37"/>
      <c r="AW105" s="37"/>
      <c r="AX105" s="37"/>
      <c r="AY105" s="37"/>
      <c r="AZ105" s="37"/>
      <c r="BA105" s="37"/>
      <c r="BC105" s="37"/>
      <c r="BD105" s="37"/>
      <c r="BE105" s="37"/>
      <c r="BF105" s="37"/>
      <c r="BG105" s="37"/>
      <c r="BH105" s="37"/>
      <c r="BJ105" s="37"/>
      <c r="BK105" s="37"/>
      <c r="BL105" s="37"/>
      <c r="BM105" s="37"/>
      <c r="BN105" s="37"/>
      <c r="BO105" s="37"/>
      <c r="BQ105" s="37"/>
      <c r="BR105" s="37"/>
      <c r="BS105" s="37"/>
      <c r="BT105" s="37"/>
      <c r="BU105" s="37"/>
      <c r="BV105" s="37"/>
      <c r="BY105" s="42">
        <f t="shared" si="1"/>
        <v>400</v>
      </c>
      <c r="BZ105" s="37">
        <v>300</v>
      </c>
    </row>
    <row r="106" spans="1:78" ht="30" customHeight="1" x14ac:dyDescent="0.25">
      <c r="A106" s="108" t="str">
        <f>IF('11th Data'!A102="","",'11th Data'!A102)</f>
        <v/>
      </c>
      <c r="B106" s="108" t="str">
        <f>IF('11th Data'!J102="","",'11th Data'!J102)</f>
        <v/>
      </c>
      <c r="C106" s="108" t="str">
        <f>IF('11th Data'!D102="","",'11th Data'!D102)</f>
        <v/>
      </c>
      <c r="D106" s="40" t="str">
        <f>IF('11th Data'!E102="","",'11th Data'!E102)</f>
        <v/>
      </c>
      <c r="E106" s="40" t="str">
        <f>IF('11th Data'!F102="","",'11th Data'!F102)</f>
        <v/>
      </c>
      <c r="F106" s="40" t="str">
        <f>IF('11th Data'!G102="","",'11th Data'!G102)</f>
        <v/>
      </c>
      <c r="G106" s="108" t="str">
        <f>IF('11th Data'!H102="","",'11th Data'!H102)</f>
        <v/>
      </c>
      <c r="H106" s="41" t="str">
        <f>IF('11th Data'!I102="","",'11th Data'!I102)</f>
        <v/>
      </c>
      <c r="I106" s="108" t="str">
        <f>IF('11th Data'!K102="","",'11th Data'!K102)</f>
        <v/>
      </c>
      <c r="K106" s="37"/>
      <c r="L106" s="37"/>
      <c r="M106" s="37"/>
      <c r="N106" s="37"/>
      <c r="O106" s="37"/>
      <c r="P106" s="37"/>
      <c r="R106" s="37"/>
      <c r="S106" s="37"/>
      <c r="T106" s="37"/>
      <c r="U106" s="37"/>
      <c r="V106" s="37"/>
      <c r="W106" s="37"/>
      <c r="Y106" s="109"/>
      <c r="Z106" s="37"/>
      <c r="AA106" s="37"/>
      <c r="AB106" s="37"/>
      <c r="AC106" s="37"/>
      <c r="AD106" s="37"/>
      <c r="AE106" s="37"/>
      <c r="AF106" s="37"/>
      <c r="AG106" s="37"/>
      <c r="AI106" s="109"/>
      <c r="AJ106" s="37"/>
      <c r="AK106" s="37"/>
      <c r="AL106" s="37"/>
      <c r="AM106" s="37"/>
      <c r="AN106" s="37"/>
      <c r="AO106" s="37"/>
      <c r="AP106" s="37"/>
      <c r="AQ106" s="37"/>
      <c r="AS106" s="109"/>
      <c r="AT106" s="37"/>
      <c r="AU106" s="37"/>
      <c r="AV106" s="37"/>
      <c r="AW106" s="37"/>
      <c r="AX106" s="37"/>
      <c r="AY106" s="37"/>
      <c r="AZ106" s="37"/>
      <c r="BA106" s="37"/>
      <c r="BC106" s="37"/>
      <c r="BD106" s="37"/>
      <c r="BE106" s="37"/>
      <c r="BF106" s="37"/>
      <c r="BG106" s="37"/>
      <c r="BH106" s="37"/>
      <c r="BJ106" s="37"/>
      <c r="BK106" s="37"/>
      <c r="BL106" s="37"/>
      <c r="BM106" s="37"/>
      <c r="BN106" s="37"/>
      <c r="BO106" s="37"/>
      <c r="BQ106" s="37"/>
      <c r="BR106" s="37"/>
      <c r="BS106" s="37"/>
      <c r="BT106" s="37"/>
      <c r="BU106" s="37"/>
      <c r="BV106" s="37"/>
      <c r="BY106" s="42">
        <f t="shared" si="1"/>
        <v>400</v>
      </c>
      <c r="BZ106" s="37">
        <v>300</v>
      </c>
    </row>
    <row r="107" spans="1:78" ht="30" customHeight="1" x14ac:dyDescent="0.25">
      <c r="A107" s="108" t="str">
        <f>IF('11th Data'!A103="","",'11th Data'!A103)</f>
        <v/>
      </c>
      <c r="B107" s="108" t="str">
        <f>IF('11th Data'!J103="","",'11th Data'!J103)</f>
        <v/>
      </c>
      <c r="C107" s="108" t="str">
        <f>IF('11th Data'!D103="","",'11th Data'!D103)</f>
        <v/>
      </c>
      <c r="D107" s="40" t="str">
        <f>IF('11th Data'!E103="","",'11th Data'!E103)</f>
        <v/>
      </c>
      <c r="E107" s="40" t="str">
        <f>IF('11th Data'!F103="","",'11th Data'!F103)</f>
        <v/>
      </c>
      <c r="F107" s="40" t="str">
        <f>IF('11th Data'!G103="","",'11th Data'!G103)</f>
        <v/>
      </c>
      <c r="G107" s="108" t="str">
        <f>IF('11th Data'!H103="","",'11th Data'!H103)</f>
        <v/>
      </c>
      <c r="H107" s="41" t="str">
        <f>IF('11th Data'!I103="","",'11th Data'!I103)</f>
        <v/>
      </c>
      <c r="I107" s="108" t="str">
        <f>IF('11th Data'!K103="","",'11th Data'!K103)</f>
        <v/>
      </c>
      <c r="K107" s="37"/>
      <c r="L107" s="37"/>
      <c r="M107" s="37"/>
      <c r="N107" s="37"/>
      <c r="O107" s="37"/>
      <c r="P107" s="37"/>
      <c r="R107" s="37"/>
      <c r="S107" s="37"/>
      <c r="T107" s="37"/>
      <c r="U107" s="37"/>
      <c r="V107" s="37"/>
      <c r="W107" s="37"/>
      <c r="Y107" s="109"/>
      <c r="Z107" s="37"/>
      <c r="AA107" s="37"/>
      <c r="AB107" s="37"/>
      <c r="AC107" s="37"/>
      <c r="AD107" s="37"/>
      <c r="AE107" s="37"/>
      <c r="AF107" s="37"/>
      <c r="AG107" s="37"/>
      <c r="AI107" s="109"/>
      <c r="AJ107" s="37"/>
      <c r="AK107" s="37"/>
      <c r="AL107" s="37"/>
      <c r="AM107" s="37"/>
      <c r="AN107" s="37"/>
      <c r="AO107" s="37"/>
      <c r="AP107" s="37"/>
      <c r="AQ107" s="37"/>
      <c r="AS107" s="109"/>
      <c r="AT107" s="37"/>
      <c r="AU107" s="37"/>
      <c r="AV107" s="37"/>
      <c r="AW107" s="37"/>
      <c r="AX107" s="37"/>
      <c r="AY107" s="37"/>
      <c r="AZ107" s="37"/>
      <c r="BA107" s="37"/>
      <c r="BC107" s="37"/>
      <c r="BD107" s="37"/>
      <c r="BE107" s="37"/>
      <c r="BF107" s="37"/>
      <c r="BG107" s="37"/>
      <c r="BH107" s="37"/>
      <c r="BJ107" s="37"/>
      <c r="BK107" s="37"/>
      <c r="BL107" s="37"/>
      <c r="BM107" s="37"/>
      <c r="BN107" s="37"/>
      <c r="BO107" s="37"/>
      <c r="BQ107" s="37"/>
      <c r="BR107" s="37"/>
      <c r="BS107" s="37"/>
      <c r="BT107" s="37"/>
      <c r="BU107" s="37"/>
      <c r="BV107" s="37"/>
      <c r="BY107" s="42">
        <f t="shared" si="1"/>
        <v>400</v>
      </c>
      <c r="BZ107" s="37">
        <v>300</v>
      </c>
    </row>
    <row r="108" spans="1:78" ht="30" customHeight="1" x14ac:dyDescent="0.25">
      <c r="A108" s="108" t="str">
        <f>IF('11th Data'!A104="","",'11th Data'!A104)</f>
        <v/>
      </c>
      <c r="B108" s="108" t="str">
        <f>IF('11th Data'!J104="","",'11th Data'!J104)</f>
        <v/>
      </c>
      <c r="C108" s="108" t="str">
        <f>IF('11th Data'!D104="","",'11th Data'!D104)</f>
        <v/>
      </c>
      <c r="D108" s="40" t="str">
        <f>IF('11th Data'!E104="","",'11th Data'!E104)</f>
        <v/>
      </c>
      <c r="E108" s="40" t="str">
        <f>IF('11th Data'!F104="","",'11th Data'!F104)</f>
        <v/>
      </c>
      <c r="F108" s="40" t="str">
        <f>IF('11th Data'!G104="","",'11th Data'!G104)</f>
        <v/>
      </c>
      <c r="G108" s="108" t="str">
        <f>IF('11th Data'!H104="","",'11th Data'!H104)</f>
        <v/>
      </c>
      <c r="H108" s="41" t="str">
        <f>IF('11th Data'!I104="","",'11th Data'!I104)</f>
        <v/>
      </c>
      <c r="I108" s="108" t="str">
        <f>IF('11th Data'!K104="","",'11th Data'!K104)</f>
        <v/>
      </c>
      <c r="K108" s="37"/>
      <c r="L108" s="37"/>
      <c r="M108" s="37"/>
      <c r="N108" s="37"/>
      <c r="O108" s="37"/>
      <c r="P108" s="37"/>
      <c r="R108" s="37"/>
      <c r="S108" s="37"/>
      <c r="T108" s="37"/>
      <c r="U108" s="37"/>
      <c r="V108" s="37"/>
      <c r="W108" s="37"/>
      <c r="Y108" s="109"/>
      <c r="Z108" s="37"/>
      <c r="AA108" s="37"/>
      <c r="AB108" s="37"/>
      <c r="AC108" s="37"/>
      <c r="AD108" s="37"/>
      <c r="AE108" s="37"/>
      <c r="AF108" s="37"/>
      <c r="AG108" s="37"/>
      <c r="AI108" s="109"/>
      <c r="AJ108" s="37"/>
      <c r="AK108" s="37"/>
      <c r="AL108" s="37"/>
      <c r="AM108" s="37"/>
      <c r="AN108" s="37"/>
      <c r="AO108" s="37"/>
      <c r="AP108" s="37"/>
      <c r="AQ108" s="37"/>
      <c r="AS108" s="109"/>
      <c r="AT108" s="37"/>
      <c r="AU108" s="37"/>
      <c r="AV108" s="37"/>
      <c r="AW108" s="37"/>
      <c r="AX108" s="37"/>
      <c r="AY108" s="37"/>
      <c r="AZ108" s="37"/>
      <c r="BA108" s="37"/>
      <c r="BC108" s="37"/>
      <c r="BD108" s="37"/>
      <c r="BE108" s="37"/>
      <c r="BF108" s="37"/>
      <c r="BG108" s="37"/>
      <c r="BH108" s="37"/>
      <c r="BJ108" s="37"/>
      <c r="BK108" s="37"/>
      <c r="BL108" s="37"/>
      <c r="BM108" s="37"/>
      <c r="BN108" s="37"/>
      <c r="BO108" s="37"/>
      <c r="BQ108" s="37"/>
      <c r="BR108" s="37"/>
      <c r="BS108" s="37"/>
      <c r="BT108" s="37"/>
      <c r="BU108" s="37"/>
      <c r="BV108" s="37"/>
      <c r="BY108" s="42">
        <f t="shared" si="1"/>
        <v>400</v>
      </c>
      <c r="BZ108" s="37">
        <v>300</v>
      </c>
    </row>
    <row r="109" spans="1:78" ht="30" customHeight="1" x14ac:dyDescent="0.25">
      <c r="A109" s="108" t="str">
        <f>IF('11th Data'!A105="","",'11th Data'!A105)</f>
        <v/>
      </c>
      <c r="B109" s="108" t="str">
        <f>IF('11th Data'!J105="","",'11th Data'!J105)</f>
        <v/>
      </c>
      <c r="C109" s="108" t="str">
        <f>IF('11th Data'!D105="","",'11th Data'!D105)</f>
        <v/>
      </c>
      <c r="D109" s="40" t="str">
        <f>IF('11th Data'!E105="","",'11th Data'!E105)</f>
        <v/>
      </c>
      <c r="E109" s="40" t="str">
        <f>IF('11th Data'!F105="","",'11th Data'!F105)</f>
        <v/>
      </c>
      <c r="F109" s="40" t="str">
        <f>IF('11th Data'!G105="","",'11th Data'!G105)</f>
        <v/>
      </c>
      <c r="G109" s="108" t="str">
        <f>IF('11th Data'!H105="","",'11th Data'!H105)</f>
        <v/>
      </c>
      <c r="H109" s="41" t="str">
        <f>IF('11th Data'!I105="","",'11th Data'!I105)</f>
        <v/>
      </c>
      <c r="I109" s="108" t="str">
        <f>IF('11th Data'!K105="","",'11th Data'!K105)</f>
        <v/>
      </c>
      <c r="K109" s="37"/>
      <c r="L109" s="37"/>
      <c r="M109" s="37"/>
      <c r="N109" s="37"/>
      <c r="O109" s="37"/>
      <c r="P109" s="37"/>
      <c r="R109" s="37"/>
      <c r="S109" s="37"/>
      <c r="T109" s="37"/>
      <c r="U109" s="37"/>
      <c r="V109" s="37"/>
      <c r="W109" s="37"/>
      <c r="Y109" s="109"/>
      <c r="Z109" s="37"/>
      <c r="AA109" s="37"/>
      <c r="AB109" s="37"/>
      <c r="AC109" s="37"/>
      <c r="AD109" s="37"/>
      <c r="AE109" s="37"/>
      <c r="AF109" s="37"/>
      <c r="AG109" s="37"/>
      <c r="AI109" s="109"/>
      <c r="AJ109" s="37"/>
      <c r="AK109" s="37"/>
      <c r="AL109" s="37"/>
      <c r="AM109" s="37"/>
      <c r="AN109" s="37"/>
      <c r="AO109" s="37"/>
      <c r="AP109" s="37"/>
      <c r="AQ109" s="37"/>
      <c r="AS109" s="109"/>
      <c r="AT109" s="37"/>
      <c r="AU109" s="37"/>
      <c r="AV109" s="37"/>
      <c r="AW109" s="37"/>
      <c r="AX109" s="37"/>
      <c r="AY109" s="37"/>
      <c r="AZ109" s="37"/>
      <c r="BA109" s="37"/>
      <c r="BC109" s="37"/>
      <c r="BD109" s="37"/>
      <c r="BE109" s="37"/>
      <c r="BF109" s="37"/>
      <c r="BG109" s="37"/>
      <c r="BH109" s="37"/>
      <c r="BJ109" s="37"/>
      <c r="BK109" s="37"/>
      <c r="BL109" s="37"/>
      <c r="BM109" s="37"/>
      <c r="BN109" s="37"/>
      <c r="BO109" s="37"/>
      <c r="BQ109" s="37"/>
      <c r="BR109" s="37"/>
      <c r="BS109" s="37"/>
      <c r="BT109" s="37"/>
      <c r="BU109" s="37"/>
      <c r="BV109" s="37"/>
      <c r="BY109" s="42">
        <f t="shared" si="1"/>
        <v>400</v>
      </c>
      <c r="BZ109" s="37">
        <v>300</v>
      </c>
    </row>
    <row r="110" spans="1:78" ht="30" customHeight="1" x14ac:dyDescent="0.25"/>
  </sheetData>
  <sheetProtection password="DB75" sheet="1" objects="1" scenarios="1" selectLockedCells="1"/>
  <mergeCells count="69">
    <mergeCell ref="AS4:BA4"/>
    <mergeCell ref="Y2:AC2"/>
    <mergeCell ref="AD2:AG2"/>
    <mergeCell ref="AI5:AI8"/>
    <mergeCell ref="AI4:AQ4"/>
    <mergeCell ref="Y4:AG4"/>
    <mergeCell ref="Y5:Y8"/>
    <mergeCell ref="Z6:Z7"/>
    <mergeCell ref="AA6:AA7"/>
    <mergeCell ref="AB6:AD6"/>
    <mergeCell ref="Z5:AG5"/>
    <mergeCell ref="AE6:AG6"/>
    <mergeCell ref="AJ5:AQ5"/>
    <mergeCell ref="AL6:AN6"/>
    <mergeCell ref="AO6:AQ6"/>
    <mergeCell ref="AJ6:AJ7"/>
    <mergeCell ref="BC4:BH4"/>
    <mergeCell ref="BC6:BC7"/>
    <mergeCell ref="BD6:BD7"/>
    <mergeCell ref="BE6:BF6"/>
    <mergeCell ref="BC5:BH5"/>
    <mergeCell ref="BG6:BH6"/>
    <mergeCell ref="AT6:AT7"/>
    <mergeCell ref="AT5:BA5"/>
    <mergeCell ref="AS5:AS8"/>
    <mergeCell ref="R5:W5"/>
    <mergeCell ref="V6:W6"/>
    <mergeCell ref="AU6:AU7"/>
    <mergeCell ref="AV6:AX6"/>
    <mergeCell ref="AY6:BA6"/>
    <mergeCell ref="AK6:AK7"/>
    <mergeCell ref="A1:W1"/>
    <mergeCell ref="A2:W2"/>
    <mergeCell ref="R4:W4"/>
    <mergeCell ref="R6:R7"/>
    <mergeCell ref="S6:S7"/>
    <mergeCell ref="A3:W3"/>
    <mergeCell ref="K4:P4"/>
    <mergeCell ref="K5:P5"/>
    <mergeCell ref="O6:P6"/>
    <mergeCell ref="K6:K7"/>
    <mergeCell ref="L6:L7"/>
    <mergeCell ref="M6:N6"/>
    <mergeCell ref="T6:U6"/>
    <mergeCell ref="BJ4:BO4"/>
    <mergeCell ref="BQ4:BV4"/>
    <mergeCell ref="BJ6:BJ7"/>
    <mergeCell ref="BK6:BK7"/>
    <mergeCell ref="BL6:BM6"/>
    <mergeCell ref="BQ6:BQ7"/>
    <mergeCell ref="BR6:BR7"/>
    <mergeCell ref="BJ5:BO5"/>
    <mergeCell ref="BN6:BO6"/>
    <mergeCell ref="BY6:BY7"/>
    <mergeCell ref="BS6:BT6"/>
    <mergeCell ref="BY4:BZ5"/>
    <mergeCell ref="BZ6:BZ8"/>
    <mergeCell ref="BQ5:BV5"/>
    <mergeCell ref="BU6:BV6"/>
    <mergeCell ref="A8:I8"/>
    <mergeCell ref="H4:H7"/>
    <mergeCell ref="G4:G7"/>
    <mergeCell ref="F4:F7"/>
    <mergeCell ref="D4:D7"/>
    <mergeCell ref="C4:C7"/>
    <mergeCell ref="B4:B7"/>
    <mergeCell ref="I4:I7"/>
    <mergeCell ref="A4:A7"/>
    <mergeCell ref="E4:E7"/>
  </mergeCells>
  <conditionalFormatting sqref="BJ9:BO109 BQ9:BV109 BC9:BH109 K9:P109 R9:W109 Z9:AG109 AJ9:AQ109 AT9:BA109">
    <cfRule type="containsBlanks" dxfId="9" priority="4">
      <formula>LEN(TRIM(K9))=0</formula>
    </cfRule>
  </conditionalFormatting>
  <conditionalFormatting sqref="BY9:BZ109">
    <cfRule type="containsBlanks" dxfId="8" priority="1">
      <formula>LEN(TRIM(BY9))=0</formula>
    </cfRule>
  </conditionalFormatting>
  <dataValidations count="3">
    <dataValidation type="whole" allowBlank="1" showInputMessage="1" showErrorMessage="1" errorTitle="Number Format" error="Attendance should be in number format only" sqref="BY9:BZ109">
      <formula1>0</formula1>
      <formula2>800</formula2>
    </dataValidation>
    <dataValidation type="list" allowBlank="1" showInputMessage="1" showErrorMessage="1" sqref="AD2:AG2">
      <formula1>stream_name</formula1>
    </dataValidation>
    <dataValidation type="list" allowBlank="1" showInputMessage="1" showErrorMessage="1" sqref="AS9:AS109 AI9:AI109 Y9:Y109">
      <formula1>INDIRECT($AD$2)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Z120"/>
  <sheetViews>
    <sheetView view="pageBreakPreview" zoomScale="55" zoomScaleNormal="70" zoomScaleSheetLayoutView="5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D115" sqref="AD115"/>
    </sheetView>
  </sheetViews>
  <sheetFormatPr defaultColWidth="0" defaultRowHeight="30" customHeight="1" zeroHeight="1" x14ac:dyDescent="0.25"/>
  <cols>
    <col min="1" max="1" width="6.42578125" style="55" bestFit="1" customWidth="1"/>
    <col min="2" max="3" width="9.140625" style="55" customWidth="1"/>
    <col min="4" max="6" width="25.7109375" style="137" customWidth="1"/>
    <col min="7" max="7" width="5.85546875" style="55" customWidth="1"/>
    <col min="8" max="8" width="10.7109375" style="138" bestFit="1" customWidth="1"/>
    <col min="9" max="9" width="6" style="55" customWidth="1"/>
    <col min="10" max="16" width="6.7109375" style="58" customWidth="1"/>
    <col min="17" max="23" width="6.7109375" style="55" customWidth="1"/>
    <col min="24" max="24" width="10.7109375" style="55" customWidth="1"/>
    <col min="25" max="35" width="6.7109375" style="55" customWidth="1"/>
    <col min="36" max="36" width="10.7109375" style="55" customWidth="1"/>
    <col min="37" max="47" width="6.7109375" style="55" customWidth="1"/>
    <col min="48" max="48" width="10.7109375" style="55" customWidth="1"/>
    <col min="49" max="60" width="6.7109375" style="55" customWidth="1"/>
    <col min="61" max="61" width="9.5703125" style="139" customWidth="1"/>
    <col min="62" max="62" width="14.42578125" style="55" bestFit="1" customWidth="1"/>
    <col min="63" max="73" width="6.7109375" style="55" customWidth="1"/>
    <col min="74" max="87" width="6.7109375" style="35" customWidth="1"/>
    <col min="88" max="88" width="2.7109375" style="55" customWidth="1"/>
    <col min="89" max="89" width="9.42578125" style="55" hidden="1" customWidth="1"/>
    <col min="90" max="90" width="2.7109375" style="55" hidden="1" customWidth="1"/>
    <col min="91" max="95" width="6.7109375" style="55" hidden="1" customWidth="1"/>
    <col min="96" max="96" width="2.7109375" style="35" hidden="1" customWidth="1"/>
    <col min="97" max="100" width="6.7109375" style="55" hidden="1" customWidth="1"/>
    <col min="101" max="101" width="2.7109375" style="55" hidden="1" customWidth="1"/>
    <col min="102" max="106" width="6.7109375" style="55" hidden="1" customWidth="1"/>
    <col min="107" max="107" width="2.7109375" style="55" hidden="1" customWidth="1"/>
    <col min="108" max="120" width="6.7109375" style="55" hidden="1" customWidth="1"/>
    <col min="121" max="121" width="2.7109375" style="55" hidden="1" customWidth="1"/>
    <col min="122" max="122" width="30.7109375" style="55" hidden="1" customWidth="1"/>
    <col min="123" max="123" width="2.7109375" style="55" hidden="1" customWidth="1"/>
    <col min="124" max="124" width="30.7109375" style="55" hidden="1" customWidth="1"/>
    <col min="125" max="125" width="2.7109375" style="55" hidden="1" customWidth="1"/>
    <col min="126" max="126" width="30.7109375" style="55" hidden="1" customWidth="1"/>
    <col min="127" max="127" width="2.7109375" style="55" hidden="1" customWidth="1"/>
    <col min="128" max="128" width="30.7109375" style="55" hidden="1" customWidth="1"/>
    <col min="129" max="129" width="2.7109375" style="55" hidden="1" customWidth="1"/>
    <col min="130" max="130" width="30.7109375" style="55" hidden="1" customWidth="1"/>
    <col min="131" max="16384" width="6.7109375" style="55" hidden="1"/>
  </cols>
  <sheetData>
    <row r="1" spans="1:130" ht="30" customHeight="1" x14ac:dyDescent="0.25">
      <c r="A1" s="192" t="str">
        <f>'Sch Name'!A1</f>
        <v>Government Senior Secondary School, Deograh (Rajsamand)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34"/>
      <c r="M1" s="134"/>
      <c r="N1" s="134"/>
      <c r="O1" s="134"/>
      <c r="P1" s="134"/>
      <c r="BI1" s="55"/>
      <c r="BJ1" s="135"/>
      <c r="DC1" s="135"/>
      <c r="DO1" s="135"/>
    </row>
    <row r="2" spans="1:130" ht="24.95" customHeight="1" x14ac:dyDescent="0.25">
      <c r="A2" s="193" t="str">
        <f>'Marks Entry'!A2</f>
        <v>Result For Class 11th B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34"/>
      <c r="M2" s="134"/>
      <c r="N2" s="134"/>
      <c r="O2" s="134"/>
      <c r="P2" s="134"/>
      <c r="R2" s="135"/>
      <c r="BI2" s="55"/>
    </row>
    <row r="3" spans="1:130" ht="15" x14ac:dyDescent="0.25">
      <c r="D3" s="55"/>
      <c r="E3" s="55"/>
      <c r="F3" s="55"/>
      <c r="H3" s="55"/>
      <c r="J3" s="55"/>
      <c r="K3" s="55"/>
      <c r="L3" s="55"/>
      <c r="M3" s="55"/>
      <c r="N3" s="55"/>
      <c r="O3" s="55"/>
      <c r="P3" s="55"/>
      <c r="BI3" s="55"/>
    </row>
    <row r="4" spans="1:130" s="45" customFormat="1" ht="15" customHeight="1" x14ac:dyDescent="0.25">
      <c r="A4" s="198" t="s">
        <v>3498</v>
      </c>
      <c r="B4" s="198" t="s">
        <v>3505</v>
      </c>
      <c r="C4" s="198" t="s">
        <v>3610</v>
      </c>
      <c r="D4" s="198" t="s">
        <v>3501</v>
      </c>
      <c r="E4" s="198" t="s">
        <v>3499</v>
      </c>
      <c r="F4" s="198" t="s">
        <v>3500</v>
      </c>
      <c r="G4" s="196" t="s">
        <v>15</v>
      </c>
      <c r="H4" s="198" t="s">
        <v>16</v>
      </c>
      <c r="I4" s="196" t="s">
        <v>21</v>
      </c>
      <c r="J4" s="203" t="str">
        <f>'Marks Entry'!K4</f>
        <v>HINDI Comp.</v>
      </c>
      <c r="K4" s="203"/>
      <c r="L4" s="203"/>
      <c r="M4" s="203"/>
      <c r="N4" s="203"/>
      <c r="O4" s="203"/>
      <c r="P4" s="203"/>
      <c r="Q4" s="203" t="str">
        <f>'Marks Entry'!R4</f>
        <v>ENGLISH Comp.</v>
      </c>
      <c r="R4" s="203"/>
      <c r="S4" s="203"/>
      <c r="T4" s="203"/>
      <c r="U4" s="203"/>
      <c r="V4" s="203"/>
      <c r="W4" s="203"/>
      <c r="X4" s="203" t="str">
        <f>'Marks Entry'!Y4</f>
        <v>History</v>
      </c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49" t="str">
        <f>'Marks Entry'!AI4</f>
        <v>Political Science</v>
      </c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1"/>
      <c r="AV4" s="249" t="str">
        <f>'Marks Entry'!AS4</f>
        <v>Geography</v>
      </c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1"/>
      <c r="BH4" s="229" t="s">
        <v>3522</v>
      </c>
      <c r="BI4" s="229"/>
      <c r="BJ4" s="229"/>
      <c r="BK4" s="229"/>
      <c r="BL4" s="229"/>
      <c r="BM4" s="229" t="s">
        <v>3521</v>
      </c>
      <c r="BN4" s="229"/>
      <c r="BO4" s="194" t="str">
        <f>'Marks Entry'!BC4</f>
        <v>Jeewan Kaushal</v>
      </c>
      <c r="BP4" s="194"/>
      <c r="BQ4" s="194"/>
      <c r="BR4" s="194"/>
      <c r="BS4" s="194"/>
      <c r="BT4" s="194"/>
      <c r="BU4" s="194"/>
      <c r="BV4" s="194" t="str">
        <f>'Marks Entry'!BJ4</f>
        <v>Swarnim Bharat</v>
      </c>
      <c r="BW4" s="194"/>
      <c r="BX4" s="194"/>
      <c r="BY4" s="194"/>
      <c r="BZ4" s="194"/>
      <c r="CA4" s="194"/>
      <c r="CB4" s="194"/>
      <c r="CC4" s="194" t="str">
        <f>'Marks Entry'!BQ4</f>
        <v>other2</v>
      </c>
      <c r="CD4" s="194"/>
      <c r="CE4" s="194"/>
      <c r="CF4" s="194"/>
      <c r="CG4" s="194"/>
      <c r="CH4" s="194"/>
      <c r="CI4" s="194"/>
      <c r="CJ4" s="107"/>
      <c r="CK4" s="107"/>
      <c r="CR4" s="35"/>
    </row>
    <row r="5" spans="1:130" s="45" customFormat="1" ht="15" customHeight="1" x14ac:dyDescent="0.25">
      <c r="A5" s="199"/>
      <c r="B5" s="199"/>
      <c r="C5" s="199"/>
      <c r="D5" s="199"/>
      <c r="E5" s="199"/>
      <c r="F5" s="199"/>
      <c r="G5" s="230"/>
      <c r="H5" s="199"/>
      <c r="I5" s="230"/>
      <c r="J5" s="203" t="str">
        <f>'Marks Entry'!K5</f>
        <v>Mr. AK 123</v>
      </c>
      <c r="K5" s="203"/>
      <c r="L5" s="203"/>
      <c r="M5" s="203"/>
      <c r="N5" s="203"/>
      <c r="O5" s="203"/>
      <c r="P5" s="203"/>
      <c r="Q5" s="203" t="str">
        <f>'Marks Entry'!R5</f>
        <v>Mr. AK 124</v>
      </c>
      <c r="R5" s="203"/>
      <c r="S5" s="203"/>
      <c r="T5" s="203"/>
      <c r="U5" s="203"/>
      <c r="V5" s="203"/>
      <c r="W5" s="203"/>
      <c r="X5" s="203" t="str">
        <f>'Marks Entry'!Z5</f>
        <v>Mr. AK 125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198" t="s">
        <v>3681</v>
      </c>
      <c r="AK5" s="203" t="str">
        <f>'Marks Entry'!AJ5</f>
        <v>Mr. AK 125</v>
      </c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198" t="s">
        <v>3681</v>
      </c>
      <c r="AW5" s="203" t="str">
        <f>'Marks Entry'!AT5</f>
        <v>Mr. AK 127</v>
      </c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195" t="s">
        <v>3523</v>
      </c>
      <c r="BI5" s="195" t="s">
        <v>3524</v>
      </c>
      <c r="BJ5" s="195" t="s">
        <v>3522</v>
      </c>
      <c r="BK5" s="195" t="s">
        <v>3525</v>
      </c>
      <c r="BL5" s="195" t="s">
        <v>3526</v>
      </c>
      <c r="BM5" s="196" t="s">
        <v>3519</v>
      </c>
      <c r="BN5" s="196" t="s">
        <v>3520</v>
      </c>
      <c r="BO5" s="194" t="str">
        <f>'Marks Entry'!BC5</f>
        <v>Mr. AK 129</v>
      </c>
      <c r="BP5" s="194"/>
      <c r="BQ5" s="194"/>
      <c r="BR5" s="194"/>
      <c r="BS5" s="194"/>
      <c r="BT5" s="194"/>
      <c r="BU5" s="194"/>
      <c r="BV5" s="194" t="str">
        <f>'Marks Entry'!BJ5</f>
        <v>Mr. AK 130</v>
      </c>
      <c r="BW5" s="194"/>
      <c r="BX5" s="194"/>
      <c r="BY5" s="194"/>
      <c r="BZ5" s="194"/>
      <c r="CA5" s="194"/>
      <c r="CB5" s="194"/>
      <c r="CC5" s="194" t="str">
        <f>'Marks Entry'!BQ5</f>
        <v>Mr. AK 130</v>
      </c>
      <c r="CD5" s="194"/>
      <c r="CE5" s="194"/>
      <c r="CF5" s="194"/>
      <c r="CG5" s="194"/>
      <c r="CH5" s="194"/>
      <c r="CI5" s="194"/>
      <c r="CJ5" s="46"/>
      <c r="CK5" s="235" t="s">
        <v>3524</v>
      </c>
      <c r="CM5" s="202" t="s">
        <v>3529</v>
      </c>
      <c r="CN5" s="202"/>
      <c r="CO5" s="202"/>
      <c r="CP5" s="202"/>
      <c r="CQ5" s="202"/>
      <c r="CR5" s="35"/>
      <c r="CS5" s="202" t="s">
        <v>3528</v>
      </c>
      <c r="CT5" s="202"/>
      <c r="CU5" s="202"/>
      <c r="CV5" s="202"/>
      <c r="CW5" s="107"/>
      <c r="CX5" s="202" t="s">
        <v>3556</v>
      </c>
      <c r="CY5" s="202"/>
      <c r="CZ5" s="202"/>
      <c r="DA5" s="202"/>
      <c r="DB5" s="202"/>
      <c r="DD5" s="202" t="s">
        <v>3555</v>
      </c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R5" s="202" t="s">
        <v>3557</v>
      </c>
      <c r="DT5" s="202" t="s">
        <v>3558</v>
      </c>
      <c r="DU5" s="107"/>
      <c r="DV5" s="202" t="s">
        <v>3575</v>
      </c>
      <c r="DX5" s="202" t="s">
        <v>3560</v>
      </c>
      <c r="DZ5" s="202" t="s">
        <v>3559</v>
      </c>
    </row>
    <row r="6" spans="1:130" s="45" customFormat="1" ht="63" customHeight="1" x14ac:dyDescent="0.25">
      <c r="A6" s="199"/>
      <c r="B6" s="199"/>
      <c r="C6" s="199"/>
      <c r="D6" s="199"/>
      <c r="E6" s="199"/>
      <c r="F6" s="199"/>
      <c r="G6" s="230"/>
      <c r="H6" s="199"/>
      <c r="I6" s="230"/>
      <c r="J6" s="101" t="s">
        <v>3510</v>
      </c>
      <c r="K6" s="101" t="s">
        <v>3511</v>
      </c>
      <c r="L6" s="101" t="s">
        <v>3506</v>
      </c>
      <c r="M6" s="101" t="s">
        <v>3509</v>
      </c>
      <c r="N6" s="101" t="s">
        <v>3565</v>
      </c>
      <c r="O6" s="196" t="s">
        <v>3566</v>
      </c>
      <c r="P6" s="196" t="s">
        <v>3567</v>
      </c>
      <c r="Q6" s="101" t="s">
        <v>3510</v>
      </c>
      <c r="R6" s="101" t="s">
        <v>3511</v>
      </c>
      <c r="S6" s="101" t="s">
        <v>3506</v>
      </c>
      <c r="T6" s="101" t="s">
        <v>3509</v>
      </c>
      <c r="U6" s="101" t="s">
        <v>3565</v>
      </c>
      <c r="V6" s="196" t="s">
        <v>3566</v>
      </c>
      <c r="W6" s="196" t="s">
        <v>3567</v>
      </c>
      <c r="X6" s="229" t="s">
        <v>3681</v>
      </c>
      <c r="Y6" s="101" t="s">
        <v>3510</v>
      </c>
      <c r="Z6" s="101" t="s">
        <v>3511</v>
      </c>
      <c r="AA6" s="101" t="s">
        <v>3691</v>
      </c>
      <c r="AB6" s="101" t="s">
        <v>3692</v>
      </c>
      <c r="AC6" s="97" t="s">
        <v>3695</v>
      </c>
      <c r="AD6" s="101" t="s">
        <v>3694</v>
      </c>
      <c r="AE6" s="101" t="s">
        <v>3693</v>
      </c>
      <c r="AF6" s="97" t="s">
        <v>3696</v>
      </c>
      <c r="AG6" s="98" t="s">
        <v>3565</v>
      </c>
      <c r="AH6" s="195" t="s">
        <v>3566</v>
      </c>
      <c r="AI6" s="195" t="s">
        <v>3567</v>
      </c>
      <c r="AJ6" s="199"/>
      <c r="AK6" s="101" t="s">
        <v>3510</v>
      </c>
      <c r="AL6" s="101" t="s">
        <v>3511</v>
      </c>
      <c r="AM6" s="101" t="s">
        <v>3691</v>
      </c>
      <c r="AN6" s="101" t="s">
        <v>3692</v>
      </c>
      <c r="AO6" s="97" t="s">
        <v>3695</v>
      </c>
      <c r="AP6" s="101" t="s">
        <v>3694</v>
      </c>
      <c r="AQ6" s="101" t="s">
        <v>3693</v>
      </c>
      <c r="AR6" s="97" t="s">
        <v>3696</v>
      </c>
      <c r="AS6" s="98" t="s">
        <v>3565</v>
      </c>
      <c r="AT6" s="196" t="s">
        <v>3566</v>
      </c>
      <c r="AU6" s="196" t="s">
        <v>3567</v>
      </c>
      <c r="AV6" s="199"/>
      <c r="AW6" s="101" t="s">
        <v>3510</v>
      </c>
      <c r="AX6" s="101" t="s">
        <v>3511</v>
      </c>
      <c r="AY6" s="101" t="s">
        <v>3691</v>
      </c>
      <c r="AZ6" s="101" t="s">
        <v>3692</v>
      </c>
      <c r="BA6" s="97" t="s">
        <v>3695</v>
      </c>
      <c r="BB6" s="101" t="s">
        <v>3694</v>
      </c>
      <c r="BC6" s="101" t="s">
        <v>3693</v>
      </c>
      <c r="BD6" s="97" t="s">
        <v>3696</v>
      </c>
      <c r="BE6" s="98" t="s">
        <v>3565</v>
      </c>
      <c r="BF6" s="196" t="s">
        <v>3566</v>
      </c>
      <c r="BG6" s="196" t="s">
        <v>3567</v>
      </c>
      <c r="BH6" s="195"/>
      <c r="BI6" s="195"/>
      <c r="BJ6" s="195"/>
      <c r="BK6" s="195"/>
      <c r="BL6" s="195"/>
      <c r="BM6" s="230"/>
      <c r="BN6" s="230"/>
      <c r="BO6" s="101" t="s">
        <v>3510</v>
      </c>
      <c r="BP6" s="101" t="s">
        <v>3511</v>
      </c>
      <c r="BQ6" s="101" t="s">
        <v>3506</v>
      </c>
      <c r="BR6" s="101" t="s">
        <v>3509</v>
      </c>
      <c r="BS6" s="101" t="s">
        <v>3565</v>
      </c>
      <c r="BT6" s="195" t="s">
        <v>3566</v>
      </c>
      <c r="BU6" s="195" t="s">
        <v>3568</v>
      </c>
      <c r="BV6" s="101" t="s">
        <v>3510</v>
      </c>
      <c r="BW6" s="101" t="s">
        <v>3511</v>
      </c>
      <c r="BX6" s="101" t="s">
        <v>3506</v>
      </c>
      <c r="BY6" s="101" t="s">
        <v>3509</v>
      </c>
      <c r="BZ6" s="101" t="s">
        <v>3565</v>
      </c>
      <c r="CA6" s="195" t="s">
        <v>3566</v>
      </c>
      <c r="CB6" s="195" t="s">
        <v>3568</v>
      </c>
      <c r="CC6" s="101" t="s">
        <v>3510</v>
      </c>
      <c r="CD6" s="101" t="s">
        <v>3511</v>
      </c>
      <c r="CE6" s="101" t="s">
        <v>3506</v>
      </c>
      <c r="CF6" s="101" t="s">
        <v>3509</v>
      </c>
      <c r="CG6" s="101" t="s">
        <v>3565</v>
      </c>
      <c r="CH6" s="195" t="s">
        <v>3566</v>
      </c>
      <c r="CI6" s="195" t="s">
        <v>3568</v>
      </c>
      <c r="CJ6" s="46"/>
      <c r="CK6" s="235"/>
      <c r="CM6" s="233" t="str">
        <f>J4</f>
        <v>HINDI Comp.</v>
      </c>
      <c r="CN6" s="233" t="str">
        <f>Q4</f>
        <v>ENGLISH Comp.</v>
      </c>
      <c r="CO6" s="233" t="str">
        <f>X4</f>
        <v>History</v>
      </c>
      <c r="CP6" s="233" t="str">
        <f>AJ4</f>
        <v>Political Science</v>
      </c>
      <c r="CQ6" s="233" t="str">
        <f>AV4</f>
        <v>Geography</v>
      </c>
      <c r="CR6" s="35"/>
      <c r="CS6" s="231" t="s">
        <v>3530</v>
      </c>
      <c r="CT6" s="231" t="s">
        <v>3531</v>
      </c>
      <c r="CU6" s="231" t="s">
        <v>3532</v>
      </c>
      <c r="CV6" s="231" t="s">
        <v>3533</v>
      </c>
      <c r="CW6" s="46"/>
      <c r="CX6" s="219" t="str">
        <f>CM6</f>
        <v>HINDI Comp.</v>
      </c>
      <c r="CY6" s="219" t="str">
        <f>CN6</f>
        <v>ENGLISH Comp.</v>
      </c>
      <c r="CZ6" s="219" t="str">
        <f>CO6</f>
        <v>History</v>
      </c>
      <c r="DA6" s="219" t="str">
        <f>CP6</f>
        <v>Political Science</v>
      </c>
      <c r="DB6" s="219" t="str">
        <f>CQ6</f>
        <v>Geography</v>
      </c>
      <c r="DD6" s="218" t="str">
        <f>J4</f>
        <v>HINDI Comp.</v>
      </c>
      <c r="DE6" s="218"/>
      <c r="DF6" s="218" t="str">
        <f>Q4</f>
        <v>ENGLISH Comp.</v>
      </c>
      <c r="DG6" s="218"/>
      <c r="DH6" s="207" t="str">
        <f>X4</f>
        <v>History</v>
      </c>
      <c r="DI6" s="208"/>
      <c r="DJ6" s="218" t="str">
        <f>AJ4</f>
        <v>Political Science</v>
      </c>
      <c r="DK6" s="218"/>
      <c r="DL6" s="218" t="str">
        <f>AV4</f>
        <v>Geography</v>
      </c>
      <c r="DM6" s="218"/>
      <c r="DN6" s="47" t="str">
        <f>BO4</f>
        <v>Jeewan Kaushal</v>
      </c>
      <c r="DO6" s="47" t="str">
        <f>BV4</f>
        <v>Swarnim Bharat</v>
      </c>
      <c r="DP6" s="47" t="str">
        <f>CC4</f>
        <v>other2</v>
      </c>
      <c r="DR6" s="202"/>
      <c r="DT6" s="202"/>
      <c r="DU6" s="107"/>
      <c r="DV6" s="202"/>
      <c r="DX6" s="202"/>
      <c r="DZ6" s="202"/>
    </row>
    <row r="7" spans="1:130" s="45" customFormat="1" ht="19.5" customHeight="1" x14ac:dyDescent="0.25">
      <c r="A7" s="200"/>
      <c r="B7" s="200"/>
      <c r="C7" s="200"/>
      <c r="D7" s="200"/>
      <c r="E7" s="200"/>
      <c r="F7" s="200"/>
      <c r="G7" s="197"/>
      <c r="H7" s="200"/>
      <c r="I7" s="197"/>
      <c r="J7" s="104">
        <f>'Marks Entry'!K8</f>
        <v>20</v>
      </c>
      <c r="K7" s="104">
        <f>'Marks Entry'!L8</f>
        <v>20</v>
      </c>
      <c r="L7" s="104">
        <f>SUM('Marks Entry'!M8:N8)</f>
        <v>60</v>
      </c>
      <c r="M7" s="104">
        <f>SUM('Marks Entry'!O8:P8)</f>
        <v>100</v>
      </c>
      <c r="N7" s="104">
        <f>SUM(J7:M7)</f>
        <v>200</v>
      </c>
      <c r="O7" s="197"/>
      <c r="P7" s="197"/>
      <c r="Q7" s="104">
        <f>'Marks Entry'!R8</f>
        <v>20</v>
      </c>
      <c r="R7" s="104">
        <f>'Marks Entry'!S8</f>
        <v>20</v>
      </c>
      <c r="S7" s="104">
        <f>SUM('Marks Entry'!T8:U8)</f>
        <v>60</v>
      </c>
      <c r="T7" s="104">
        <f>SUM('Marks Entry'!V8:W8)</f>
        <v>100</v>
      </c>
      <c r="U7" s="104">
        <f>SUM(Q7:T7)</f>
        <v>200</v>
      </c>
      <c r="V7" s="197"/>
      <c r="W7" s="197"/>
      <c r="X7" s="229"/>
      <c r="Y7" s="104">
        <f>'Marks Entry'!Z8</f>
        <v>20</v>
      </c>
      <c r="Z7" s="104">
        <f>'Marks Entry'!AA8</f>
        <v>20</v>
      </c>
      <c r="AA7" s="104">
        <f>SUM('Marks Entry'!AB8:AC8)</f>
        <v>60</v>
      </c>
      <c r="AB7" s="104">
        <f>'Marks Entry'!AD8</f>
        <v>0</v>
      </c>
      <c r="AC7" s="104">
        <f>SUM(AA7:AB7)</f>
        <v>60</v>
      </c>
      <c r="AD7" s="104">
        <f>SUM('Marks Entry'!AE8:AF8)</f>
        <v>100</v>
      </c>
      <c r="AE7" s="104">
        <f>'Marks Entry'!AG8</f>
        <v>0</v>
      </c>
      <c r="AF7" s="104">
        <f>SUM(AD7:AE7)</f>
        <v>100</v>
      </c>
      <c r="AG7" s="104">
        <f>SUM(Y7:Z7,AC7,AF7)</f>
        <v>200</v>
      </c>
      <c r="AH7" s="195"/>
      <c r="AI7" s="195"/>
      <c r="AJ7" s="200"/>
      <c r="AK7" s="104">
        <f>'Marks Entry'!AJ8</f>
        <v>20</v>
      </c>
      <c r="AL7" s="104">
        <f>'Marks Entry'!AK8</f>
        <v>20</v>
      </c>
      <c r="AM7" s="104">
        <f>SUM('Marks Entry'!AL8:AM8)</f>
        <v>60</v>
      </c>
      <c r="AN7" s="104">
        <f>'Marks Entry'!AN8</f>
        <v>0</v>
      </c>
      <c r="AO7" s="104">
        <f>SUM(AM7:AN7)</f>
        <v>60</v>
      </c>
      <c r="AP7" s="104">
        <f>SUM('Marks Entry'!AO8:AP8)</f>
        <v>100</v>
      </c>
      <c r="AQ7" s="104">
        <f>'Marks Entry'!AQ8</f>
        <v>0</v>
      </c>
      <c r="AR7" s="104">
        <f>SUM(AP7:AQ7)</f>
        <v>100</v>
      </c>
      <c r="AS7" s="104">
        <f>SUM(AK7:AL7,AO7,AR7)</f>
        <v>200</v>
      </c>
      <c r="AT7" s="197"/>
      <c r="AU7" s="197"/>
      <c r="AV7" s="200"/>
      <c r="AW7" s="104">
        <f>'Marks Entry'!AT8</f>
        <v>20</v>
      </c>
      <c r="AX7" s="104">
        <f>'Marks Entry'!AU8</f>
        <v>20</v>
      </c>
      <c r="AY7" s="104">
        <f>SUM('Marks Entry'!AV8:AW8)</f>
        <v>46</v>
      </c>
      <c r="AZ7" s="104">
        <f>'Marks Entry'!AX8</f>
        <v>14</v>
      </c>
      <c r="BA7" s="104">
        <f>SUM(AY7:AZ7)</f>
        <v>60</v>
      </c>
      <c r="BB7" s="104">
        <f>SUM('Marks Entry'!AY8:AZ8)</f>
        <v>70</v>
      </c>
      <c r="BC7" s="104">
        <f>'Marks Entry'!BA8</f>
        <v>30</v>
      </c>
      <c r="BD7" s="104">
        <f>SUM(BB7:BC7)</f>
        <v>100</v>
      </c>
      <c r="BE7" s="104">
        <f>SUM(AW7:AX7,BA7,BD7)</f>
        <v>200</v>
      </c>
      <c r="BF7" s="197"/>
      <c r="BG7" s="197"/>
      <c r="BH7" s="104">
        <f>SUM(N7,U7,AG7,AS7,BE7)</f>
        <v>1000</v>
      </c>
      <c r="BI7" s="106">
        <v>100</v>
      </c>
      <c r="BJ7" s="106"/>
      <c r="BK7" s="106"/>
      <c r="BL7" s="106"/>
      <c r="BM7" s="197"/>
      <c r="BN7" s="197"/>
      <c r="BO7" s="104">
        <f>'Marks Entry'!BC8</f>
        <v>20</v>
      </c>
      <c r="BP7" s="104">
        <f>'Marks Entry'!BD8</f>
        <v>20</v>
      </c>
      <c r="BQ7" s="104">
        <f>SUM('Marks Entry'!BE8:BF8)</f>
        <v>60</v>
      </c>
      <c r="BR7" s="104">
        <f>SUM('Marks Entry'!BG8:BH8)</f>
        <v>100</v>
      </c>
      <c r="BS7" s="104">
        <f>SUM(BO7:BR7)</f>
        <v>200</v>
      </c>
      <c r="BT7" s="195"/>
      <c r="BU7" s="195"/>
      <c r="BV7" s="104">
        <f>'Marks Entry'!BJ8</f>
        <v>20</v>
      </c>
      <c r="BW7" s="104">
        <f>'Marks Entry'!BK8</f>
        <v>20</v>
      </c>
      <c r="BX7" s="104">
        <f>SUM('Marks Entry'!BL8:BM8)</f>
        <v>60</v>
      </c>
      <c r="BY7" s="104">
        <f>SUM('Marks Entry'!BN8:BO8)</f>
        <v>100</v>
      </c>
      <c r="BZ7" s="104">
        <f t="shared" ref="BZ7" si="0">SUM(BV7:BY7)</f>
        <v>200</v>
      </c>
      <c r="CA7" s="195"/>
      <c r="CB7" s="195"/>
      <c r="CC7" s="104">
        <f>'Marks Entry'!BQ8</f>
        <v>20</v>
      </c>
      <c r="CD7" s="104">
        <f>'Marks Entry'!BR8</f>
        <v>20</v>
      </c>
      <c r="CE7" s="104">
        <f>SUM('Marks Entry'!BS8:BT8)</f>
        <v>60</v>
      </c>
      <c r="CF7" s="104">
        <f>SUM('Marks Entry'!BU8:BV8)</f>
        <v>100</v>
      </c>
      <c r="CG7" s="104">
        <f t="shared" ref="CG7" si="1">SUM(CC7:CF7)</f>
        <v>200</v>
      </c>
      <c r="CH7" s="195"/>
      <c r="CI7" s="195"/>
      <c r="CJ7" s="46"/>
      <c r="CK7" s="235"/>
      <c r="CM7" s="234"/>
      <c r="CN7" s="234"/>
      <c r="CO7" s="234"/>
      <c r="CP7" s="234"/>
      <c r="CQ7" s="234"/>
      <c r="CR7" s="35"/>
      <c r="CS7" s="232"/>
      <c r="CT7" s="232"/>
      <c r="CU7" s="232"/>
      <c r="CV7" s="232"/>
      <c r="CW7" s="46"/>
      <c r="CX7" s="219"/>
      <c r="CY7" s="219"/>
      <c r="CZ7" s="219"/>
      <c r="DA7" s="219"/>
      <c r="DB7" s="219"/>
      <c r="DD7" s="103" t="s">
        <v>3539</v>
      </c>
      <c r="DE7" s="103" t="s">
        <v>3540</v>
      </c>
      <c r="DF7" s="103" t="s">
        <v>3539</v>
      </c>
      <c r="DG7" s="103" t="s">
        <v>3540</v>
      </c>
      <c r="DH7" s="103" t="s">
        <v>3539</v>
      </c>
      <c r="DI7" s="103" t="s">
        <v>3540</v>
      </c>
      <c r="DJ7" s="103" t="s">
        <v>3539</v>
      </c>
      <c r="DK7" s="103" t="s">
        <v>3540</v>
      </c>
      <c r="DL7" s="103" t="s">
        <v>3539</v>
      </c>
      <c r="DM7" s="103" t="s">
        <v>3540</v>
      </c>
      <c r="DN7" s="103" t="s">
        <v>3569</v>
      </c>
      <c r="DO7" s="103" t="s">
        <v>3569</v>
      </c>
      <c r="DP7" s="103" t="s">
        <v>3569</v>
      </c>
      <c r="DR7" s="202"/>
      <c r="DT7" s="202"/>
      <c r="DU7" s="107"/>
      <c r="DV7" s="202"/>
      <c r="DX7" s="202"/>
      <c r="DZ7" s="202"/>
    </row>
    <row r="8" spans="1:130" s="45" customFormat="1" ht="15" customHeight="1" x14ac:dyDescent="0.25">
      <c r="A8" s="54"/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  <c r="Y8" s="54">
        <v>24</v>
      </c>
      <c r="Z8" s="54">
        <v>25</v>
      </c>
      <c r="AA8" s="54">
        <v>26</v>
      </c>
      <c r="AB8" s="54">
        <v>27</v>
      </c>
      <c r="AC8" s="54">
        <v>28</v>
      </c>
      <c r="AD8" s="54">
        <v>29</v>
      </c>
      <c r="AE8" s="54">
        <v>30</v>
      </c>
      <c r="AF8" s="54">
        <v>31</v>
      </c>
      <c r="AG8" s="54">
        <v>32</v>
      </c>
      <c r="AH8" s="54">
        <v>33</v>
      </c>
      <c r="AI8" s="54">
        <v>34</v>
      </c>
      <c r="AJ8" s="54">
        <v>35</v>
      </c>
      <c r="AK8" s="54">
        <v>36</v>
      </c>
      <c r="AL8" s="54">
        <v>37</v>
      </c>
      <c r="AM8" s="54">
        <v>38</v>
      </c>
      <c r="AN8" s="54">
        <v>39</v>
      </c>
      <c r="AO8" s="54">
        <v>40</v>
      </c>
      <c r="AP8" s="54">
        <v>41</v>
      </c>
      <c r="AQ8" s="54">
        <v>42</v>
      </c>
      <c r="AR8" s="54">
        <v>43</v>
      </c>
      <c r="AS8" s="54">
        <v>44</v>
      </c>
      <c r="AT8" s="54">
        <v>45</v>
      </c>
      <c r="AU8" s="54">
        <v>46</v>
      </c>
      <c r="AV8" s="54">
        <v>47</v>
      </c>
      <c r="AW8" s="54">
        <v>48</v>
      </c>
      <c r="AX8" s="54">
        <v>49</v>
      </c>
      <c r="AY8" s="54">
        <v>50</v>
      </c>
      <c r="AZ8" s="54">
        <v>51</v>
      </c>
      <c r="BA8" s="54">
        <v>52</v>
      </c>
      <c r="BB8" s="54">
        <v>53</v>
      </c>
      <c r="BC8" s="54">
        <v>54</v>
      </c>
      <c r="BD8" s="54">
        <v>55</v>
      </c>
      <c r="BE8" s="54">
        <v>56</v>
      </c>
      <c r="BF8" s="54">
        <v>57</v>
      </c>
      <c r="BG8" s="54">
        <v>58</v>
      </c>
      <c r="BH8" s="54">
        <v>59</v>
      </c>
      <c r="BI8" s="54">
        <v>60</v>
      </c>
      <c r="BJ8" s="54">
        <v>61</v>
      </c>
      <c r="BK8" s="54">
        <v>62</v>
      </c>
      <c r="BL8" s="54">
        <v>63</v>
      </c>
      <c r="BM8" s="54">
        <v>64</v>
      </c>
      <c r="BN8" s="54">
        <v>65</v>
      </c>
      <c r="BO8" s="54">
        <v>66</v>
      </c>
      <c r="BP8" s="54">
        <v>67</v>
      </c>
      <c r="BQ8" s="54">
        <v>68</v>
      </c>
      <c r="BR8" s="54">
        <v>69</v>
      </c>
      <c r="BS8" s="54">
        <v>70</v>
      </c>
      <c r="BT8" s="54">
        <v>71</v>
      </c>
      <c r="BU8" s="54">
        <v>72</v>
      </c>
      <c r="BV8" s="54">
        <v>73</v>
      </c>
      <c r="BW8" s="54">
        <v>74</v>
      </c>
      <c r="BX8" s="54">
        <v>75</v>
      </c>
      <c r="BY8" s="54">
        <v>76</v>
      </c>
      <c r="BZ8" s="54">
        <v>77</v>
      </c>
      <c r="CA8" s="54">
        <v>78</v>
      </c>
      <c r="CB8" s="54">
        <v>79</v>
      </c>
      <c r="CC8" s="54">
        <v>80</v>
      </c>
      <c r="CD8" s="54">
        <v>81</v>
      </c>
      <c r="CE8" s="54">
        <v>82</v>
      </c>
      <c r="CF8" s="54">
        <v>83</v>
      </c>
      <c r="CG8" s="54">
        <v>84</v>
      </c>
      <c r="CH8" s="54">
        <v>85</v>
      </c>
      <c r="CI8" s="54">
        <v>86</v>
      </c>
      <c r="CJ8" s="54">
        <v>87</v>
      </c>
      <c r="CK8" s="54">
        <v>88</v>
      </c>
      <c r="CL8" s="54">
        <v>89</v>
      </c>
      <c r="CM8" s="54">
        <v>90</v>
      </c>
      <c r="CN8" s="54">
        <v>91</v>
      </c>
      <c r="CO8" s="54">
        <v>92</v>
      </c>
      <c r="CP8" s="54">
        <v>93</v>
      </c>
      <c r="CQ8" s="54">
        <v>94</v>
      </c>
      <c r="CR8" s="54">
        <v>95</v>
      </c>
      <c r="CS8" s="54">
        <v>96</v>
      </c>
      <c r="CT8" s="54">
        <v>97</v>
      </c>
      <c r="CU8" s="54">
        <v>98</v>
      </c>
      <c r="CV8" s="54">
        <v>99</v>
      </c>
      <c r="CW8" s="54">
        <v>100</v>
      </c>
      <c r="CX8" s="54">
        <v>101</v>
      </c>
      <c r="CY8" s="54">
        <v>102</v>
      </c>
      <c r="CZ8" s="54">
        <v>103</v>
      </c>
      <c r="DA8" s="54">
        <v>104</v>
      </c>
      <c r="DB8" s="54">
        <v>105</v>
      </c>
      <c r="DC8" s="54">
        <v>106</v>
      </c>
      <c r="DD8" s="54">
        <v>107</v>
      </c>
      <c r="DE8" s="54">
        <v>108</v>
      </c>
      <c r="DF8" s="54">
        <v>109</v>
      </c>
      <c r="DG8" s="54">
        <v>110</v>
      </c>
      <c r="DH8" s="54">
        <v>111</v>
      </c>
      <c r="DI8" s="54">
        <v>112</v>
      </c>
      <c r="DJ8" s="54">
        <v>113</v>
      </c>
      <c r="DK8" s="54">
        <v>114</v>
      </c>
      <c r="DL8" s="54">
        <v>115</v>
      </c>
      <c r="DM8" s="54">
        <v>116</v>
      </c>
      <c r="DN8" s="54">
        <v>117</v>
      </c>
      <c r="DO8" s="54">
        <v>118</v>
      </c>
      <c r="DP8" s="54">
        <v>119</v>
      </c>
      <c r="DQ8" s="54">
        <v>120</v>
      </c>
      <c r="DR8" s="54">
        <v>121</v>
      </c>
      <c r="DS8" s="54">
        <v>122</v>
      </c>
      <c r="DT8" s="54">
        <v>123</v>
      </c>
      <c r="DU8" s="54">
        <v>124</v>
      </c>
      <c r="DV8" s="54">
        <v>125</v>
      </c>
      <c r="DW8" s="54">
        <v>126</v>
      </c>
      <c r="DX8" s="54">
        <v>127</v>
      </c>
      <c r="DY8" s="54">
        <v>128</v>
      </c>
      <c r="DZ8" s="54">
        <v>129</v>
      </c>
    </row>
    <row r="9" spans="1:130" s="58" customFormat="1" ht="30" customHeight="1" x14ac:dyDescent="0.25">
      <c r="A9" s="105">
        <f>IF('Marks Entry'!A9="","",'Marks Entry'!A9)</f>
        <v>1</v>
      </c>
      <c r="B9" s="105">
        <f>IF('Marks Entry'!B9="","",'Marks Entry'!B9)</f>
        <v>906</v>
      </c>
      <c r="C9" s="105">
        <f>IF('Marks Entry'!C9="","",'Marks Entry'!C9)</f>
        <v>13204</v>
      </c>
      <c r="D9" s="48" t="str">
        <f>IF('Marks Entry'!D9="","",'Marks Entry'!D9)</f>
        <v>ASHOK SINGH</v>
      </c>
      <c r="E9" s="48" t="str">
        <f>IF('Marks Entry'!E9="","",'Marks Entry'!E9)</f>
        <v>PRAKASH SINGH</v>
      </c>
      <c r="F9" s="48" t="str">
        <f>IF('Marks Entry'!F9="","",'Marks Entry'!F9)</f>
        <v>SEETA DEVI</v>
      </c>
      <c r="G9" s="105" t="str">
        <f>IF('Marks Entry'!G9="","",'Marks Entry'!G9)</f>
        <v>BOY</v>
      </c>
      <c r="H9" s="49">
        <f>IF('Marks Entry'!H9="","",'Marks Entry'!H9)</f>
        <v>38696</v>
      </c>
      <c r="I9" s="105" t="str">
        <f>IF('Marks Entry'!I9="","",'Marks Entry'!I9)</f>
        <v>OBC</v>
      </c>
      <c r="J9" s="105">
        <f>IF('Marks Entry'!K9="","",'Marks Entry'!K9)</f>
        <v>10</v>
      </c>
      <c r="K9" s="105">
        <f>IF('Marks Entry'!L9="","",'Marks Entry'!L9)</f>
        <v>10</v>
      </c>
      <c r="L9" s="105">
        <f>IF(AND('Marks Entry'!M9="",'Marks Entry'!N9=""),"",SUM('Marks Entry'!M9:N9))</f>
        <v>40</v>
      </c>
      <c r="M9" s="105">
        <f>IF(AND('Marks Entry'!O9="",'Marks Entry'!P9=""),"",SUM('Marks Entry'!O9:P9))</f>
        <v>47</v>
      </c>
      <c r="N9" s="105">
        <f t="shared" ref="N9:N40" si="2">IF(AND(J9="",K9="",L9="",M9=""),"",SUM(J9:M9))</f>
        <v>107</v>
      </c>
      <c r="O9" s="105" t="str">
        <f>IF(OR($B9="NSO",$C9="",N9=""),"",IF(AND(N9&gt;=36%*200,M9&gt;=20),"P",IF(AND(N9&gt;=34%*200,M9&gt;=20),"G2",IF(AND(N9&gt;=200*31%,M9&gt;=20),"G1",IF(N9&gt;=200*25%,"S","F")))))</f>
        <v>P</v>
      </c>
      <c r="P9" s="105" t="str">
        <f>IF(OR(O9="",O9=0,O9="S",O9="F",O9="AB"),O9,IF(N9&gt;=75%*200,"D",IF(N9&gt;=60%*200,"I",IF(N9&gt;=48%*200,"II",IF(N9&gt;=36%*200,"III",O9)))))</f>
        <v>II</v>
      </c>
      <c r="Q9" s="105">
        <f>IF('Marks Entry'!R9="","",'Marks Entry'!R9)</f>
        <v>15</v>
      </c>
      <c r="R9" s="105">
        <f>IF('Marks Entry'!S9="","",'Marks Entry'!S9)</f>
        <v>15</v>
      </c>
      <c r="S9" s="105">
        <f>IF(AND('Marks Entry'!T9="",'Marks Entry'!U9=""),"",SUM('Marks Entry'!T9:U9))</f>
        <v>40</v>
      </c>
      <c r="T9" s="105">
        <f>IF(AND('Marks Entry'!V9="",'Marks Entry'!W9=""),"",SUM('Marks Entry'!V9:W9))</f>
        <v>38</v>
      </c>
      <c r="U9" s="105">
        <f>IF(AND(Q9="",R9="",S9="",T9=""),"",SUM(Q9:T9))</f>
        <v>108</v>
      </c>
      <c r="V9" s="105" t="str">
        <f>IF(OR($B9="NSO",$C9="",U9=""),"",IF(AND(U9&gt;=36%*200,T9&gt;=20),"P",IF(AND(U9&gt;=34%*200,T9&gt;=20),"G2",IF(AND(U9&gt;=200*31%,T9&gt;=20),"G1",IF(U9&gt;=200*25%,"S","F")))))</f>
        <v>P</v>
      </c>
      <c r="W9" s="105" t="str">
        <f>IF(OR(V9="",V9=0,V9="S",V9="F",V9="AB"),V9,IF(U9&gt;=75%*200,"D",IF(U9&gt;=60%*200,"I",IF(U9&gt;=48%*200,"II",IF(U9&gt;=36%*200,"III",V9)))))</f>
        <v>II</v>
      </c>
      <c r="X9" s="47" t="str">
        <f>IF(B9="","",IF('Marks Entry'!Y9="",'Marks Entry'!$Y$4,'Marks Entry'!Y9))</f>
        <v>History</v>
      </c>
      <c r="Y9" s="105">
        <f>IF('Marks Entry'!Z9="","",'Marks Entry'!Z9)</f>
        <v>15</v>
      </c>
      <c r="Z9" s="105">
        <f>IF('Marks Entry'!AA9="","",'Marks Entry'!AA9)</f>
        <v>15</v>
      </c>
      <c r="AA9" s="105">
        <f>IF(AND('Marks Entry'!AB9="",'Marks Entry'!AC9=""),"",SUM('Marks Entry'!AB9:AC9))</f>
        <v>40</v>
      </c>
      <c r="AB9" s="105" t="str">
        <f>IF('Marks Entry'!AD9="","",'Marks Entry'!AD9)</f>
        <v/>
      </c>
      <c r="AC9" s="105">
        <f>IF(AND(AA9="",AB9=""),"",IF(AND(AA9="ml",AB9="ml"),"ml",IF(AND(AA9="ab",AB9="ab"),"ab",SUM(AA9:AB9))))</f>
        <v>40</v>
      </c>
      <c r="AD9" s="105">
        <f>IF(AND('Marks Entry'!AE9="",'Marks Entry'!AF9=""),"",SUM('Marks Entry'!AE9:AF9))</f>
        <v>71</v>
      </c>
      <c r="AE9" s="105" t="str">
        <f>IF('Marks Entry'!AG9="","",'Marks Entry'!AG9)</f>
        <v/>
      </c>
      <c r="AF9" s="105">
        <f>IF(AND(AD9="",AE9=""),"",IF(AND(AD9="ml",AE9="ml"),"ml",IF(AND(AD9="ab",AE9="ab"),"ab",SUM(AD9:AE9))))</f>
        <v>71</v>
      </c>
      <c r="AG9" s="105">
        <f>IF(AND(Y9="",Z9="",AC9="",AF9=""),"",SUM(Y9:Z9,AC9,AF9))</f>
        <v>141</v>
      </c>
      <c r="AH9" s="105" t="str">
        <f>IF(OR($B9="NSO",$C9="",AG9=""),"",IF(AND(AG9&gt;=36%*200,AD9&gt;=20),"P",IF(AND(AG9&gt;=34%*200,AD9&gt;=20),"G2",IF(AND(AG9&gt;=200*31%,AD9&gt;=20),"G1",IF(AG9&gt;=200*25%,"S","F")))))</f>
        <v>P</v>
      </c>
      <c r="AI9" s="105" t="str">
        <f>IF(OR(AH9="",AH9=0,AH9="S",AH9="F",AH9="AB"),AH9,IF(AG9&gt;=75%*200,"D",IF(AG9&gt;=60%*200,"I",IF(AG9&gt;=48%*200,"II",IF(AG9&gt;=36%*200,"III",AH9)))))</f>
        <v>I</v>
      </c>
      <c r="AJ9" s="47" t="str">
        <f>IF(B9="","",IF('Marks Entry'!AI9="",'Marks Entry'!$AI$4,'Marks Entry'!AI9))</f>
        <v>Political Science</v>
      </c>
      <c r="AK9" s="105">
        <f>IF('Marks Entry'!AJ9="","",'Marks Entry'!AJ9)</f>
        <v>15</v>
      </c>
      <c r="AL9" s="105">
        <f>IF('Marks Entry'!AK9="","",'Marks Entry'!AK9)</f>
        <v>15</v>
      </c>
      <c r="AM9" s="105">
        <f>IF(AND('Marks Entry'!AL9="",'Marks Entry'!AM9=""),"",SUM('Marks Entry'!AL9:AM9))</f>
        <v>40</v>
      </c>
      <c r="AN9" s="105" t="str">
        <f>IF('Marks Entry'!AN9="","",'Marks Entry'!AN9)</f>
        <v/>
      </c>
      <c r="AO9" s="105">
        <f>IF(AND(AM9="",AN9=""),"",IF(AND(AM9="ml",AN9="ml"),"ml",IF(AND(AM9="ab",AN9="ab"),"ab",SUM(AM9:AN9))))</f>
        <v>40</v>
      </c>
      <c r="AP9" s="105">
        <f>IF(AND('Marks Entry'!AO9="",'Marks Entry'!AP9=""),"",SUM('Marks Entry'!AO9:AP9))</f>
        <v>75</v>
      </c>
      <c r="AQ9" s="105" t="str">
        <f>IF('Marks Entry'!AQ9="","",'Marks Entry'!AQ9)</f>
        <v/>
      </c>
      <c r="AR9" s="105">
        <f>IF(AND(AP9="",AQ9=""),"",IF(AND(AP9="ml",AQ9="ml"),"ml",IF(AND(AP9="ab",AQ9="ab"),"ab",SUM(AP9:AQ9))))</f>
        <v>75</v>
      </c>
      <c r="AS9" s="105">
        <f>IF(AND(AK9="",AL9="",AO9="",AR9=""),"",SUM(AK9:AL9,AO9,AR9))</f>
        <v>145</v>
      </c>
      <c r="AT9" s="105" t="str">
        <f>IF(OR($B9="NSO",$C9="",AS9=""),"",IF(AND(AS9&gt;=36%*200,AP9&gt;=20),"P",IF(AND(AS9&gt;=34%*200,AP9&gt;=20),"G2",IF(AND(AS9&gt;=200*31%,AP9&gt;=20),"G1",IF(AS9&gt;=200*25%,"S","F")))))</f>
        <v>P</v>
      </c>
      <c r="AU9" s="105" t="str">
        <f>IF(OR(AT9="",AT9=0,AT9="S",AT9="F",AT9="AB"),AT9,IF(AS9&gt;=75%*200,"D",IF(AS9&gt;=60%*200,"I",IF(AS9&gt;=48%*200,"II",IF(AS9&gt;=36%*200,"III",AT9)))))</f>
        <v>I</v>
      </c>
      <c r="AV9" s="47" t="str">
        <f>IF(B9="","",IF('Marks Entry'!AS9="",'Marks Entry'!$AS$4,'Marks Entry'!AS9))</f>
        <v>Geography</v>
      </c>
      <c r="AW9" s="105">
        <f>IF('Marks Entry'!AT9="","",'Marks Entry'!AT9)</f>
        <v>15</v>
      </c>
      <c r="AX9" s="105">
        <f>IF('Marks Entry'!AU9="","",'Marks Entry'!AU9)</f>
        <v>15</v>
      </c>
      <c r="AY9" s="105">
        <f>IF(AND('Marks Entry'!AV9="",'Marks Entry'!AW9=""),"",SUM('Marks Entry'!AV9:AW9))</f>
        <v>23</v>
      </c>
      <c r="AZ9" s="105">
        <f>IF('Marks Entry'!AX9="","",'Marks Entry'!AX9)</f>
        <v>10</v>
      </c>
      <c r="BA9" s="105">
        <f>SUM(AY9:AZ9)</f>
        <v>33</v>
      </c>
      <c r="BB9" s="105">
        <f>IF(AND('Marks Entry'!AY9="",'Marks Entry'!AZ9=""),"",SUM('Marks Entry'!AY9:AZ9))</f>
        <v>41</v>
      </c>
      <c r="BC9" s="105">
        <f>IF('Marks Entry'!BA9="","",'Marks Entry'!BA9)</f>
        <v>12</v>
      </c>
      <c r="BD9" s="105">
        <f>SUM(BB9:BC9)</f>
        <v>53</v>
      </c>
      <c r="BE9" s="105">
        <f>IF(AND(AW9="",AX9="",BA9="",BD9=""),"",SUM(AW9:AX9,BA9,BD9))</f>
        <v>116</v>
      </c>
      <c r="BF9" s="105" t="str">
        <f>IF(OR($B9="NSO",$C9="",BE9=""),"",IF(AND(BE9&gt;=36%*200,BB9&gt;=20),"P",IF(AND(BE9&gt;=34%*200,BB9&gt;=20),"G2",IF(AND(BE9&gt;=200*31%,BB9&gt;=20),"G1",IF(BE9&gt;=200*25%,"S","F")))))</f>
        <v>P</v>
      </c>
      <c r="BG9" s="105" t="str">
        <f>IF(OR(BF9="",BF9=0,BF9="S",BF9="F",BF9="AB"),BF9,IF(BE9&gt;=75%*200,"D",IF(BE9&gt;=60%*200,"I",IF(BE9&gt;=48%*200,"II",IF(BE9&gt;=36%*200,"III",BF9)))))</f>
        <v>II</v>
      </c>
      <c r="BH9" s="105">
        <f>IF(OR(B9="",B9="NSO"),"",SUM(N9,U9,AG9,AS9,BE9))</f>
        <v>617</v>
      </c>
      <c r="BI9" s="50">
        <f t="shared" ref="BI9:BI40" si="3">IF(OR(B9="",B9="NSO",BH9=0),"",BH9/1000)</f>
        <v>0.61699999999999999</v>
      </c>
      <c r="BJ9" s="47" t="str">
        <f t="shared" ref="BJ9:BJ40" si="4">IF($B9="NSO","NSO",IF(OR($B9="",$B9=0,M9="",T9="",AD9="",AP9="",BB9=""),"",IF(OR(CS9&gt;0,(CT9+CU9+CV9)&gt;2),"FAIL",IF(OR(CT9&gt;0,CU9&gt;1),"SUPP.",IF(AND(CU9&gt;0,CV9&gt;0),"SUPP.",IF((CU9+CV9),"Passed with Grace","PASS"))))))</f>
        <v>PASS</v>
      </c>
      <c r="BK9" s="105" t="str">
        <f>IF(AND(BI9&gt;=60%,BJ9="PASS"),"1st",IF(AND(BI9&gt;=60%,BJ9="Passed with Grace"),"1st",IF(AND(BI9&gt;=48%,BJ9="PASS"),"2nd",IF(AND(BI9&gt;=48%,BJ9="Passed with Grace"),"2nd",IF(OR(BJ9="PASS",BJ9="Passed with Grace"),"3rd","")))))</f>
        <v>1st</v>
      </c>
      <c r="BL9" s="105">
        <f>IF(CK9="","",SUMPRODUCT((CK9&lt;CK$9:CK$109)/COUNTIF(CK$9:CK$109,CK$9:CK$109)))</f>
        <v>2.0000000000000018</v>
      </c>
      <c r="BM9" s="105">
        <f>IF(OR(B9="",'Marks Entry'!BY9=""),"",'Marks Entry'!BY9)</f>
        <v>400</v>
      </c>
      <c r="BN9" s="105">
        <f>IF(OR(B9="",'Marks Entry'!BZ9=""),"",'Marks Entry'!BZ9)</f>
        <v>300</v>
      </c>
      <c r="BO9" s="105">
        <f>IF('Marks Entry'!BC9="","",'Marks Entry'!BC9)</f>
        <v>15</v>
      </c>
      <c r="BP9" s="105">
        <f>IF('Marks Entry'!BD9="","",'Marks Entry'!BD9)</f>
        <v>15</v>
      </c>
      <c r="BQ9" s="105">
        <f>IF(AND('Marks Entry'!BE9="",'Marks Entry'!BF9=""),"",SUM('Marks Entry'!BE9:BF9))</f>
        <v>25</v>
      </c>
      <c r="BR9" s="105">
        <f>IF(AND('Marks Entry'!BG9="",'Marks Entry'!BH9=""),"",SUM('Marks Entry'!BG9:BH9))</f>
        <v>82</v>
      </c>
      <c r="BS9" s="105">
        <f>IF(AND(BO9="",BP9="",BQ9="",BR9=""),"",SUM(BO9:BR9))</f>
        <v>137</v>
      </c>
      <c r="BT9" s="105" t="str">
        <f>IF(OR($B9="NSO",$B9="",BS9=""),"",IF(AND(BS9&gt;=36%*200,BR9&gt;=20),"P","S"))</f>
        <v>P</v>
      </c>
      <c r="BU9" s="105" t="str">
        <f>IF(OR(BT9="RE",BT9="",BT9="F",BT9="AB"),BT9,IF(BS9&gt;=80%*200,"A",IF(BS9&gt;=60%*200,"B",IF(BS9&gt;=40%*200,"C","D"))))</f>
        <v>B</v>
      </c>
      <c r="BV9" s="105">
        <f>IF('Marks Entry'!BJ9="","",'Marks Entry'!BJ9)</f>
        <v>15</v>
      </c>
      <c r="BW9" s="105">
        <f>IF('Marks Entry'!BK9="","",'Marks Entry'!BK9)</f>
        <v>15</v>
      </c>
      <c r="BX9" s="105">
        <f>IF(AND('Marks Entry'!BL9="",'Marks Entry'!BM9=""),"",SUM('Marks Entry'!BL9:BM9))</f>
        <v>25</v>
      </c>
      <c r="BY9" s="105">
        <f>IF(AND('Marks Entry'!BN9="",'Marks Entry'!BO9=""),"",SUM('Marks Entry'!BN9:BO9))</f>
        <v>82</v>
      </c>
      <c r="BZ9" s="105">
        <f>IF(AND(BV9="",BW9="",BX9="",BY9=""),"",SUM(BV9:BY9))</f>
        <v>137</v>
      </c>
      <c r="CA9" s="105" t="str">
        <f>IF(OR($B9="NSO",$B9="",BZ9=""),"",IF(AND(BZ9&gt;=36%*200,BY9&gt;=20),"P","S"))</f>
        <v>P</v>
      </c>
      <c r="CB9" s="105" t="str">
        <f>IF(OR(CA9="RE",CA9="",CA9="F",CA9="AB"),CA9,IF(BZ9&gt;=80%*200,"A",IF(BZ9&gt;=60%*200,"B",IF(BZ9&gt;=40%*200,"C","D"))))</f>
        <v>B</v>
      </c>
      <c r="CC9" s="105" t="str">
        <f>IF('Marks Entry'!BQ9="","",'Marks Entry'!BQ9)</f>
        <v/>
      </c>
      <c r="CD9" s="105" t="str">
        <f>IF('Marks Entry'!BR9="","",'Marks Entry'!BR9)</f>
        <v/>
      </c>
      <c r="CE9" s="105" t="str">
        <f>IF(AND('Marks Entry'!BS9="",'Marks Entry'!BT9=""),"",SUM('Marks Entry'!BS9:BT9))</f>
        <v/>
      </c>
      <c r="CF9" s="105" t="str">
        <f>IF(AND('Marks Entry'!BU9="",'Marks Entry'!BV9=""),"",SUM('Marks Entry'!BU9:BV9))</f>
        <v/>
      </c>
      <c r="CG9" s="105" t="str">
        <f>IF(AND(CC9="",CD9="",CE9="",CF9=""),"",SUM(CC9:CF9))</f>
        <v/>
      </c>
      <c r="CH9" s="105" t="str">
        <f>IF(OR($B9="NSO",$B9="",CG9=""),"",IF(AND(CG9&gt;=36%*200,CF9&gt;=20),"P","S"))</f>
        <v/>
      </c>
      <c r="CI9" s="105" t="str">
        <f>IF(OR(CH9="RE",CH9="",CH9="F",CH9="AB"),CH9,IF(CG9&gt;=80%*200,"A",IF(CG9&gt;=60%*200,"B",IF(CG9&gt;=40%*200,"C","D"))))</f>
        <v/>
      </c>
      <c r="CJ9" s="81"/>
      <c r="CK9" s="50">
        <f t="shared" ref="CK9:CK40" si="5">IF(OR(BJ9="PASS",BJ9="Passed with Grace"),BI9,"")</f>
        <v>0.61699999999999999</v>
      </c>
      <c r="CM9" s="105" t="str">
        <f t="shared" ref="CM9:CM40" si="6">O9</f>
        <v>P</v>
      </c>
      <c r="CN9" s="105" t="str">
        <f t="shared" ref="CN9:CN40" si="7">V9</f>
        <v>P</v>
      </c>
      <c r="CO9" s="105" t="str">
        <f t="shared" ref="CO9:CO40" si="8">AH9</f>
        <v>P</v>
      </c>
      <c r="CP9" s="105" t="str">
        <f t="shared" ref="CP9:CP40" si="9">AT9</f>
        <v>P</v>
      </c>
      <c r="CQ9" s="105" t="str">
        <f t="shared" ref="CQ9:CQ40" si="10">BF9</f>
        <v>P</v>
      </c>
      <c r="CR9" s="35"/>
      <c r="CS9" s="105">
        <f t="shared" ref="CS9:CS40" si="11">COUNTIF(CM9:CQ9,"F")</f>
        <v>0</v>
      </c>
      <c r="CT9" s="105">
        <f t="shared" ref="CT9:CT40" si="12">COUNTIF(CM9:CQ9,"S")</f>
        <v>0</v>
      </c>
      <c r="CU9" s="105">
        <f t="shared" ref="CU9:CU40" si="13">COUNTIF(CM9:CQ9,"G1")</f>
        <v>0</v>
      </c>
      <c r="CV9" s="105">
        <f t="shared" ref="CV9:CV40" si="14">COUNTIF(CM9:CQ9,"G2")</f>
        <v>0</v>
      </c>
      <c r="CW9" s="81"/>
      <c r="CX9" s="105" t="str">
        <f t="shared" ref="CX9:CX40" si="15">P9</f>
        <v>II</v>
      </c>
      <c r="CY9" s="105" t="str">
        <f t="shared" ref="CY9:CY40" si="16">W9</f>
        <v>II</v>
      </c>
      <c r="CZ9" s="105" t="str">
        <f t="shared" ref="CZ9:CZ40" si="17">AI9</f>
        <v>I</v>
      </c>
      <c r="DA9" s="105" t="str">
        <f t="shared" ref="DA9:DA40" si="18">AU9</f>
        <v>I</v>
      </c>
      <c r="DB9" s="105" t="str">
        <f t="shared" ref="DB9:DB40" si="19">BG9</f>
        <v>II</v>
      </c>
      <c r="DD9" s="105" t="str">
        <f t="shared" ref="DD9:DD40" si="20">IF(AND(BJ9="FAIL",(OR(CX9="G1",CX9="G2",CX9="S"))),"F",IF(AND(BJ9="FAIL",CX9="RE"),"AB",IF(AND(BJ9="ReExam",(OR(CX9="G1",CX9="G2",CX9="S"))),"S",IF(AND(BJ9="SUPP.",(OR(CX9="G1",CX9="G2"))),"S",IF(AND(BJ9="Passed with Grace",(OR(CX9="G1",CX9="G2"))),"G",CX9)))))</f>
        <v>II</v>
      </c>
      <c r="DE9" s="105" t="str">
        <f t="shared" ref="DE9:DE40" si="21">IF(DD9="G"," + "&amp;ROUNDUP(36%*200-N9,0),"")</f>
        <v/>
      </c>
      <c r="DF9" s="105" t="str">
        <f t="shared" ref="DF9:DF40" si="22">IF(AND(BJ9="FAIL",(OR(CY9="G1",CY9="G2",CY9="S"))),"F",IF(AND(BJ9="FAIL",CY9="RE"),"AB",IF(AND(BJ9="ReExam",(OR(CY9="G1",CY9="G2",CY9="S"))),"S",IF(AND(BJ9="SUPP.",(OR(CY9="G1",CY9="G2"))),"S",IF(AND(BJ9="Passed with Grace",(OR(CY9="G1",CY9="G2"))),"G",CY9)))))</f>
        <v>II</v>
      </c>
      <c r="DG9" s="105" t="str">
        <f t="shared" ref="DG9:DG40" si="23">IF(DF9="G"," + "&amp;ROUNDUP(36%*200-U9,0),"")</f>
        <v/>
      </c>
      <c r="DH9" s="105" t="str">
        <f t="shared" ref="DH9:DH40" si="24">IF(AND(BJ9="FAIL",(OR(CZ9="G1",CZ9="G2",CZ9="S"))),"F",IF(AND(BJ9="FAIL",CZ9="RE"),"AB",IF(AND(BJ9="ReExam",(OR(CZ9="G1",CZ9="G2",CZ9="S"))),"S",IF(AND(BJ9="SUPP.",(OR(CZ9="G1",CZ9="G2"))),"S",IF(AND(BJ9="Passed with Grace",(OR(CZ9="G1",CZ9="G2"))),"G",CZ9)))))</f>
        <v>I</v>
      </c>
      <c r="DI9" s="105" t="str">
        <f t="shared" ref="DI9:DI40" si="25">IF(DH9="G"," + "&amp;ROUNDUP(36%*200-AG9,0),"")</f>
        <v/>
      </c>
      <c r="DJ9" s="105" t="str">
        <f t="shared" ref="DJ9:DJ40" si="26">IF(AND(BJ9="FAIL",(OR(DA9="G1",DA9="G2",DA9="S"))),"F",IF(AND(BJ9="FAIL",DA9="RE"),"AB",IF(AND(BJ9="ReExam",(OR(DA9="G1",DA9="G2",DA9="S"))),"S",IF(AND(BJ9="SUPP.",(OR(DA9="G1",DA9="G2"))),"S",IF(AND(BJ9="Passed with Grace",(OR(DA9="G1",DA9="G2"))),"G",DA9)))))</f>
        <v>I</v>
      </c>
      <c r="DK9" s="105" t="str">
        <f t="shared" ref="DK9:DK40" si="27">IF(DJ9="G"," + "&amp;ROUNDUP(36%*200-AS9,0),"")</f>
        <v/>
      </c>
      <c r="DL9" s="105" t="str">
        <f t="shared" ref="DL9:DL40" si="28">IF(AND(BJ9="FAIL",(OR(DB9="G1",DB9="G2",DB9="S"))),"F",IF(AND(BJ9="FAIL",DB9="RE"),"AB",IF(AND(BJ9="ReExam",(OR(DB9="G1",DB9="G2",DB9="S"))),"S",IF(AND(BJ9="SUPP.",(OR(DB9="G1",DB9="G2"))),"S",IF(AND(BJ9="Passed with Grace",(OR(DB9="G1",DB9="G2"))),"G",DB9)))))</f>
        <v>II</v>
      </c>
      <c r="DM9" s="105" t="str">
        <f t="shared" ref="DM9:DM40" si="29">IF(DL9="G"," + "&amp;ROUNDUP(36%*200-BE9,0),"")</f>
        <v/>
      </c>
      <c r="DN9" s="105" t="str">
        <f t="shared" ref="DN9:DN40" si="30">IF(AND(BJ9="Fail",BS9="ML"),"AB",IF(AND(BJ9="Fail",BU9="RE"),"F",BU9))</f>
        <v>B</v>
      </c>
      <c r="DO9" s="105" t="str">
        <f t="shared" ref="DO9:DO40" si="31">IF(AND(BJ9="Fail",BZ9="ML"),"AB",IF(AND(BJ9="Fail",CB9="RE"),"F",CB9))</f>
        <v>B</v>
      </c>
      <c r="DP9" s="105" t="str">
        <f t="shared" ref="DP9:DP40" si="32">IF(AND(BJ9="Fail",CG9="ML"),"AB",IF(AND(BJ9="Fail",CI9="RE"),"F",CI9))</f>
        <v/>
      </c>
      <c r="DR9" s="118" t="str">
        <f>CONCATENATE(IF(DD9="F",$DD$6,"")," ",IF(DF9="F",$DF$6,"")," ",IF(DH9="F",$DH$6,""),IF(DJ9="F",$DJ$6,"")," ",IF(DL9="F",$DL$6,"")," ")</f>
        <v xml:space="preserve">    </v>
      </c>
      <c r="DS9" s="77"/>
      <c r="DT9" s="119" t="str">
        <f>CONCATENATE(IF(DD9="S",$DD$6,"")," ",IF(DF9="S",$DF$6,"")," ",IF(DH9="S",$DH$6,""),IF(DJ9="S",$DJ$6,"")," ",IF(DL9="S",$DL$6,"")," ")</f>
        <v xml:space="preserve">    </v>
      </c>
      <c r="DU9" s="136"/>
      <c r="DV9" s="119" t="str">
        <f>CONCATENATE(IF(DD9="RE",$DD$6,"")," ",IF(DF9="RE",$DF$6,"")," ",IF(DH9="RE",$DH$6,""),IF(DJ9="RE",$DJ$6,"")," ",IF(DL9="RE",$DL$6,"")," ")</f>
        <v xml:space="preserve">    </v>
      </c>
      <c r="DW9" s="77"/>
      <c r="DX9" s="119" t="str">
        <f>CONCATENATE(IF(DD9="G",CONCATENATE($DD$6,DE9),"")," ",IF(DF9="G",CONCATENATE($DF$6,DG9),"")," ",IF(DH9="G",CONCATENATE($DH$6,DI9),"")," ",IF(DJ9="G",CONCATENATE($DJ$6,DK9),"")," ",IF(DL9="G",CONCATENATE($DL$6,DM9),"")," ")</f>
        <v xml:space="preserve">     </v>
      </c>
      <c r="DY9" s="77"/>
      <c r="DZ9" s="119" t="str">
        <f>CONCATENATE(IF(DD9="D",$DD$6,"")," ",IF(DF9="D",$DF$6,"")," ",IF(DH9="D",$DH$6,""),IF(DJ9="D",$DJ$6,"")," ",IF(DL9="D",$DL$6,"")," ")</f>
        <v xml:space="preserve">    </v>
      </c>
    </row>
    <row r="10" spans="1:130" ht="30" customHeight="1" x14ac:dyDescent="0.25">
      <c r="A10" s="105">
        <f>IF('Marks Entry'!A10="","",'Marks Entry'!A10)</f>
        <v>2</v>
      </c>
      <c r="B10" s="105">
        <f>IF('Marks Entry'!B10="","",'Marks Entry'!B10)</f>
        <v>907</v>
      </c>
      <c r="C10" s="105">
        <f>IF('Marks Entry'!C10="","",'Marks Entry'!C10)</f>
        <v>12970</v>
      </c>
      <c r="D10" s="48" t="str">
        <f>IF('Marks Entry'!D10="","",'Marks Entry'!D10)</f>
        <v>ASHOK SINGH RAWAT</v>
      </c>
      <c r="E10" s="48" t="str">
        <f>IF('Marks Entry'!E10="","",'Marks Entry'!E10)</f>
        <v>MOHAN SINGH</v>
      </c>
      <c r="F10" s="48" t="str">
        <f>IF('Marks Entry'!F10="","",'Marks Entry'!F10)</f>
        <v>BHANWARI BAI</v>
      </c>
      <c r="G10" s="105" t="str">
        <f>IF('Marks Entry'!G10="","",'Marks Entry'!G10)</f>
        <v>BOY</v>
      </c>
      <c r="H10" s="49">
        <f>IF('Marks Entry'!H10="","",'Marks Entry'!H10)</f>
        <v>38563</v>
      </c>
      <c r="I10" s="105" t="str">
        <f>IF('Marks Entry'!I10="","",'Marks Entry'!I10)</f>
        <v>OBC</v>
      </c>
      <c r="J10" s="105">
        <f>IF('Marks Entry'!K10="","",'Marks Entry'!K10)</f>
        <v>10</v>
      </c>
      <c r="K10" s="105">
        <f>IF('Marks Entry'!L10="","",'Marks Entry'!L10)</f>
        <v>10</v>
      </c>
      <c r="L10" s="105">
        <f>IF(AND('Marks Entry'!M10="",'Marks Entry'!N10=""),"",SUM('Marks Entry'!M10:N10))</f>
        <v>16</v>
      </c>
      <c r="M10" s="105">
        <f>IF(AND('Marks Entry'!O10="",'Marks Entry'!P10=""),"",SUM('Marks Entry'!O10:P10))</f>
        <v>48</v>
      </c>
      <c r="N10" s="105">
        <f t="shared" si="2"/>
        <v>84</v>
      </c>
      <c r="O10" s="105" t="str">
        <f t="shared" ref="O10:O73" si="33">IF(OR($B10="NSO",$C10="",N10=""),"",IF(AND(N10&gt;=36%*200,M10&gt;=20),"P",IF(AND(N10&gt;=34%*200,M10&gt;=20),"G2",IF(AND(N10&gt;=200*31%,M10&gt;=20),"G1",IF(N10&gt;=200*25%,"S","F")))))</f>
        <v>P</v>
      </c>
      <c r="P10" s="105" t="str">
        <f t="shared" ref="P10:P73" si="34">IF(OR(O10="",O10=0,O10="S",O10="F",O10="AB"),O10,IF(N10&gt;=75%*200,"D",IF(N10&gt;=60%*200,"I",IF(N10&gt;=48%*200,"II",IF(N10&gt;=36%*200,"III",O10)))))</f>
        <v>III</v>
      </c>
      <c r="Q10" s="105">
        <f>IF('Marks Entry'!R10="","",'Marks Entry'!R10)</f>
        <v>5</v>
      </c>
      <c r="R10" s="105">
        <f>IF('Marks Entry'!S10="","",'Marks Entry'!S10)</f>
        <v>10</v>
      </c>
      <c r="S10" s="105">
        <f>IF(AND('Marks Entry'!T10="",'Marks Entry'!U10=""),"",SUM('Marks Entry'!T10:U10))</f>
        <v>16</v>
      </c>
      <c r="T10" s="105">
        <f>IF(AND('Marks Entry'!V10="",'Marks Entry'!W10=""),"",SUM('Marks Entry'!V10:W10))</f>
        <v>39</v>
      </c>
      <c r="U10" s="105">
        <f t="shared" ref="U10:U73" si="35">IF(AND(Q10="",R10="",S10="",T10=""),"",SUM(Q10:T10))</f>
        <v>70</v>
      </c>
      <c r="V10" s="105" t="str">
        <f t="shared" ref="V10:V73" si="36">IF(OR($B10="NSO",$C10="",U10=""),"",IF(AND(U10&gt;=36%*200,T10&gt;=20),"P",IF(AND(U10&gt;=34%*200,T10&gt;=20),"G2",IF(AND(U10&gt;=200*31%,T10&gt;=20),"G1",IF(U10&gt;=200*25%,"S","F")))))</f>
        <v>G2</v>
      </c>
      <c r="W10" s="105" t="str">
        <f t="shared" ref="W10:W73" si="37">IF(OR(V10="",V10=0,V10="S",V10="F",V10="AB"),V10,IF(U10&gt;=75%*200,"D",IF(U10&gt;=60%*200,"I",IF(U10&gt;=48%*200,"II",IF(U10&gt;=36%*200,"III",V10)))))</f>
        <v>G2</v>
      </c>
      <c r="X10" s="47" t="str">
        <f>IF(B10="","",IF('Marks Entry'!Y10="",'Marks Entry'!$Y$4,'Marks Entry'!Y10))</f>
        <v>History</v>
      </c>
      <c r="Y10" s="105">
        <f>IF('Marks Entry'!Z10="","",'Marks Entry'!Z10)</f>
        <v>12</v>
      </c>
      <c r="Z10" s="105">
        <f>IF('Marks Entry'!AA10="","",'Marks Entry'!AA10)</f>
        <v>10</v>
      </c>
      <c r="AA10" s="105">
        <f>IF(AND('Marks Entry'!AB10="",'Marks Entry'!AC10=""),"",SUM('Marks Entry'!AB10:AC10))</f>
        <v>16</v>
      </c>
      <c r="AB10" s="105" t="str">
        <f>IF('Marks Entry'!AD10="","",'Marks Entry'!AD10)</f>
        <v/>
      </c>
      <c r="AC10" s="105">
        <f t="shared" ref="AC10:AC73" si="38">IF(AND(AA10="",AB10=""),"",IF(AND(AA10="ml",AB10="ml"),"ml",IF(AND(AA10="ab",AB10="ab"),"ab",SUM(AA10:AB10))))</f>
        <v>16</v>
      </c>
      <c r="AD10" s="105">
        <f>IF(AND('Marks Entry'!AE10="",'Marks Entry'!AF10=""),"",SUM('Marks Entry'!AE10:AF10))</f>
        <v>51</v>
      </c>
      <c r="AE10" s="105" t="str">
        <f>IF('Marks Entry'!AG10="","",'Marks Entry'!AG10)</f>
        <v/>
      </c>
      <c r="AF10" s="105">
        <f t="shared" ref="AF10:AF73" si="39">IF(AND(AD10="",AE10=""),"",IF(AND(AD10="ml",AE10="ml"),"ml",IF(AND(AD10="ab",AE10="ab"),"ab",SUM(AD10:AE10))))</f>
        <v>51</v>
      </c>
      <c r="AG10" s="105">
        <f t="shared" ref="AG10:AG73" si="40">IF(AND(Y10="",Z10="",AC10="",AF10=""),"",SUM(Y10:Z10,AC10,AF10))</f>
        <v>89</v>
      </c>
      <c r="AH10" s="105" t="str">
        <f t="shared" ref="AH10:AH73" si="41">IF(OR($B10="NSO",$C10="",AG10=""),"",IF(AND(AG10&gt;=36%*200,AD10&gt;=20),"P",IF(AND(AG10&gt;=34%*200,AD10&gt;=20),"G2",IF(AND(AG10&gt;=200*31%,AD10&gt;=20),"G1",IF(AG10&gt;=200*25%,"S","F")))))</f>
        <v>P</v>
      </c>
      <c r="AI10" s="105" t="str">
        <f t="shared" ref="AI10:AI73" si="42">IF(OR(AH10="",AH10=0,AH10="S",AH10="F",AH10="AB"),AH10,IF(AG10&gt;=75%*200,"D",IF(AG10&gt;=60%*200,"I",IF(AG10&gt;=48%*200,"II",IF(AG10&gt;=36%*200,"III",AH10)))))</f>
        <v>III</v>
      </c>
      <c r="AJ10" s="47" t="str">
        <f>IF(B10="","",IF('Marks Entry'!AI10="",'Marks Entry'!$AI$4,'Marks Entry'!AI10))</f>
        <v>Political Science</v>
      </c>
      <c r="AK10" s="105">
        <f>IF('Marks Entry'!AJ10="","",'Marks Entry'!AJ10)</f>
        <v>6</v>
      </c>
      <c r="AL10" s="105">
        <f>IF('Marks Entry'!AK10="","",'Marks Entry'!AK10)</f>
        <v>10</v>
      </c>
      <c r="AM10" s="105">
        <f>IF(AND('Marks Entry'!AL10="",'Marks Entry'!AM10=""),"",SUM('Marks Entry'!AL10:AM10))</f>
        <v>16</v>
      </c>
      <c r="AN10" s="105" t="str">
        <f>IF('Marks Entry'!AN10="","",'Marks Entry'!AN10)</f>
        <v/>
      </c>
      <c r="AO10" s="105">
        <f t="shared" ref="AO10:AO73" si="43">IF(AND(AM10="",AN10=""),"",IF(AND(AM10="ml",AN10="ml"),"ml",IF(AND(AM10="ab",AN10="ab"),"ab",SUM(AM10:AN10))))</f>
        <v>16</v>
      </c>
      <c r="AP10" s="105">
        <f>IF(AND('Marks Entry'!AO10="",'Marks Entry'!AP10=""),"",SUM('Marks Entry'!AO10:AP10))</f>
        <v>50</v>
      </c>
      <c r="AQ10" s="105" t="str">
        <f>IF('Marks Entry'!AQ10="","",'Marks Entry'!AQ10)</f>
        <v/>
      </c>
      <c r="AR10" s="105">
        <f t="shared" ref="AR10:AR73" si="44">IF(AND(AP10="",AQ10=""),"",IF(AND(AP10="ml",AQ10="ml"),"ml",IF(AND(AP10="ab",AQ10="ab"),"ab",SUM(AP10:AQ10))))</f>
        <v>50</v>
      </c>
      <c r="AS10" s="105">
        <f t="shared" ref="AS10:AS73" si="45">IF(AND(AK10="",AL10="",AO10="",AR10=""),"",SUM(AK10:AL10,AO10,AR10))</f>
        <v>82</v>
      </c>
      <c r="AT10" s="105" t="str">
        <f t="shared" ref="AT10:AT73" si="46">IF(OR($B10="NSO",$C10="",AS10=""),"",IF(AND(AS10&gt;=36%*200,AP10&gt;=20),"P",IF(AND(AS10&gt;=34%*200,AP10&gt;=20),"G2",IF(AND(AS10&gt;=200*31%,AP10&gt;=20),"G1",IF(AS10&gt;=200*25%,"S","F")))))</f>
        <v>P</v>
      </c>
      <c r="AU10" s="105" t="str">
        <f t="shared" ref="AU10:AU73" si="47">IF(OR(AT10="",AT10=0,AT10="S",AT10="F",AT10="AB"),AT10,IF(AS10&gt;=75%*200,"D",IF(AS10&gt;=60%*200,"I",IF(AS10&gt;=48%*200,"II",IF(AS10&gt;=36%*200,"III",AT10)))))</f>
        <v>III</v>
      </c>
      <c r="AV10" s="47" t="str">
        <f>IF(B10="","",IF('Marks Entry'!AS10="",'Marks Entry'!$AS$4,'Marks Entry'!AS10))</f>
        <v>Geography</v>
      </c>
      <c r="AW10" s="105">
        <f>IF('Marks Entry'!AT10="","",'Marks Entry'!AT10)</f>
        <v>15</v>
      </c>
      <c r="AX10" s="105">
        <f>IF('Marks Entry'!AU10="","",'Marks Entry'!AU10)</f>
        <v>10</v>
      </c>
      <c r="AY10" s="105">
        <f>IF(AND('Marks Entry'!AV10="",'Marks Entry'!AW10=""),"",SUM('Marks Entry'!AV10:AW10))</f>
        <v>25</v>
      </c>
      <c r="AZ10" s="105">
        <f>IF('Marks Entry'!AX10="","",'Marks Entry'!AX10)</f>
        <v>11</v>
      </c>
      <c r="BA10" s="105">
        <f t="shared" ref="BA10:BA73" si="48">SUM(AY10:AZ10)</f>
        <v>36</v>
      </c>
      <c r="BB10" s="105">
        <f>IF(AND('Marks Entry'!AY10="",'Marks Entry'!AZ10=""),"",SUM('Marks Entry'!AY10:AZ10))</f>
        <v>43</v>
      </c>
      <c r="BC10" s="105">
        <f>IF('Marks Entry'!BA10="","",'Marks Entry'!BA10)</f>
        <v>13</v>
      </c>
      <c r="BD10" s="105">
        <f t="shared" ref="BD10:BD73" si="49">SUM(BB10:BC10)</f>
        <v>56</v>
      </c>
      <c r="BE10" s="105">
        <f t="shared" ref="BE10:BE73" si="50">IF(AND(AW10="",AX10="",BA10="",BD10=""),"",SUM(AW10:AX10,BA10,BD10))</f>
        <v>117</v>
      </c>
      <c r="BF10" s="105" t="str">
        <f t="shared" ref="BF10:BF73" si="51">IF(OR($B10="NSO",$C10="",BE10=""),"",IF(AND(BE10&gt;=36%*200,BB10&gt;=20),"P",IF(AND(BE10&gt;=34%*200,BB10&gt;=20),"G2",IF(AND(BE10&gt;=200*31%,BB10&gt;=20),"G1",IF(BE10&gt;=200*25%,"S","F")))))</f>
        <v>P</v>
      </c>
      <c r="BG10" s="105" t="str">
        <f t="shared" ref="BG10:BG73" si="52">IF(OR(BF10="",BF10=0,BF10="S",BF10="F",BF10="AB"),BF10,IF(BE10&gt;=75%*200,"D",IF(BE10&gt;=60%*200,"I",IF(BE10&gt;=48%*200,"II",IF(BE10&gt;=36%*200,"III",BF10)))))</f>
        <v>II</v>
      </c>
      <c r="BH10" s="105">
        <f t="shared" ref="BH10:BH73" si="53">IF(OR(B10="",B10="NSO"),"",SUM(N10,U10,AG10,AS10,BE10))</f>
        <v>442</v>
      </c>
      <c r="BI10" s="50">
        <f t="shared" si="3"/>
        <v>0.442</v>
      </c>
      <c r="BJ10" s="47" t="str">
        <f t="shared" si="4"/>
        <v>Passed with Grace</v>
      </c>
      <c r="BK10" s="105" t="str">
        <f t="shared" ref="BK10:BK73" si="54">IF(AND(BI10&gt;=60%,BJ10="PASS"),"1st",IF(AND(BI10&gt;=60%,BJ10="Passed with Grace"),"1st",IF(AND(BI10&gt;=48%,BJ10="PASS"),"2nd",IF(AND(BI10&gt;=48%,BJ10="Passed with Grace"),"2nd",IF(OR(BJ10="PASS",BJ10="Passed with Grace"),"3rd","")))))</f>
        <v>3rd</v>
      </c>
      <c r="BL10" s="105">
        <f t="shared" ref="BL10:BL73" si="55">IF(CK10="","",SUMPRODUCT((CK10&lt;CK$9:CK$109)/COUNTIF(CK$9:CK$109,CK$9:CK$109)))</f>
        <v>12.999999999999927</v>
      </c>
      <c r="BM10" s="105">
        <f>IF(OR(B10="",'Marks Entry'!BY10=""),"",'Marks Entry'!BY10)</f>
        <v>400</v>
      </c>
      <c r="BN10" s="105">
        <f>IF(OR(B10="",'Marks Entry'!BZ10=""),"",'Marks Entry'!BZ10)</f>
        <v>300</v>
      </c>
      <c r="BO10" s="105">
        <f>IF('Marks Entry'!BC10="","",'Marks Entry'!BC10)</f>
        <v>15</v>
      </c>
      <c r="BP10" s="105">
        <f>IF('Marks Entry'!BD10="","",'Marks Entry'!BD10)</f>
        <v>15</v>
      </c>
      <c r="BQ10" s="105">
        <f>IF(AND('Marks Entry'!BE10="",'Marks Entry'!BF10=""),"",SUM('Marks Entry'!BE10:BF10))</f>
        <v>25</v>
      </c>
      <c r="BR10" s="105">
        <f>IF(AND('Marks Entry'!BG10="",'Marks Entry'!BH10=""),"",SUM('Marks Entry'!BG10:BH10))</f>
        <v>82</v>
      </c>
      <c r="BS10" s="105">
        <f t="shared" ref="BS10:BS73" si="56">IF(AND(BO10="",BP10="",BQ10="",BR10=""),"",SUM(BO10:BR10))</f>
        <v>137</v>
      </c>
      <c r="BT10" s="105" t="str">
        <f t="shared" ref="BT10:BT73" si="57">IF(OR($B10="NSO",$B10="",BS10=""),"",IF(AND(BS10&gt;=36%*200,BR10&gt;=20),"P","S"))</f>
        <v>P</v>
      </c>
      <c r="BU10" s="105" t="str">
        <f t="shared" ref="BU10:BU73" si="58">IF(OR(BT10="RE",BT10="",BT10="F",BT10="AB"),BT10,IF(BS10&gt;=80%*200,"A",IF(BS10&gt;=60%*200,"B",IF(BS10&gt;=40%*200,"C","D"))))</f>
        <v>B</v>
      </c>
      <c r="BV10" s="105">
        <f>IF('Marks Entry'!BJ10="","",'Marks Entry'!BJ10)</f>
        <v>15</v>
      </c>
      <c r="BW10" s="105">
        <f>IF('Marks Entry'!BK10="","",'Marks Entry'!BK10)</f>
        <v>15</v>
      </c>
      <c r="BX10" s="105">
        <f>IF(AND('Marks Entry'!BL10="",'Marks Entry'!BM10=""),"",SUM('Marks Entry'!BL10:BM10))</f>
        <v>25</v>
      </c>
      <c r="BY10" s="105">
        <f>IF(AND('Marks Entry'!BN10="",'Marks Entry'!BO10=""),"",SUM('Marks Entry'!BN10:BO10))</f>
        <v>82</v>
      </c>
      <c r="BZ10" s="105">
        <f t="shared" ref="BZ10:BZ73" si="59">IF(AND(BV10="",BW10="",BX10="",BY10=""),"",SUM(BV10:BY10))</f>
        <v>137</v>
      </c>
      <c r="CA10" s="105" t="str">
        <f t="shared" ref="CA10:CA73" si="60">IF(OR($B10="NSO",$B10="",BZ10=""),"",IF(AND(BZ10&gt;=36%*200,BY10&gt;=20),"P","S"))</f>
        <v>P</v>
      </c>
      <c r="CB10" s="105" t="str">
        <f t="shared" ref="CB10:CB73" si="61">IF(OR(CA10="RE",CA10="",CA10="F",CA10="AB"),CA10,IF(BZ10&gt;=80%*200,"A",IF(BZ10&gt;=60%*200,"B",IF(BZ10&gt;=40%*200,"C","D"))))</f>
        <v>B</v>
      </c>
      <c r="CC10" s="105" t="str">
        <f>IF('Marks Entry'!BQ10="","",'Marks Entry'!BQ10)</f>
        <v/>
      </c>
      <c r="CD10" s="105" t="str">
        <f>IF('Marks Entry'!BR10="","",'Marks Entry'!BR10)</f>
        <v/>
      </c>
      <c r="CE10" s="105" t="str">
        <f>IF(AND('Marks Entry'!BS10="",'Marks Entry'!BT10=""),"",SUM('Marks Entry'!BS10:BT10))</f>
        <v/>
      </c>
      <c r="CF10" s="105" t="str">
        <f>IF(AND('Marks Entry'!BU10="",'Marks Entry'!BV10=""),"",SUM('Marks Entry'!BU10:BV10))</f>
        <v/>
      </c>
      <c r="CG10" s="105" t="str">
        <f t="shared" ref="CG10:CG73" si="62">IF(AND(CC10="",CD10="",CE10="",CF10=""),"",SUM(CC10:CF10))</f>
        <v/>
      </c>
      <c r="CH10" s="105" t="str">
        <f t="shared" ref="CH10:CH73" si="63">IF(OR($B10="NSO",$B10="",CG10=""),"",IF(AND(CG10&gt;=36%*200,CF10&gt;=20),"P","S"))</f>
        <v/>
      </c>
      <c r="CI10" s="105" t="str">
        <f t="shared" ref="CI10:CI73" si="64">IF(OR(CH10="RE",CH10="",CH10="F",CH10="AB"),CH10,IF(CG10&gt;=80%*200,"A",IF(CG10&gt;=60%*200,"B",IF(CG10&gt;=40%*200,"C","D"))))</f>
        <v/>
      </c>
      <c r="CJ10" s="81"/>
      <c r="CK10" s="50">
        <f t="shared" si="5"/>
        <v>0.442</v>
      </c>
      <c r="CM10" s="105" t="str">
        <f t="shared" si="6"/>
        <v>P</v>
      </c>
      <c r="CN10" s="105" t="str">
        <f t="shared" si="7"/>
        <v>G2</v>
      </c>
      <c r="CO10" s="105" t="str">
        <f t="shared" si="8"/>
        <v>P</v>
      </c>
      <c r="CP10" s="105" t="str">
        <f t="shared" si="9"/>
        <v>P</v>
      </c>
      <c r="CQ10" s="105" t="str">
        <f t="shared" si="10"/>
        <v>P</v>
      </c>
      <c r="CS10" s="105">
        <f t="shared" si="11"/>
        <v>0</v>
      </c>
      <c r="CT10" s="105">
        <f t="shared" si="12"/>
        <v>0</v>
      </c>
      <c r="CU10" s="105">
        <f t="shared" si="13"/>
        <v>0</v>
      </c>
      <c r="CV10" s="105">
        <f t="shared" si="14"/>
        <v>1</v>
      </c>
      <c r="CW10" s="81"/>
      <c r="CX10" s="105" t="str">
        <f t="shared" si="15"/>
        <v>III</v>
      </c>
      <c r="CY10" s="105" t="str">
        <f t="shared" si="16"/>
        <v>G2</v>
      </c>
      <c r="CZ10" s="105" t="str">
        <f t="shared" si="17"/>
        <v>III</v>
      </c>
      <c r="DA10" s="105" t="str">
        <f t="shared" si="18"/>
        <v>III</v>
      </c>
      <c r="DB10" s="105" t="str">
        <f t="shared" si="19"/>
        <v>II</v>
      </c>
      <c r="DD10" s="105" t="str">
        <f t="shared" si="20"/>
        <v>III</v>
      </c>
      <c r="DE10" s="105" t="str">
        <f t="shared" si="21"/>
        <v/>
      </c>
      <c r="DF10" s="105" t="str">
        <f t="shared" si="22"/>
        <v>G</v>
      </c>
      <c r="DG10" s="105" t="str">
        <f t="shared" si="23"/>
        <v xml:space="preserve"> + 2</v>
      </c>
      <c r="DH10" s="105" t="str">
        <f t="shared" si="24"/>
        <v>III</v>
      </c>
      <c r="DI10" s="105" t="str">
        <f t="shared" si="25"/>
        <v/>
      </c>
      <c r="DJ10" s="105" t="str">
        <f t="shared" si="26"/>
        <v>III</v>
      </c>
      <c r="DK10" s="105" t="str">
        <f t="shared" si="27"/>
        <v/>
      </c>
      <c r="DL10" s="105" t="str">
        <f t="shared" si="28"/>
        <v>II</v>
      </c>
      <c r="DM10" s="105" t="str">
        <f t="shared" si="29"/>
        <v/>
      </c>
      <c r="DN10" s="105" t="str">
        <f t="shared" si="30"/>
        <v>B</v>
      </c>
      <c r="DO10" s="105" t="str">
        <f t="shared" si="31"/>
        <v>B</v>
      </c>
      <c r="DP10" s="105" t="str">
        <f t="shared" si="32"/>
        <v/>
      </c>
      <c r="DR10" s="118" t="str">
        <f t="shared" ref="DR10:DR73" si="65">CONCATENATE(IF(DD10="F",$DD$6,"")," ",IF(DF10="F",$DF$6,"")," ",IF(DH10="F",$DH$6,""),IF(DJ10="F",$DJ$6,"")," ",IF(DL10="F",$DL$6,"")," ")</f>
        <v xml:space="preserve">    </v>
      </c>
      <c r="DS10" s="75"/>
      <c r="DT10" s="119" t="str">
        <f t="shared" ref="DT10:DT73" si="66">CONCATENATE(IF(DD10="S",$DD$6,"")," ",IF(DF10="S",$DF$6,"")," ",IF(DH10="S",$DH$6,""),IF(DJ10="S",$DJ$6,"")," ",IF(DL10="S",$DL$6,"")," ")</f>
        <v xml:space="preserve">    </v>
      </c>
      <c r="DU10" s="136"/>
      <c r="DV10" s="119" t="str">
        <f t="shared" ref="DV10:DV73" si="67">CONCATENATE(IF(DD10="RE",$DD$6,"")," ",IF(DF10="RE",$DF$6,"")," ",IF(DH10="RE",$DH$6,""),IF(DJ10="RE",$DJ$6,"")," ",IF(DL10="RE",$DL$6,"")," ")</f>
        <v xml:space="preserve">    </v>
      </c>
      <c r="DW10" s="75"/>
      <c r="DX10" s="119" t="str">
        <f t="shared" ref="DX10:DX73" si="68">CONCATENATE(IF(DD10="G",CONCATENATE($DD$6,DE10),"")," ",IF(DF10="G",CONCATENATE($DF$6,DG10),"")," ",IF(DH10="G",CONCATENATE($DH$6,DI10),"")," ",IF(DJ10="G",CONCATENATE($DJ$6,DK10),"")," ",IF(DL10="G",CONCATENATE($DL$6,DM10),"")," ")</f>
        <v xml:space="preserve"> ENGLISH Comp. + 2    </v>
      </c>
      <c r="DY10" s="75"/>
      <c r="DZ10" s="119" t="str">
        <f t="shared" ref="DZ10:DZ73" si="69">CONCATENATE(IF(DD10="D",$DD$6,"")," ",IF(DF10="D",$DF$6,"")," ",IF(DH10="D",$DH$6,""),IF(DJ10="D",$DJ$6,"")," ",IF(DL10="D",$DL$6,"")," ")</f>
        <v xml:space="preserve">    </v>
      </c>
    </row>
    <row r="11" spans="1:130" ht="30" customHeight="1" x14ac:dyDescent="0.25">
      <c r="A11" s="105">
        <f>IF('Marks Entry'!A11="","",'Marks Entry'!A11)</f>
        <v>3</v>
      </c>
      <c r="B11" s="105">
        <f>IF('Marks Entry'!B11="","",'Marks Entry'!B11)</f>
        <v>908</v>
      </c>
      <c r="C11" s="105">
        <f>IF('Marks Entry'!C11="","",'Marks Entry'!C11)</f>
        <v>13028</v>
      </c>
      <c r="D11" s="48" t="str">
        <f>IF('Marks Entry'!D11="","",'Marks Entry'!D11)</f>
        <v>BHERU LAL</v>
      </c>
      <c r="E11" s="48" t="str">
        <f>IF('Marks Entry'!E11="","",'Marks Entry'!E11)</f>
        <v>BHADA RAM</v>
      </c>
      <c r="F11" s="48" t="str">
        <f>IF('Marks Entry'!F11="","",'Marks Entry'!F11)</f>
        <v>CHAINI DEVI</v>
      </c>
      <c r="G11" s="105" t="str">
        <f>IF('Marks Entry'!G11="","",'Marks Entry'!G11)</f>
        <v>BOY</v>
      </c>
      <c r="H11" s="49">
        <f>IF('Marks Entry'!H11="","",'Marks Entry'!H11)</f>
        <v>37510</v>
      </c>
      <c r="I11" s="105" t="str">
        <f>IF('Marks Entry'!I11="","",'Marks Entry'!I11)</f>
        <v>SC</v>
      </c>
      <c r="J11" s="105">
        <f>IF('Marks Entry'!K11="","",'Marks Entry'!K11)</f>
        <v>15</v>
      </c>
      <c r="K11" s="105">
        <f>IF('Marks Entry'!L11="","",'Marks Entry'!L11)</f>
        <v>15</v>
      </c>
      <c r="L11" s="105">
        <f>IF(AND('Marks Entry'!M11="",'Marks Entry'!N11=""),"",SUM('Marks Entry'!M11:N11))</f>
        <v>30</v>
      </c>
      <c r="M11" s="105">
        <f>IF(AND('Marks Entry'!O11="",'Marks Entry'!P11=""),"",SUM('Marks Entry'!O11:P11))</f>
        <v>49</v>
      </c>
      <c r="N11" s="105">
        <f t="shared" si="2"/>
        <v>109</v>
      </c>
      <c r="O11" s="105" t="str">
        <f t="shared" si="33"/>
        <v>P</v>
      </c>
      <c r="P11" s="105" t="str">
        <f t="shared" si="34"/>
        <v>II</v>
      </c>
      <c r="Q11" s="105">
        <f>IF('Marks Entry'!R11="","",'Marks Entry'!R11)</f>
        <v>10</v>
      </c>
      <c r="R11" s="105">
        <f>IF('Marks Entry'!S11="","",'Marks Entry'!S11)</f>
        <v>10</v>
      </c>
      <c r="S11" s="105">
        <f>IF(AND('Marks Entry'!T11="",'Marks Entry'!U11=""),"",SUM('Marks Entry'!T11:U11))</f>
        <v>20</v>
      </c>
      <c r="T11" s="105">
        <f>IF(AND('Marks Entry'!V11="",'Marks Entry'!W11=""),"",SUM('Marks Entry'!V11:W11))</f>
        <v>40</v>
      </c>
      <c r="U11" s="105">
        <f t="shared" si="35"/>
        <v>80</v>
      </c>
      <c r="V11" s="105" t="str">
        <f t="shared" si="36"/>
        <v>P</v>
      </c>
      <c r="W11" s="105" t="str">
        <f t="shared" si="37"/>
        <v>III</v>
      </c>
      <c r="X11" s="47" t="str">
        <f>IF(B11="","",IF('Marks Entry'!Y11="",'Marks Entry'!$Y$4,'Marks Entry'!Y11))</f>
        <v>History</v>
      </c>
      <c r="Y11" s="105">
        <f>IF('Marks Entry'!Z11="","",'Marks Entry'!Z11)</f>
        <v>10</v>
      </c>
      <c r="Z11" s="105">
        <f>IF('Marks Entry'!AA11="","",'Marks Entry'!AA11)</f>
        <v>10</v>
      </c>
      <c r="AA11" s="105">
        <f>IF(AND('Marks Entry'!AB11="",'Marks Entry'!AC11=""),"",SUM('Marks Entry'!AB11:AC11))</f>
        <v>40</v>
      </c>
      <c r="AB11" s="105" t="str">
        <f>IF('Marks Entry'!AD11="","",'Marks Entry'!AD11)</f>
        <v/>
      </c>
      <c r="AC11" s="105">
        <f t="shared" si="38"/>
        <v>40</v>
      </c>
      <c r="AD11" s="105">
        <f>IF(AND('Marks Entry'!AE11="",'Marks Entry'!AF11=""),"",SUM('Marks Entry'!AE11:AF11))</f>
        <v>41</v>
      </c>
      <c r="AE11" s="105" t="str">
        <f>IF('Marks Entry'!AG11="","",'Marks Entry'!AG11)</f>
        <v/>
      </c>
      <c r="AF11" s="105">
        <f t="shared" si="39"/>
        <v>41</v>
      </c>
      <c r="AG11" s="105">
        <f t="shared" si="40"/>
        <v>101</v>
      </c>
      <c r="AH11" s="105" t="str">
        <f t="shared" si="41"/>
        <v>P</v>
      </c>
      <c r="AI11" s="105" t="str">
        <f t="shared" si="42"/>
        <v>II</v>
      </c>
      <c r="AJ11" s="47" t="str">
        <f>IF(B11="","",IF('Marks Entry'!AI11="",'Marks Entry'!$AI$4,'Marks Entry'!AI11))</f>
        <v>Political Science</v>
      </c>
      <c r="AK11" s="105">
        <f>IF('Marks Entry'!AJ11="","",'Marks Entry'!AJ11)</f>
        <v>10</v>
      </c>
      <c r="AL11" s="105">
        <f>IF('Marks Entry'!AK11="","",'Marks Entry'!AK11)</f>
        <v>10</v>
      </c>
      <c r="AM11" s="105">
        <f>IF(AND('Marks Entry'!AL11="",'Marks Entry'!AM11=""),"",SUM('Marks Entry'!AL11:AM11))</f>
        <v>40</v>
      </c>
      <c r="AN11" s="105" t="str">
        <f>IF('Marks Entry'!AN11="","",'Marks Entry'!AN11)</f>
        <v/>
      </c>
      <c r="AO11" s="105">
        <f t="shared" si="43"/>
        <v>40</v>
      </c>
      <c r="AP11" s="105">
        <f>IF(AND('Marks Entry'!AO11="",'Marks Entry'!AP11=""),"",SUM('Marks Entry'!AO11:AP11))</f>
        <v>59</v>
      </c>
      <c r="AQ11" s="105" t="str">
        <f>IF('Marks Entry'!AQ11="","",'Marks Entry'!AQ11)</f>
        <v/>
      </c>
      <c r="AR11" s="105">
        <f t="shared" si="44"/>
        <v>59</v>
      </c>
      <c r="AS11" s="105">
        <f t="shared" si="45"/>
        <v>119</v>
      </c>
      <c r="AT11" s="105" t="str">
        <f t="shared" si="46"/>
        <v>P</v>
      </c>
      <c r="AU11" s="105" t="str">
        <f t="shared" si="47"/>
        <v>II</v>
      </c>
      <c r="AV11" s="47" t="str">
        <f>IF(B11="","",IF('Marks Entry'!AS11="",'Marks Entry'!$AS$4,'Marks Entry'!AS11))</f>
        <v>Geography</v>
      </c>
      <c r="AW11" s="105">
        <f>IF('Marks Entry'!AT11="","",'Marks Entry'!AT11)</f>
        <v>10</v>
      </c>
      <c r="AX11" s="105">
        <f>IF('Marks Entry'!AU11="","",'Marks Entry'!AU11)</f>
        <v>10</v>
      </c>
      <c r="AY11" s="105">
        <f>IF(AND('Marks Entry'!AV11="",'Marks Entry'!AW11=""),"",SUM('Marks Entry'!AV11:AW11))</f>
        <v>23</v>
      </c>
      <c r="AZ11" s="105">
        <f>IF('Marks Entry'!AX11="","",'Marks Entry'!AX11)</f>
        <v>10</v>
      </c>
      <c r="BA11" s="105">
        <f t="shared" si="48"/>
        <v>33</v>
      </c>
      <c r="BB11" s="105">
        <f>IF(AND('Marks Entry'!AY11="",'Marks Entry'!AZ11=""),"",SUM('Marks Entry'!AY11:AZ11))</f>
        <v>40</v>
      </c>
      <c r="BC11" s="105">
        <f>IF('Marks Entry'!BA11="","",'Marks Entry'!BA11)</f>
        <v>14</v>
      </c>
      <c r="BD11" s="105">
        <f t="shared" si="49"/>
        <v>54</v>
      </c>
      <c r="BE11" s="105">
        <f t="shared" si="50"/>
        <v>107</v>
      </c>
      <c r="BF11" s="105" t="str">
        <f t="shared" si="51"/>
        <v>P</v>
      </c>
      <c r="BG11" s="105" t="str">
        <f t="shared" si="52"/>
        <v>II</v>
      </c>
      <c r="BH11" s="105">
        <f t="shared" si="53"/>
        <v>516</v>
      </c>
      <c r="BI11" s="50">
        <f t="shared" si="3"/>
        <v>0.51600000000000001</v>
      </c>
      <c r="BJ11" s="47" t="str">
        <f t="shared" si="4"/>
        <v>PASS</v>
      </c>
      <c r="BK11" s="105" t="str">
        <f t="shared" si="54"/>
        <v>2nd</v>
      </c>
      <c r="BL11" s="105">
        <f t="shared" si="55"/>
        <v>10.999999999999927</v>
      </c>
      <c r="BM11" s="105">
        <f>IF(OR(B11="",'Marks Entry'!BY11=""),"",'Marks Entry'!BY11)</f>
        <v>400</v>
      </c>
      <c r="BN11" s="105">
        <f>IF(OR(B11="",'Marks Entry'!BZ11=""),"",'Marks Entry'!BZ11)</f>
        <v>300</v>
      </c>
      <c r="BO11" s="105">
        <f>IF('Marks Entry'!BC11="","",'Marks Entry'!BC11)</f>
        <v>15</v>
      </c>
      <c r="BP11" s="105">
        <f>IF('Marks Entry'!BD11="","",'Marks Entry'!BD11)</f>
        <v>15</v>
      </c>
      <c r="BQ11" s="105">
        <f>IF(AND('Marks Entry'!BE11="",'Marks Entry'!BF11=""),"",SUM('Marks Entry'!BE11:BF11))</f>
        <v>25</v>
      </c>
      <c r="BR11" s="105">
        <f>IF(AND('Marks Entry'!BG11="",'Marks Entry'!BH11=""),"",SUM('Marks Entry'!BG11:BH11))</f>
        <v>82</v>
      </c>
      <c r="BS11" s="105">
        <f t="shared" si="56"/>
        <v>137</v>
      </c>
      <c r="BT11" s="105" t="str">
        <f t="shared" si="57"/>
        <v>P</v>
      </c>
      <c r="BU11" s="105" t="str">
        <f t="shared" si="58"/>
        <v>B</v>
      </c>
      <c r="BV11" s="105">
        <f>IF('Marks Entry'!BJ11="","",'Marks Entry'!BJ11)</f>
        <v>15</v>
      </c>
      <c r="BW11" s="105">
        <f>IF('Marks Entry'!BK11="","",'Marks Entry'!BK11)</f>
        <v>15</v>
      </c>
      <c r="BX11" s="105">
        <f>IF(AND('Marks Entry'!BL11="",'Marks Entry'!BM11=""),"",SUM('Marks Entry'!BL11:BM11))</f>
        <v>25</v>
      </c>
      <c r="BY11" s="105">
        <f>IF(AND('Marks Entry'!BN11="",'Marks Entry'!BO11=""),"",SUM('Marks Entry'!BN11:BO11))</f>
        <v>82</v>
      </c>
      <c r="BZ11" s="105">
        <f t="shared" si="59"/>
        <v>137</v>
      </c>
      <c r="CA11" s="105" t="str">
        <f t="shared" si="60"/>
        <v>P</v>
      </c>
      <c r="CB11" s="105" t="str">
        <f t="shared" si="61"/>
        <v>B</v>
      </c>
      <c r="CC11" s="105" t="str">
        <f>IF('Marks Entry'!BQ11="","",'Marks Entry'!BQ11)</f>
        <v/>
      </c>
      <c r="CD11" s="105" t="str">
        <f>IF('Marks Entry'!BR11="","",'Marks Entry'!BR11)</f>
        <v/>
      </c>
      <c r="CE11" s="105" t="str">
        <f>IF(AND('Marks Entry'!BS11="",'Marks Entry'!BT11=""),"",SUM('Marks Entry'!BS11:BT11))</f>
        <v/>
      </c>
      <c r="CF11" s="105" t="str">
        <f>IF(AND('Marks Entry'!BU11="",'Marks Entry'!BV11=""),"",SUM('Marks Entry'!BU11:BV11))</f>
        <v/>
      </c>
      <c r="CG11" s="105" t="str">
        <f t="shared" si="62"/>
        <v/>
      </c>
      <c r="CH11" s="105" t="str">
        <f t="shared" si="63"/>
        <v/>
      </c>
      <c r="CI11" s="105" t="str">
        <f t="shared" si="64"/>
        <v/>
      </c>
      <c r="CJ11" s="81"/>
      <c r="CK11" s="50">
        <f t="shared" si="5"/>
        <v>0.51600000000000001</v>
      </c>
      <c r="CM11" s="105" t="str">
        <f t="shared" si="6"/>
        <v>P</v>
      </c>
      <c r="CN11" s="105" t="str">
        <f t="shared" si="7"/>
        <v>P</v>
      </c>
      <c r="CO11" s="105" t="str">
        <f t="shared" si="8"/>
        <v>P</v>
      </c>
      <c r="CP11" s="105" t="str">
        <f t="shared" si="9"/>
        <v>P</v>
      </c>
      <c r="CQ11" s="105" t="str">
        <f t="shared" si="10"/>
        <v>P</v>
      </c>
      <c r="CS11" s="105">
        <f t="shared" si="11"/>
        <v>0</v>
      </c>
      <c r="CT11" s="105">
        <f t="shared" si="12"/>
        <v>0</v>
      </c>
      <c r="CU11" s="105">
        <f t="shared" si="13"/>
        <v>0</v>
      </c>
      <c r="CV11" s="105">
        <f t="shared" si="14"/>
        <v>0</v>
      </c>
      <c r="CW11" s="81"/>
      <c r="CX11" s="105" t="str">
        <f t="shared" si="15"/>
        <v>II</v>
      </c>
      <c r="CY11" s="105" t="str">
        <f t="shared" si="16"/>
        <v>III</v>
      </c>
      <c r="CZ11" s="105" t="str">
        <f t="shared" si="17"/>
        <v>II</v>
      </c>
      <c r="DA11" s="105" t="str">
        <f t="shared" si="18"/>
        <v>II</v>
      </c>
      <c r="DB11" s="105" t="str">
        <f t="shared" si="19"/>
        <v>II</v>
      </c>
      <c r="DD11" s="105" t="str">
        <f t="shared" si="20"/>
        <v>II</v>
      </c>
      <c r="DE11" s="105" t="str">
        <f t="shared" si="21"/>
        <v/>
      </c>
      <c r="DF11" s="105" t="str">
        <f t="shared" si="22"/>
        <v>III</v>
      </c>
      <c r="DG11" s="105" t="str">
        <f t="shared" si="23"/>
        <v/>
      </c>
      <c r="DH11" s="105" t="str">
        <f t="shared" si="24"/>
        <v>II</v>
      </c>
      <c r="DI11" s="105" t="str">
        <f t="shared" si="25"/>
        <v/>
      </c>
      <c r="DJ11" s="105" t="str">
        <f t="shared" si="26"/>
        <v>II</v>
      </c>
      <c r="DK11" s="105" t="str">
        <f t="shared" si="27"/>
        <v/>
      </c>
      <c r="DL11" s="105" t="str">
        <f t="shared" si="28"/>
        <v>II</v>
      </c>
      <c r="DM11" s="105" t="str">
        <f t="shared" si="29"/>
        <v/>
      </c>
      <c r="DN11" s="105" t="str">
        <f t="shared" si="30"/>
        <v>B</v>
      </c>
      <c r="DO11" s="105" t="str">
        <f t="shared" si="31"/>
        <v>B</v>
      </c>
      <c r="DP11" s="105" t="str">
        <f t="shared" si="32"/>
        <v/>
      </c>
      <c r="DR11" s="118" t="str">
        <f t="shared" si="65"/>
        <v xml:space="preserve">    </v>
      </c>
      <c r="DS11" s="75"/>
      <c r="DT11" s="119" t="str">
        <f t="shared" si="66"/>
        <v xml:space="preserve">    </v>
      </c>
      <c r="DU11" s="136"/>
      <c r="DV11" s="119" t="str">
        <f t="shared" si="67"/>
        <v xml:space="preserve">    </v>
      </c>
      <c r="DW11" s="75"/>
      <c r="DX11" s="119" t="str">
        <f t="shared" si="68"/>
        <v xml:space="preserve">     </v>
      </c>
      <c r="DY11" s="75"/>
      <c r="DZ11" s="119" t="str">
        <f t="shared" si="69"/>
        <v xml:space="preserve">    </v>
      </c>
    </row>
    <row r="12" spans="1:130" ht="30" customHeight="1" x14ac:dyDescent="0.25">
      <c r="A12" s="105">
        <f>IF('Marks Entry'!A12="","",'Marks Entry'!A12)</f>
        <v>4</v>
      </c>
      <c r="B12" s="105">
        <f>IF('Marks Entry'!B12="","",'Marks Entry'!B12)</f>
        <v>909</v>
      </c>
      <c r="C12" s="105">
        <f>IF('Marks Entry'!C12="","",'Marks Entry'!C12)</f>
        <v>13030</v>
      </c>
      <c r="D12" s="48" t="str">
        <f>IF('Marks Entry'!D12="","",'Marks Entry'!D12)</f>
        <v>CHANDRA SINGH</v>
      </c>
      <c r="E12" s="48" t="str">
        <f>IF('Marks Entry'!E12="","",'Marks Entry'!E12)</f>
        <v>HEERA SINGH</v>
      </c>
      <c r="F12" s="48" t="str">
        <f>IF('Marks Entry'!F12="","",'Marks Entry'!F12)</f>
        <v>SAINA DEVI</v>
      </c>
      <c r="G12" s="105" t="str">
        <f>IF('Marks Entry'!G12="","",'Marks Entry'!G12)</f>
        <v>BOY</v>
      </c>
      <c r="H12" s="49">
        <f>IF('Marks Entry'!H12="","",'Marks Entry'!H12)</f>
        <v>37293</v>
      </c>
      <c r="I12" s="105" t="str">
        <f>IF('Marks Entry'!I12="","",'Marks Entry'!I12)</f>
        <v>OBC</v>
      </c>
      <c r="J12" s="105">
        <f>IF('Marks Entry'!K12="","",'Marks Entry'!K12)</f>
        <v>5</v>
      </c>
      <c r="K12" s="105">
        <f>IF('Marks Entry'!L12="","",'Marks Entry'!L12)</f>
        <v>5</v>
      </c>
      <c r="L12" s="105">
        <f>IF(AND('Marks Entry'!M12="",'Marks Entry'!N12=""),"",SUM('Marks Entry'!M12:N12))</f>
        <v>10</v>
      </c>
      <c r="M12" s="105">
        <f>IF(AND('Marks Entry'!O12="",'Marks Entry'!P12=""),"",SUM('Marks Entry'!O12:P12))</f>
        <v>50</v>
      </c>
      <c r="N12" s="105">
        <f t="shared" si="2"/>
        <v>70</v>
      </c>
      <c r="O12" s="105" t="str">
        <f t="shared" si="33"/>
        <v>G2</v>
      </c>
      <c r="P12" s="105" t="str">
        <f t="shared" si="34"/>
        <v>G2</v>
      </c>
      <c r="Q12" s="105">
        <f>IF('Marks Entry'!R12="","",'Marks Entry'!R12)</f>
        <v>5</v>
      </c>
      <c r="R12" s="105">
        <f>IF('Marks Entry'!S12="","",'Marks Entry'!S12)</f>
        <v>5</v>
      </c>
      <c r="S12" s="105">
        <f>IF(AND('Marks Entry'!T12="",'Marks Entry'!U12=""),"",SUM('Marks Entry'!T12:U12))</f>
        <v>10</v>
      </c>
      <c r="T12" s="105">
        <f>IF(AND('Marks Entry'!V12="",'Marks Entry'!W12=""),"",SUM('Marks Entry'!V12:W12))</f>
        <v>41</v>
      </c>
      <c r="U12" s="105">
        <f t="shared" si="35"/>
        <v>61</v>
      </c>
      <c r="V12" s="105" t="str">
        <f t="shared" si="36"/>
        <v>S</v>
      </c>
      <c r="W12" s="105" t="str">
        <f t="shared" si="37"/>
        <v>S</v>
      </c>
      <c r="X12" s="47" t="str">
        <f>IF(B12="","",IF('Marks Entry'!Y12="",'Marks Entry'!$Y$4,'Marks Entry'!Y12))</f>
        <v>History</v>
      </c>
      <c r="Y12" s="105">
        <f>IF('Marks Entry'!Z12="","",'Marks Entry'!Z12)</f>
        <v>10</v>
      </c>
      <c r="Z12" s="105">
        <f>IF('Marks Entry'!AA12="","",'Marks Entry'!AA12)</f>
        <v>10</v>
      </c>
      <c r="AA12" s="105">
        <f>IF(AND('Marks Entry'!AB12="",'Marks Entry'!AC12=""),"",SUM('Marks Entry'!AB12:AC12))</f>
        <v>40</v>
      </c>
      <c r="AB12" s="105" t="str">
        <f>IF('Marks Entry'!AD12="","",'Marks Entry'!AD12)</f>
        <v/>
      </c>
      <c r="AC12" s="105">
        <f t="shared" si="38"/>
        <v>40</v>
      </c>
      <c r="AD12" s="105">
        <f>IF(AND('Marks Entry'!AE12="",'Marks Entry'!AF12=""),"",SUM('Marks Entry'!AE12:AF12))</f>
        <v>41</v>
      </c>
      <c r="AE12" s="105" t="str">
        <f>IF('Marks Entry'!AG12="","",'Marks Entry'!AG12)</f>
        <v/>
      </c>
      <c r="AF12" s="105">
        <f t="shared" si="39"/>
        <v>41</v>
      </c>
      <c r="AG12" s="105">
        <f t="shared" si="40"/>
        <v>101</v>
      </c>
      <c r="AH12" s="105" t="str">
        <f t="shared" si="41"/>
        <v>P</v>
      </c>
      <c r="AI12" s="105" t="str">
        <f t="shared" si="42"/>
        <v>II</v>
      </c>
      <c r="AJ12" s="47" t="str">
        <f>IF(B12="","",IF('Marks Entry'!AI12="",'Marks Entry'!$AI$4,'Marks Entry'!AI12))</f>
        <v>Political Science</v>
      </c>
      <c r="AK12" s="105">
        <f>IF('Marks Entry'!AJ12="","",'Marks Entry'!AJ12)</f>
        <v>10</v>
      </c>
      <c r="AL12" s="105">
        <f>IF('Marks Entry'!AK12="","",'Marks Entry'!AK12)</f>
        <v>10</v>
      </c>
      <c r="AM12" s="105">
        <f>IF(AND('Marks Entry'!AL12="",'Marks Entry'!AM12=""),"",SUM('Marks Entry'!AL12:AM12))</f>
        <v>40</v>
      </c>
      <c r="AN12" s="105" t="str">
        <f>IF('Marks Entry'!AN12="","",'Marks Entry'!AN12)</f>
        <v/>
      </c>
      <c r="AO12" s="105">
        <f t="shared" si="43"/>
        <v>40</v>
      </c>
      <c r="AP12" s="105">
        <f>IF(AND('Marks Entry'!AO12="",'Marks Entry'!AP12=""),"",SUM('Marks Entry'!AO12:AP12))</f>
        <v>59</v>
      </c>
      <c r="AQ12" s="105" t="str">
        <f>IF('Marks Entry'!AQ12="","",'Marks Entry'!AQ12)</f>
        <v/>
      </c>
      <c r="AR12" s="105">
        <f t="shared" si="44"/>
        <v>59</v>
      </c>
      <c r="AS12" s="105">
        <f t="shared" si="45"/>
        <v>119</v>
      </c>
      <c r="AT12" s="105" t="str">
        <f t="shared" si="46"/>
        <v>P</v>
      </c>
      <c r="AU12" s="105" t="str">
        <f t="shared" si="47"/>
        <v>II</v>
      </c>
      <c r="AV12" s="47" t="str">
        <f>IF(B12="","",IF('Marks Entry'!AS12="",'Marks Entry'!$AS$4,'Marks Entry'!AS12))</f>
        <v>Geography</v>
      </c>
      <c r="AW12" s="105">
        <f>IF('Marks Entry'!AT12="","",'Marks Entry'!AT12)</f>
        <v>10</v>
      </c>
      <c r="AX12" s="105">
        <f>IF('Marks Entry'!AU12="","",'Marks Entry'!AU12)</f>
        <v>10</v>
      </c>
      <c r="AY12" s="105">
        <f>IF(AND('Marks Entry'!AV12="",'Marks Entry'!AW12=""),"",SUM('Marks Entry'!AV12:AW12))</f>
        <v>23</v>
      </c>
      <c r="AZ12" s="105">
        <f>IF('Marks Entry'!AX12="","",'Marks Entry'!AX12)</f>
        <v>10</v>
      </c>
      <c r="BA12" s="105">
        <f t="shared" si="48"/>
        <v>33</v>
      </c>
      <c r="BB12" s="105">
        <f>IF(AND('Marks Entry'!AY12="",'Marks Entry'!AZ12=""),"",SUM('Marks Entry'!AY12:AZ12))</f>
        <v>40</v>
      </c>
      <c r="BC12" s="105">
        <f>IF('Marks Entry'!BA12="","",'Marks Entry'!BA12)</f>
        <v>14</v>
      </c>
      <c r="BD12" s="105">
        <f t="shared" si="49"/>
        <v>54</v>
      </c>
      <c r="BE12" s="105">
        <f t="shared" si="50"/>
        <v>107</v>
      </c>
      <c r="BF12" s="105" t="str">
        <f t="shared" si="51"/>
        <v>P</v>
      </c>
      <c r="BG12" s="105" t="str">
        <f t="shared" si="52"/>
        <v>II</v>
      </c>
      <c r="BH12" s="105">
        <f t="shared" si="53"/>
        <v>458</v>
      </c>
      <c r="BI12" s="50">
        <f t="shared" si="3"/>
        <v>0.45800000000000002</v>
      </c>
      <c r="BJ12" s="47" t="str">
        <f t="shared" si="4"/>
        <v>SUPP.</v>
      </c>
      <c r="BK12" s="105" t="str">
        <f t="shared" si="54"/>
        <v/>
      </c>
      <c r="BL12" s="105" t="str">
        <f t="shared" si="55"/>
        <v/>
      </c>
      <c r="BM12" s="105">
        <f>IF(OR(B12="",'Marks Entry'!BY12=""),"",'Marks Entry'!BY12)</f>
        <v>400</v>
      </c>
      <c r="BN12" s="105">
        <f>IF(OR(B12="",'Marks Entry'!BZ12=""),"",'Marks Entry'!BZ12)</f>
        <v>300</v>
      </c>
      <c r="BO12" s="105">
        <f>IF('Marks Entry'!BC12="","",'Marks Entry'!BC12)</f>
        <v>15</v>
      </c>
      <c r="BP12" s="105">
        <f>IF('Marks Entry'!BD12="","",'Marks Entry'!BD12)</f>
        <v>15</v>
      </c>
      <c r="BQ12" s="105">
        <f>IF(AND('Marks Entry'!BE12="",'Marks Entry'!BF12=""),"",SUM('Marks Entry'!BE12:BF12))</f>
        <v>25</v>
      </c>
      <c r="BR12" s="105">
        <f>IF(AND('Marks Entry'!BG12="",'Marks Entry'!BH12=""),"",SUM('Marks Entry'!BG12:BH12))</f>
        <v>82</v>
      </c>
      <c r="BS12" s="105">
        <f t="shared" si="56"/>
        <v>137</v>
      </c>
      <c r="BT12" s="105" t="str">
        <f t="shared" si="57"/>
        <v>P</v>
      </c>
      <c r="BU12" s="105" t="str">
        <f t="shared" si="58"/>
        <v>B</v>
      </c>
      <c r="BV12" s="105">
        <f>IF('Marks Entry'!BJ12="","",'Marks Entry'!BJ12)</f>
        <v>15</v>
      </c>
      <c r="BW12" s="105">
        <f>IF('Marks Entry'!BK12="","",'Marks Entry'!BK12)</f>
        <v>15</v>
      </c>
      <c r="BX12" s="105">
        <f>IF(AND('Marks Entry'!BL12="",'Marks Entry'!BM12=""),"",SUM('Marks Entry'!BL12:BM12))</f>
        <v>25</v>
      </c>
      <c r="BY12" s="105">
        <f>IF(AND('Marks Entry'!BN12="",'Marks Entry'!BO12=""),"",SUM('Marks Entry'!BN12:BO12))</f>
        <v>82</v>
      </c>
      <c r="BZ12" s="105">
        <f t="shared" si="59"/>
        <v>137</v>
      </c>
      <c r="CA12" s="105" t="str">
        <f t="shared" si="60"/>
        <v>P</v>
      </c>
      <c r="CB12" s="105" t="str">
        <f t="shared" si="61"/>
        <v>B</v>
      </c>
      <c r="CC12" s="105" t="str">
        <f>IF('Marks Entry'!BQ12="","",'Marks Entry'!BQ12)</f>
        <v/>
      </c>
      <c r="CD12" s="105" t="str">
        <f>IF('Marks Entry'!BR12="","",'Marks Entry'!BR12)</f>
        <v/>
      </c>
      <c r="CE12" s="105" t="str">
        <f>IF(AND('Marks Entry'!BS12="",'Marks Entry'!BT12=""),"",SUM('Marks Entry'!BS12:BT12))</f>
        <v/>
      </c>
      <c r="CF12" s="105" t="str">
        <f>IF(AND('Marks Entry'!BU12="",'Marks Entry'!BV12=""),"",SUM('Marks Entry'!BU12:BV12))</f>
        <v/>
      </c>
      <c r="CG12" s="105" t="str">
        <f t="shared" si="62"/>
        <v/>
      </c>
      <c r="CH12" s="105" t="str">
        <f t="shared" si="63"/>
        <v/>
      </c>
      <c r="CI12" s="105" t="str">
        <f t="shared" si="64"/>
        <v/>
      </c>
      <c r="CJ12" s="81"/>
      <c r="CK12" s="50" t="str">
        <f t="shared" si="5"/>
        <v/>
      </c>
      <c r="CM12" s="105" t="str">
        <f t="shared" si="6"/>
        <v>G2</v>
      </c>
      <c r="CN12" s="105" t="str">
        <f t="shared" si="7"/>
        <v>S</v>
      </c>
      <c r="CO12" s="105" t="str">
        <f t="shared" si="8"/>
        <v>P</v>
      </c>
      <c r="CP12" s="105" t="str">
        <f t="shared" si="9"/>
        <v>P</v>
      </c>
      <c r="CQ12" s="105" t="str">
        <f t="shared" si="10"/>
        <v>P</v>
      </c>
      <c r="CS12" s="105">
        <f t="shared" si="11"/>
        <v>0</v>
      </c>
      <c r="CT12" s="105">
        <f t="shared" si="12"/>
        <v>1</v>
      </c>
      <c r="CU12" s="105">
        <f t="shared" si="13"/>
        <v>0</v>
      </c>
      <c r="CV12" s="105">
        <f t="shared" si="14"/>
        <v>1</v>
      </c>
      <c r="CW12" s="81"/>
      <c r="CX12" s="105" t="str">
        <f t="shared" si="15"/>
        <v>G2</v>
      </c>
      <c r="CY12" s="105" t="str">
        <f t="shared" si="16"/>
        <v>S</v>
      </c>
      <c r="CZ12" s="105" t="str">
        <f t="shared" si="17"/>
        <v>II</v>
      </c>
      <c r="DA12" s="105" t="str">
        <f t="shared" si="18"/>
        <v>II</v>
      </c>
      <c r="DB12" s="105" t="str">
        <f t="shared" si="19"/>
        <v>II</v>
      </c>
      <c r="DD12" s="105" t="str">
        <f t="shared" si="20"/>
        <v>S</v>
      </c>
      <c r="DE12" s="105" t="str">
        <f t="shared" si="21"/>
        <v/>
      </c>
      <c r="DF12" s="105" t="str">
        <f t="shared" si="22"/>
        <v>S</v>
      </c>
      <c r="DG12" s="105" t="str">
        <f t="shared" si="23"/>
        <v/>
      </c>
      <c r="DH12" s="105" t="str">
        <f t="shared" si="24"/>
        <v>II</v>
      </c>
      <c r="DI12" s="105" t="str">
        <f t="shared" si="25"/>
        <v/>
      </c>
      <c r="DJ12" s="105" t="str">
        <f t="shared" si="26"/>
        <v>II</v>
      </c>
      <c r="DK12" s="105" t="str">
        <f t="shared" si="27"/>
        <v/>
      </c>
      <c r="DL12" s="105" t="str">
        <f t="shared" si="28"/>
        <v>II</v>
      </c>
      <c r="DM12" s="105" t="str">
        <f t="shared" si="29"/>
        <v/>
      </c>
      <c r="DN12" s="105" t="str">
        <f t="shared" si="30"/>
        <v>B</v>
      </c>
      <c r="DO12" s="105" t="str">
        <f t="shared" si="31"/>
        <v>B</v>
      </c>
      <c r="DP12" s="105" t="str">
        <f t="shared" si="32"/>
        <v/>
      </c>
      <c r="DR12" s="118" t="str">
        <f t="shared" si="65"/>
        <v xml:space="preserve">    </v>
      </c>
      <c r="DS12" s="75"/>
      <c r="DT12" s="119" t="str">
        <f t="shared" si="66"/>
        <v xml:space="preserve">HINDI Comp. ENGLISH Comp.   </v>
      </c>
      <c r="DU12" s="136"/>
      <c r="DV12" s="119" t="str">
        <f t="shared" si="67"/>
        <v xml:space="preserve">    </v>
      </c>
      <c r="DW12" s="75"/>
      <c r="DX12" s="119" t="str">
        <f t="shared" si="68"/>
        <v xml:space="preserve">     </v>
      </c>
      <c r="DY12" s="75"/>
      <c r="DZ12" s="119" t="str">
        <f t="shared" si="69"/>
        <v xml:space="preserve">    </v>
      </c>
    </row>
    <row r="13" spans="1:130" ht="30" customHeight="1" x14ac:dyDescent="0.25">
      <c r="A13" s="105">
        <f>IF('Marks Entry'!A13="","",'Marks Entry'!A13)</f>
        <v>5</v>
      </c>
      <c r="B13" s="105">
        <f>IF('Marks Entry'!B13="","",'Marks Entry'!B13)</f>
        <v>910</v>
      </c>
      <c r="C13" s="105">
        <f>IF('Marks Entry'!C13="","",'Marks Entry'!C13)</f>
        <v>13275</v>
      </c>
      <c r="D13" s="48" t="str">
        <f>IF('Marks Entry'!D13="","",'Marks Entry'!D13)</f>
        <v>CHETAN KUMAR GURJAR</v>
      </c>
      <c r="E13" s="48" t="str">
        <f>IF('Marks Entry'!E13="","",'Marks Entry'!E13)</f>
        <v>DHARM CHAND GURJAR</v>
      </c>
      <c r="F13" s="48" t="str">
        <f>IF('Marks Entry'!F13="","",'Marks Entry'!F13)</f>
        <v>SITA DEVI</v>
      </c>
      <c r="G13" s="105" t="str">
        <f>IF('Marks Entry'!G13="","",'Marks Entry'!G13)</f>
        <v>BOY</v>
      </c>
      <c r="H13" s="49">
        <f>IF('Marks Entry'!H13="","",'Marks Entry'!H13)</f>
        <v>38918</v>
      </c>
      <c r="I13" s="105" t="str">
        <f>IF('Marks Entry'!I13="","",'Marks Entry'!I13)</f>
        <v>SBC</v>
      </c>
      <c r="J13" s="105">
        <f>IF('Marks Entry'!K13="","",'Marks Entry'!K13)</f>
        <v>10</v>
      </c>
      <c r="K13" s="105">
        <f>IF('Marks Entry'!L13="","",'Marks Entry'!L13)</f>
        <v>9</v>
      </c>
      <c r="L13" s="105">
        <f>IF(AND('Marks Entry'!M13="",'Marks Entry'!N13=""),"",SUM('Marks Entry'!M13:N13))</f>
        <v>10</v>
      </c>
      <c r="M13" s="105">
        <f>IF(AND('Marks Entry'!O13="",'Marks Entry'!P13=""),"",SUM('Marks Entry'!O13:P13))</f>
        <v>51</v>
      </c>
      <c r="N13" s="105">
        <f t="shared" si="2"/>
        <v>80</v>
      </c>
      <c r="O13" s="105" t="str">
        <f t="shared" si="33"/>
        <v>P</v>
      </c>
      <c r="P13" s="105" t="str">
        <f t="shared" si="34"/>
        <v>III</v>
      </c>
      <c r="Q13" s="105">
        <f>IF('Marks Entry'!R13="","",'Marks Entry'!R13)</f>
        <v>10</v>
      </c>
      <c r="R13" s="105">
        <f>IF('Marks Entry'!S13="","",'Marks Entry'!S13)</f>
        <v>10</v>
      </c>
      <c r="S13" s="105">
        <f>IF(AND('Marks Entry'!T13="",'Marks Entry'!U13=""),"",SUM('Marks Entry'!T13:U13))</f>
        <v>40</v>
      </c>
      <c r="T13" s="105">
        <f>IF(AND('Marks Entry'!V13="",'Marks Entry'!W13=""),"",SUM('Marks Entry'!V13:W13))</f>
        <v>42</v>
      </c>
      <c r="U13" s="105">
        <f t="shared" si="35"/>
        <v>102</v>
      </c>
      <c r="V13" s="105" t="str">
        <f t="shared" si="36"/>
        <v>P</v>
      </c>
      <c r="W13" s="105" t="str">
        <f t="shared" si="37"/>
        <v>II</v>
      </c>
      <c r="X13" s="47" t="str">
        <f>IF(B13="","",IF('Marks Entry'!Y13="",'Marks Entry'!$Y$4,'Marks Entry'!Y13))</f>
        <v>Sanskrit Literature</v>
      </c>
      <c r="Y13" s="105">
        <f>IF('Marks Entry'!Z13="","",'Marks Entry'!Z13)</f>
        <v>18</v>
      </c>
      <c r="Z13" s="105">
        <f>IF('Marks Entry'!AA13="","",'Marks Entry'!AA13)</f>
        <v>18</v>
      </c>
      <c r="AA13" s="105">
        <f>IF(AND('Marks Entry'!AB13="",'Marks Entry'!AC13=""),"",SUM('Marks Entry'!AB13:AC13))</f>
        <v>50</v>
      </c>
      <c r="AB13" s="105" t="str">
        <f>IF('Marks Entry'!AD13="","",'Marks Entry'!AD13)</f>
        <v/>
      </c>
      <c r="AC13" s="105">
        <f t="shared" si="38"/>
        <v>50</v>
      </c>
      <c r="AD13" s="105">
        <f>IF(AND('Marks Entry'!AE13="",'Marks Entry'!AF13=""),"",SUM('Marks Entry'!AE13:AF13))</f>
        <v>76</v>
      </c>
      <c r="AE13" s="105" t="str">
        <f>IF('Marks Entry'!AG13="","",'Marks Entry'!AG13)</f>
        <v/>
      </c>
      <c r="AF13" s="105">
        <f t="shared" si="39"/>
        <v>76</v>
      </c>
      <c r="AG13" s="105">
        <f t="shared" si="40"/>
        <v>162</v>
      </c>
      <c r="AH13" s="105" t="str">
        <f t="shared" si="41"/>
        <v>P</v>
      </c>
      <c r="AI13" s="105" t="str">
        <f t="shared" si="42"/>
        <v>D</v>
      </c>
      <c r="AJ13" s="47" t="str">
        <f>IF(B13="","",IF('Marks Entry'!AI13="",'Marks Entry'!$AI$4,'Marks Entry'!AI13))</f>
        <v>Political Science</v>
      </c>
      <c r="AK13" s="105">
        <f>IF('Marks Entry'!AJ13="","",'Marks Entry'!AJ13)</f>
        <v>5</v>
      </c>
      <c r="AL13" s="105">
        <f>IF('Marks Entry'!AK13="","",'Marks Entry'!AK13)</f>
        <v>5</v>
      </c>
      <c r="AM13" s="105">
        <f>IF(AND('Marks Entry'!AL13="",'Marks Entry'!AM13=""),"",SUM('Marks Entry'!AL13:AM13))</f>
        <v>28</v>
      </c>
      <c r="AN13" s="105" t="str">
        <f>IF('Marks Entry'!AN13="","",'Marks Entry'!AN13)</f>
        <v/>
      </c>
      <c r="AO13" s="105">
        <f t="shared" si="43"/>
        <v>28</v>
      </c>
      <c r="AP13" s="105">
        <f>IF(AND('Marks Entry'!AO13="",'Marks Entry'!AP13=""),"",SUM('Marks Entry'!AO13:AP13))</f>
        <v>40</v>
      </c>
      <c r="AQ13" s="105" t="str">
        <f>IF('Marks Entry'!AQ13="","",'Marks Entry'!AQ13)</f>
        <v/>
      </c>
      <c r="AR13" s="105">
        <f t="shared" si="44"/>
        <v>40</v>
      </c>
      <c r="AS13" s="105">
        <f t="shared" si="45"/>
        <v>78</v>
      </c>
      <c r="AT13" s="105" t="str">
        <f t="shared" si="46"/>
        <v>P</v>
      </c>
      <c r="AU13" s="105" t="str">
        <f t="shared" si="47"/>
        <v>III</v>
      </c>
      <c r="AV13" s="47" t="str">
        <f>IF(B13="","",IF('Marks Entry'!AS13="",'Marks Entry'!$AS$4,'Marks Entry'!AS13))</f>
        <v>Geography</v>
      </c>
      <c r="AW13" s="105">
        <f>IF('Marks Entry'!AT13="","",'Marks Entry'!AT13)</f>
        <v>10</v>
      </c>
      <c r="AX13" s="105">
        <f>IF('Marks Entry'!AU13="","",'Marks Entry'!AU13)</f>
        <v>10</v>
      </c>
      <c r="AY13" s="105">
        <f>IF(AND('Marks Entry'!AV13="",'Marks Entry'!AW13=""),"",SUM('Marks Entry'!AV13:AW13))</f>
        <v>22</v>
      </c>
      <c r="AZ13" s="105">
        <f>IF('Marks Entry'!AX13="","",'Marks Entry'!AX13)</f>
        <v>14</v>
      </c>
      <c r="BA13" s="105">
        <f t="shared" si="48"/>
        <v>36</v>
      </c>
      <c r="BB13" s="105">
        <f>IF(AND('Marks Entry'!AY13="",'Marks Entry'!AZ13=""),"",SUM('Marks Entry'!AY13:AZ13))</f>
        <v>40</v>
      </c>
      <c r="BC13" s="105">
        <f>IF('Marks Entry'!BA13="","",'Marks Entry'!BA13)</f>
        <v>16</v>
      </c>
      <c r="BD13" s="105">
        <f t="shared" si="49"/>
        <v>56</v>
      </c>
      <c r="BE13" s="105">
        <f t="shared" si="50"/>
        <v>112</v>
      </c>
      <c r="BF13" s="105" t="str">
        <f t="shared" si="51"/>
        <v>P</v>
      </c>
      <c r="BG13" s="105" t="str">
        <f t="shared" si="52"/>
        <v>II</v>
      </c>
      <c r="BH13" s="105">
        <f t="shared" si="53"/>
        <v>534</v>
      </c>
      <c r="BI13" s="50">
        <f t="shared" si="3"/>
        <v>0.53400000000000003</v>
      </c>
      <c r="BJ13" s="47" t="str">
        <f t="shared" si="4"/>
        <v>PASS</v>
      </c>
      <c r="BK13" s="105" t="str">
        <f t="shared" si="54"/>
        <v>2nd</v>
      </c>
      <c r="BL13" s="105">
        <f t="shared" si="55"/>
        <v>7.0000000000000018</v>
      </c>
      <c r="BM13" s="105">
        <f>IF(OR(B13="",'Marks Entry'!BY13=""),"",'Marks Entry'!BY13)</f>
        <v>400</v>
      </c>
      <c r="BN13" s="105">
        <f>IF(OR(B13="",'Marks Entry'!BZ13=""),"",'Marks Entry'!BZ13)</f>
        <v>300</v>
      </c>
      <c r="BO13" s="105">
        <f>IF('Marks Entry'!BC13="","",'Marks Entry'!BC13)</f>
        <v>15</v>
      </c>
      <c r="BP13" s="105">
        <f>IF('Marks Entry'!BD13="","",'Marks Entry'!BD13)</f>
        <v>15</v>
      </c>
      <c r="BQ13" s="105">
        <f>IF(AND('Marks Entry'!BE13="",'Marks Entry'!BF13=""),"",SUM('Marks Entry'!BE13:BF13))</f>
        <v>25</v>
      </c>
      <c r="BR13" s="105">
        <f>IF(AND('Marks Entry'!BG13="",'Marks Entry'!BH13=""),"",SUM('Marks Entry'!BG13:BH13))</f>
        <v>82</v>
      </c>
      <c r="BS13" s="105">
        <f t="shared" si="56"/>
        <v>137</v>
      </c>
      <c r="BT13" s="105" t="str">
        <f t="shared" si="57"/>
        <v>P</v>
      </c>
      <c r="BU13" s="105" t="str">
        <f t="shared" si="58"/>
        <v>B</v>
      </c>
      <c r="BV13" s="105">
        <f>IF('Marks Entry'!BJ13="","",'Marks Entry'!BJ13)</f>
        <v>15</v>
      </c>
      <c r="BW13" s="105">
        <f>IF('Marks Entry'!BK13="","",'Marks Entry'!BK13)</f>
        <v>15</v>
      </c>
      <c r="BX13" s="105">
        <f>IF(AND('Marks Entry'!BL13="",'Marks Entry'!BM13=""),"",SUM('Marks Entry'!BL13:BM13))</f>
        <v>25</v>
      </c>
      <c r="BY13" s="105">
        <f>IF(AND('Marks Entry'!BN13="",'Marks Entry'!BO13=""),"",SUM('Marks Entry'!BN13:BO13))</f>
        <v>82</v>
      </c>
      <c r="BZ13" s="105">
        <f t="shared" si="59"/>
        <v>137</v>
      </c>
      <c r="CA13" s="105" t="str">
        <f t="shared" si="60"/>
        <v>P</v>
      </c>
      <c r="CB13" s="105" t="str">
        <f t="shared" si="61"/>
        <v>B</v>
      </c>
      <c r="CC13" s="105" t="str">
        <f>IF('Marks Entry'!BQ13="","",'Marks Entry'!BQ13)</f>
        <v/>
      </c>
      <c r="CD13" s="105" t="str">
        <f>IF('Marks Entry'!BR13="","",'Marks Entry'!BR13)</f>
        <v/>
      </c>
      <c r="CE13" s="105" t="str">
        <f>IF(AND('Marks Entry'!BS13="",'Marks Entry'!BT13=""),"",SUM('Marks Entry'!BS13:BT13))</f>
        <v/>
      </c>
      <c r="CF13" s="105" t="str">
        <f>IF(AND('Marks Entry'!BU13="",'Marks Entry'!BV13=""),"",SUM('Marks Entry'!BU13:BV13))</f>
        <v/>
      </c>
      <c r="CG13" s="105" t="str">
        <f t="shared" si="62"/>
        <v/>
      </c>
      <c r="CH13" s="105" t="str">
        <f t="shared" si="63"/>
        <v/>
      </c>
      <c r="CI13" s="105" t="str">
        <f t="shared" si="64"/>
        <v/>
      </c>
      <c r="CJ13" s="81"/>
      <c r="CK13" s="50">
        <f t="shared" si="5"/>
        <v>0.53400000000000003</v>
      </c>
      <c r="CM13" s="105" t="str">
        <f t="shared" si="6"/>
        <v>P</v>
      </c>
      <c r="CN13" s="105" t="str">
        <f t="shared" si="7"/>
        <v>P</v>
      </c>
      <c r="CO13" s="105" t="str">
        <f t="shared" si="8"/>
        <v>P</v>
      </c>
      <c r="CP13" s="105" t="str">
        <f t="shared" si="9"/>
        <v>P</v>
      </c>
      <c r="CQ13" s="105" t="str">
        <f t="shared" si="10"/>
        <v>P</v>
      </c>
      <c r="CS13" s="105">
        <f t="shared" si="11"/>
        <v>0</v>
      </c>
      <c r="CT13" s="105">
        <f t="shared" si="12"/>
        <v>0</v>
      </c>
      <c r="CU13" s="105">
        <f t="shared" si="13"/>
        <v>0</v>
      </c>
      <c r="CV13" s="105">
        <f t="shared" si="14"/>
        <v>0</v>
      </c>
      <c r="CW13" s="81"/>
      <c r="CX13" s="105" t="str">
        <f t="shared" si="15"/>
        <v>III</v>
      </c>
      <c r="CY13" s="105" t="str">
        <f t="shared" si="16"/>
        <v>II</v>
      </c>
      <c r="CZ13" s="105" t="str">
        <f t="shared" si="17"/>
        <v>D</v>
      </c>
      <c r="DA13" s="105" t="str">
        <f t="shared" si="18"/>
        <v>III</v>
      </c>
      <c r="DB13" s="105" t="str">
        <f t="shared" si="19"/>
        <v>II</v>
      </c>
      <c r="DD13" s="105" t="str">
        <f t="shared" si="20"/>
        <v>III</v>
      </c>
      <c r="DE13" s="105" t="str">
        <f t="shared" si="21"/>
        <v/>
      </c>
      <c r="DF13" s="105" t="str">
        <f t="shared" si="22"/>
        <v>II</v>
      </c>
      <c r="DG13" s="105" t="str">
        <f t="shared" si="23"/>
        <v/>
      </c>
      <c r="DH13" s="105" t="str">
        <f t="shared" si="24"/>
        <v>D</v>
      </c>
      <c r="DI13" s="105" t="str">
        <f t="shared" si="25"/>
        <v/>
      </c>
      <c r="DJ13" s="105" t="str">
        <f t="shared" si="26"/>
        <v>III</v>
      </c>
      <c r="DK13" s="105" t="str">
        <f t="shared" si="27"/>
        <v/>
      </c>
      <c r="DL13" s="105" t="str">
        <f t="shared" si="28"/>
        <v>II</v>
      </c>
      <c r="DM13" s="105" t="str">
        <f t="shared" si="29"/>
        <v/>
      </c>
      <c r="DN13" s="105" t="str">
        <f t="shared" si="30"/>
        <v>B</v>
      </c>
      <c r="DO13" s="105" t="str">
        <f t="shared" si="31"/>
        <v>B</v>
      </c>
      <c r="DP13" s="105" t="str">
        <f t="shared" si="32"/>
        <v/>
      </c>
      <c r="DR13" s="118" t="str">
        <f t="shared" si="65"/>
        <v xml:space="preserve">    </v>
      </c>
      <c r="DS13" s="75"/>
      <c r="DT13" s="119" t="str">
        <f t="shared" si="66"/>
        <v xml:space="preserve">    </v>
      </c>
      <c r="DU13" s="136"/>
      <c r="DV13" s="119" t="str">
        <f t="shared" si="67"/>
        <v xml:space="preserve">    </v>
      </c>
      <c r="DW13" s="75"/>
      <c r="DX13" s="119" t="str">
        <f t="shared" si="68"/>
        <v xml:space="preserve">     </v>
      </c>
      <c r="DY13" s="75"/>
      <c r="DZ13" s="119" t="str">
        <f t="shared" si="69"/>
        <v xml:space="preserve">  History  </v>
      </c>
    </row>
    <row r="14" spans="1:130" ht="30" customHeight="1" x14ac:dyDescent="0.25">
      <c r="A14" s="105">
        <f>IF('Marks Entry'!A14="","",'Marks Entry'!A14)</f>
        <v>6</v>
      </c>
      <c r="B14" s="105">
        <f>IF('Marks Entry'!B14="","",'Marks Entry'!B14)</f>
        <v>911</v>
      </c>
      <c r="C14" s="105">
        <f>IF('Marks Entry'!C14="","",'Marks Entry'!C14)</f>
        <v>13337</v>
      </c>
      <c r="D14" s="48" t="str">
        <f>IF('Marks Entry'!D14="","",'Marks Entry'!D14)</f>
        <v>DHANNA SINGH</v>
      </c>
      <c r="E14" s="48" t="str">
        <f>IF('Marks Entry'!E14="","",'Marks Entry'!E14)</f>
        <v>MADHU SINGH</v>
      </c>
      <c r="F14" s="48" t="str">
        <f>IF('Marks Entry'!F14="","",'Marks Entry'!F14)</f>
        <v>SAYARI DEVI</v>
      </c>
      <c r="G14" s="105" t="str">
        <f>IF('Marks Entry'!G14="","",'Marks Entry'!G14)</f>
        <v>BOY</v>
      </c>
      <c r="H14" s="49">
        <f>IF('Marks Entry'!H14="","",'Marks Entry'!H14)</f>
        <v>37957</v>
      </c>
      <c r="I14" s="105" t="str">
        <f>IF('Marks Entry'!I14="","",'Marks Entry'!I14)</f>
        <v>OBC</v>
      </c>
      <c r="J14" s="105">
        <f>IF('Marks Entry'!K14="","",'Marks Entry'!K14)</f>
        <v>10</v>
      </c>
      <c r="K14" s="105">
        <f>IF('Marks Entry'!L14="","",'Marks Entry'!L14)</f>
        <v>20</v>
      </c>
      <c r="L14" s="105">
        <f>IF(AND('Marks Entry'!M14="",'Marks Entry'!N14=""),"",SUM('Marks Entry'!M14:N14))</f>
        <v>15</v>
      </c>
      <c r="M14" s="105">
        <f>IF(AND('Marks Entry'!O14="",'Marks Entry'!P14=""),"",SUM('Marks Entry'!O14:P14))</f>
        <v>52</v>
      </c>
      <c r="N14" s="105">
        <f t="shared" si="2"/>
        <v>97</v>
      </c>
      <c r="O14" s="105" t="str">
        <f t="shared" si="33"/>
        <v>P</v>
      </c>
      <c r="P14" s="105" t="str">
        <f t="shared" si="34"/>
        <v>II</v>
      </c>
      <c r="Q14" s="105">
        <f>IF('Marks Entry'!R14="","",'Marks Entry'!R14)</f>
        <v>10</v>
      </c>
      <c r="R14" s="105">
        <f>IF('Marks Entry'!S14="","",'Marks Entry'!S14)</f>
        <v>10</v>
      </c>
      <c r="S14" s="105">
        <f>IF(AND('Marks Entry'!T14="",'Marks Entry'!U14=""),"",SUM('Marks Entry'!T14:U14))</f>
        <v>40</v>
      </c>
      <c r="T14" s="105">
        <f>IF(AND('Marks Entry'!V14="",'Marks Entry'!W14=""),"",SUM('Marks Entry'!V14:W14))</f>
        <v>43</v>
      </c>
      <c r="U14" s="105">
        <f t="shared" si="35"/>
        <v>103</v>
      </c>
      <c r="V14" s="105" t="str">
        <f t="shared" si="36"/>
        <v>P</v>
      </c>
      <c r="W14" s="105" t="str">
        <f t="shared" si="37"/>
        <v>II</v>
      </c>
      <c r="X14" s="47" t="str">
        <f>IF(B14="","",IF('Marks Entry'!Y14="",'Marks Entry'!$Y$4,'Marks Entry'!Y14))</f>
        <v>History</v>
      </c>
      <c r="Y14" s="105">
        <f>IF('Marks Entry'!Z14="","",'Marks Entry'!Z14)</f>
        <v>10</v>
      </c>
      <c r="Z14" s="105">
        <f>IF('Marks Entry'!AA14="","",'Marks Entry'!AA14)</f>
        <v>10</v>
      </c>
      <c r="AA14" s="105">
        <f>IF(AND('Marks Entry'!AB14="",'Marks Entry'!AC14=""),"",SUM('Marks Entry'!AB14:AC14))</f>
        <v>40</v>
      </c>
      <c r="AB14" s="105" t="str">
        <f>IF('Marks Entry'!AD14="","",'Marks Entry'!AD14)</f>
        <v/>
      </c>
      <c r="AC14" s="105">
        <f t="shared" si="38"/>
        <v>40</v>
      </c>
      <c r="AD14" s="105">
        <f>IF(AND('Marks Entry'!AE14="",'Marks Entry'!AF14=""),"",SUM('Marks Entry'!AE14:AF14))</f>
        <v>41</v>
      </c>
      <c r="AE14" s="105" t="str">
        <f>IF('Marks Entry'!AG14="","",'Marks Entry'!AG14)</f>
        <v/>
      </c>
      <c r="AF14" s="105">
        <f t="shared" si="39"/>
        <v>41</v>
      </c>
      <c r="AG14" s="105">
        <f t="shared" si="40"/>
        <v>101</v>
      </c>
      <c r="AH14" s="105" t="str">
        <f t="shared" si="41"/>
        <v>P</v>
      </c>
      <c r="AI14" s="105" t="str">
        <f t="shared" si="42"/>
        <v>II</v>
      </c>
      <c r="AJ14" s="47" t="str">
        <f>IF(B14="","",IF('Marks Entry'!AI14="",'Marks Entry'!$AI$4,'Marks Entry'!AI14))</f>
        <v>Political Science</v>
      </c>
      <c r="AK14" s="105">
        <f>IF('Marks Entry'!AJ14="","",'Marks Entry'!AJ14)</f>
        <v>10</v>
      </c>
      <c r="AL14" s="105">
        <f>IF('Marks Entry'!AK14="","",'Marks Entry'!AK14)</f>
        <v>10</v>
      </c>
      <c r="AM14" s="105">
        <f>IF(AND('Marks Entry'!AL14="",'Marks Entry'!AM14=""),"",SUM('Marks Entry'!AL14:AM14))</f>
        <v>40</v>
      </c>
      <c r="AN14" s="105" t="str">
        <f>IF('Marks Entry'!AN14="","",'Marks Entry'!AN14)</f>
        <v/>
      </c>
      <c r="AO14" s="105">
        <f t="shared" si="43"/>
        <v>40</v>
      </c>
      <c r="AP14" s="105">
        <f>IF(AND('Marks Entry'!AO14="",'Marks Entry'!AP14=""),"",SUM('Marks Entry'!AO14:AP14))</f>
        <v>62</v>
      </c>
      <c r="AQ14" s="105" t="str">
        <f>IF('Marks Entry'!AQ14="","",'Marks Entry'!AQ14)</f>
        <v/>
      </c>
      <c r="AR14" s="105">
        <f t="shared" si="44"/>
        <v>62</v>
      </c>
      <c r="AS14" s="105">
        <f t="shared" si="45"/>
        <v>122</v>
      </c>
      <c r="AT14" s="105" t="str">
        <f t="shared" si="46"/>
        <v>P</v>
      </c>
      <c r="AU14" s="105" t="str">
        <f t="shared" si="47"/>
        <v>I</v>
      </c>
      <c r="AV14" s="47" t="str">
        <f>IF(B14="","",IF('Marks Entry'!AS14="",'Marks Entry'!$AS$4,'Marks Entry'!AS14))</f>
        <v>Geography</v>
      </c>
      <c r="AW14" s="105">
        <f>IF('Marks Entry'!AT14="","",'Marks Entry'!AT14)</f>
        <v>10</v>
      </c>
      <c r="AX14" s="105">
        <f>IF('Marks Entry'!AU14="","",'Marks Entry'!AU14)</f>
        <v>10</v>
      </c>
      <c r="AY14" s="105">
        <f>IF(AND('Marks Entry'!AV14="",'Marks Entry'!AW14=""),"",SUM('Marks Entry'!AV14:AW14))</f>
        <v>22</v>
      </c>
      <c r="AZ14" s="105">
        <f>IF('Marks Entry'!AX14="","",'Marks Entry'!AX14)</f>
        <v>10</v>
      </c>
      <c r="BA14" s="105">
        <f t="shared" si="48"/>
        <v>32</v>
      </c>
      <c r="BB14" s="105">
        <f>IF(AND('Marks Entry'!AY14="",'Marks Entry'!AZ14=""),"",SUM('Marks Entry'!AY14:AZ14))</f>
        <v>30</v>
      </c>
      <c r="BC14" s="105">
        <f>IF('Marks Entry'!BA14="","",'Marks Entry'!BA14)</f>
        <v>10</v>
      </c>
      <c r="BD14" s="105">
        <f t="shared" si="49"/>
        <v>40</v>
      </c>
      <c r="BE14" s="105">
        <f t="shared" si="50"/>
        <v>92</v>
      </c>
      <c r="BF14" s="105" t="str">
        <f t="shared" si="51"/>
        <v>P</v>
      </c>
      <c r="BG14" s="105" t="str">
        <f t="shared" si="52"/>
        <v>III</v>
      </c>
      <c r="BH14" s="105">
        <f t="shared" si="53"/>
        <v>515</v>
      </c>
      <c r="BI14" s="50">
        <f t="shared" si="3"/>
        <v>0.51500000000000001</v>
      </c>
      <c r="BJ14" s="47" t="str">
        <f t="shared" si="4"/>
        <v>PASS</v>
      </c>
      <c r="BK14" s="105" t="str">
        <f t="shared" si="54"/>
        <v>2nd</v>
      </c>
      <c r="BL14" s="105">
        <f t="shared" si="55"/>
        <v>11.999999999999927</v>
      </c>
      <c r="BM14" s="105">
        <f>IF(OR(B14="",'Marks Entry'!BY14=""),"",'Marks Entry'!BY14)</f>
        <v>400</v>
      </c>
      <c r="BN14" s="105">
        <f>IF(OR(B14="",'Marks Entry'!BZ14=""),"",'Marks Entry'!BZ14)</f>
        <v>300</v>
      </c>
      <c r="BO14" s="105">
        <f>IF('Marks Entry'!BC14="","",'Marks Entry'!BC14)</f>
        <v>15</v>
      </c>
      <c r="BP14" s="105">
        <f>IF('Marks Entry'!BD14="","",'Marks Entry'!BD14)</f>
        <v>15</v>
      </c>
      <c r="BQ14" s="105">
        <f>IF(AND('Marks Entry'!BE14="",'Marks Entry'!BF14=""),"",SUM('Marks Entry'!BE14:BF14))</f>
        <v>25</v>
      </c>
      <c r="BR14" s="105">
        <f>IF(AND('Marks Entry'!BG14="",'Marks Entry'!BH14=""),"",SUM('Marks Entry'!BG14:BH14))</f>
        <v>82</v>
      </c>
      <c r="BS14" s="105">
        <f t="shared" si="56"/>
        <v>137</v>
      </c>
      <c r="BT14" s="105" t="str">
        <f t="shared" si="57"/>
        <v>P</v>
      </c>
      <c r="BU14" s="105" t="str">
        <f t="shared" si="58"/>
        <v>B</v>
      </c>
      <c r="BV14" s="105">
        <f>IF('Marks Entry'!BJ14="","",'Marks Entry'!BJ14)</f>
        <v>15</v>
      </c>
      <c r="BW14" s="105">
        <f>IF('Marks Entry'!BK14="","",'Marks Entry'!BK14)</f>
        <v>15</v>
      </c>
      <c r="BX14" s="105">
        <f>IF(AND('Marks Entry'!BL14="",'Marks Entry'!BM14=""),"",SUM('Marks Entry'!BL14:BM14))</f>
        <v>25</v>
      </c>
      <c r="BY14" s="105">
        <f>IF(AND('Marks Entry'!BN14="",'Marks Entry'!BO14=""),"",SUM('Marks Entry'!BN14:BO14))</f>
        <v>82</v>
      </c>
      <c r="BZ14" s="105">
        <f t="shared" si="59"/>
        <v>137</v>
      </c>
      <c r="CA14" s="105" t="str">
        <f t="shared" si="60"/>
        <v>P</v>
      </c>
      <c r="CB14" s="105" t="str">
        <f t="shared" si="61"/>
        <v>B</v>
      </c>
      <c r="CC14" s="105" t="str">
        <f>IF('Marks Entry'!BQ14="","",'Marks Entry'!BQ14)</f>
        <v/>
      </c>
      <c r="CD14" s="105" t="str">
        <f>IF('Marks Entry'!BR14="","",'Marks Entry'!BR14)</f>
        <v/>
      </c>
      <c r="CE14" s="105" t="str">
        <f>IF(AND('Marks Entry'!BS14="",'Marks Entry'!BT14=""),"",SUM('Marks Entry'!BS14:BT14))</f>
        <v/>
      </c>
      <c r="CF14" s="105" t="str">
        <f>IF(AND('Marks Entry'!BU14="",'Marks Entry'!BV14=""),"",SUM('Marks Entry'!BU14:BV14))</f>
        <v/>
      </c>
      <c r="CG14" s="105" t="str">
        <f t="shared" si="62"/>
        <v/>
      </c>
      <c r="CH14" s="105" t="str">
        <f t="shared" si="63"/>
        <v/>
      </c>
      <c r="CI14" s="105" t="str">
        <f t="shared" si="64"/>
        <v/>
      </c>
      <c r="CJ14" s="81"/>
      <c r="CK14" s="50">
        <f t="shared" si="5"/>
        <v>0.51500000000000001</v>
      </c>
      <c r="CM14" s="105" t="str">
        <f t="shared" si="6"/>
        <v>P</v>
      </c>
      <c r="CN14" s="105" t="str">
        <f t="shared" si="7"/>
        <v>P</v>
      </c>
      <c r="CO14" s="105" t="str">
        <f t="shared" si="8"/>
        <v>P</v>
      </c>
      <c r="CP14" s="105" t="str">
        <f t="shared" si="9"/>
        <v>P</v>
      </c>
      <c r="CQ14" s="105" t="str">
        <f t="shared" si="10"/>
        <v>P</v>
      </c>
      <c r="CS14" s="105">
        <f t="shared" si="11"/>
        <v>0</v>
      </c>
      <c r="CT14" s="105">
        <f t="shared" si="12"/>
        <v>0</v>
      </c>
      <c r="CU14" s="105">
        <f t="shared" si="13"/>
        <v>0</v>
      </c>
      <c r="CV14" s="105">
        <f t="shared" si="14"/>
        <v>0</v>
      </c>
      <c r="CW14" s="81"/>
      <c r="CX14" s="105" t="str">
        <f t="shared" si="15"/>
        <v>II</v>
      </c>
      <c r="CY14" s="105" t="str">
        <f t="shared" si="16"/>
        <v>II</v>
      </c>
      <c r="CZ14" s="105" t="str">
        <f t="shared" si="17"/>
        <v>II</v>
      </c>
      <c r="DA14" s="105" t="str">
        <f t="shared" si="18"/>
        <v>I</v>
      </c>
      <c r="DB14" s="105" t="str">
        <f t="shared" si="19"/>
        <v>III</v>
      </c>
      <c r="DD14" s="105" t="str">
        <f t="shared" si="20"/>
        <v>II</v>
      </c>
      <c r="DE14" s="105" t="str">
        <f t="shared" si="21"/>
        <v/>
      </c>
      <c r="DF14" s="105" t="str">
        <f t="shared" si="22"/>
        <v>II</v>
      </c>
      <c r="DG14" s="105" t="str">
        <f t="shared" si="23"/>
        <v/>
      </c>
      <c r="DH14" s="105" t="str">
        <f t="shared" si="24"/>
        <v>II</v>
      </c>
      <c r="DI14" s="105" t="str">
        <f t="shared" si="25"/>
        <v/>
      </c>
      <c r="DJ14" s="105" t="str">
        <f t="shared" si="26"/>
        <v>I</v>
      </c>
      <c r="DK14" s="105" t="str">
        <f t="shared" si="27"/>
        <v/>
      </c>
      <c r="DL14" s="105" t="str">
        <f t="shared" si="28"/>
        <v>III</v>
      </c>
      <c r="DM14" s="105" t="str">
        <f t="shared" si="29"/>
        <v/>
      </c>
      <c r="DN14" s="105" t="str">
        <f t="shared" si="30"/>
        <v>B</v>
      </c>
      <c r="DO14" s="105" t="str">
        <f t="shared" si="31"/>
        <v>B</v>
      </c>
      <c r="DP14" s="105" t="str">
        <f t="shared" si="32"/>
        <v/>
      </c>
      <c r="DR14" s="118" t="str">
        <f t="shared" si="65"/>
        <v xml:space="preserve">    </v>
      </c>
      <c r="DS14" s="75"/>
      <c r="DT14" s="119" t="str">
        <f t="shared" si="66"/>
        <v xml:space="preserve">    </v>
      </c>
      <c r="DU14" s="136"/>
      <c r="DV14" s="119" t="str">
        <f t="shared" si="67"/>
        <v xml:space="preserve">    </v>
      </c>
      <c r="DW14" s="75"/>
      <c r="DX14" s="119" t="str">
        <f t="shared" si="68"/>
        <v xml:space="preserve">     </v>
      </c>
      <c r="DY14" s="75"/>
      <c r="DZ14" s="119" t="str">
        <f t="shared" si="69"/>
        <v xml:space="preserve">    </v>
      </c>
    </row>
    <row r="15" spans="1:130" ht="30" customHeight="1" x14ac:dyDescent="0.25">
      <c r="A15" s="105">
        <f>IF('Marks Entry'!A15="","",'Marks Entry'!A15)</f>
        <v>7</v>
      </c>
      <c r="B15" s="105">
        <f>IF('Marks Entry'!B15="","",'Marks Entry'!B15)</f>
        <v>912</v>
      </c>
      <c r="C15" s="105">
        <f>IF('Marks Entry'!C15="","",'Marks Entry'!C15)</f>
        <v>13238</v>
      </c>
      <c r="D15" s="48" t="str">
        <f>IF('Marks Entry'!D15="","",'Marks Entry'!D15)</f>
        <v>DHEERAJ NATH</v>
      </c>
      <c r="E15" s="48" t="str">
        <f>IF('Marks Entry'!E15="","",'Marks Entry'!E15)</f>
        <v>CHHITAR NATH</v>
      </c>
      <c r="F15" s="48" t="str">
        <f>IF('Marks Entry'!F15="","",'Marks Entry'!F15)</f>
        <v>SUNDAR DEVI</v>
      </c>
      <c r="G15" s="105" t="str">
        <f>IF('Marks Entry'!G15="","",'Marks Entry'!G15)</f>
        <v>BOY</v>
      </c>
      <c r="H15" s="49">
        <f>IF('Marks Entry'!H15="","",'Marks Entry'!H15)</f>
        <v>38812</v>
      </c>
      <c r="I15" s="105" t="str">
        <f>IF('Marks Entry'!I15="","",'Marks Entry'!I15)</f>
        <v>OBC</v>
      </c>
      <c r="J15" s="105">
        <f>IF('Marks Entry'!K15="","",'Marks Entry'!K15)</f>
        <v>10</v>
      </c>
      <c r="K15" s="105">
        <f>IF('Marks Entry'!L15="","",'Marks Entry'!L15)</f>
        <v>20</v>
      </c>
      <c r="L15" s="105">
        <f>IF(AND('Marks Entry'!M15="",'Marks Entry'!N15=""),"",SUM('Marks Entry'!M15:N15))</f>
        <v>15</v>
      </c>
      <c r="M15" s="105">
        <f>IF(AND('Marks Entry'!O15="",'Marks Entry'!P15=""),"",SUM('Marks Entry'!O15:P15))</f>
        <v>53</v>
      </c>
      <c r="N15" s="105">
        <f t="shared" si="2"/>
        <v>98</v>
      </c>
      <c r="O15" s="105" t="str">
        <f t="shared" si="33"/>
        <v>P</v>
      </c>
      <c r="P15" s="105" t="str">
        <f t="shared" si="34"/>
        <v>II</v>
      </c>
      <c r="Q15" s="105">
        <f>IF('Marks Entry'!R15="","",'Marks Entry'!R15)</f>
        <v>10</v>
      </c>
      <c r="R15" s="105">
        <f>IF('Marks Entry'!S15="","",'Marks Entry'!S15)</f>
        <v>10</v>
      </c>
      <c r="S15" s="105">
        <f>IF(AND('Marks Entry'!T15="",'Marks Entry'!U15=""),"",SUM('Marks Entry'!T15:U15))</f>
        <v>40</v>
      </c>
      <c r="T15" s="105">
        <f>IF(AND('Marks Entry'!V15="",'Marks Entry'!W15=""),"",SUM('Marks Entry'!V15:W15))</f>
        <v>44</v>
      </c>
      <c r="U15" s="105">
        <f t="shared" si="35"/>
        <v>104</v>
      </c>
      <c r="V15" s="105" t="str">
        <f t="shared" si="36"/>
        <v>P</v>
      </c>
      <c r="W15" s="105" t="str">
        <f t="shared" si="37"/>
        <v>II</v>
      </c>
      <c r="X15" s="47" t="str">
        <f>IF(B15="","",IF('Marks Entry'!Y15="",'Marks Entry'!$Y$4,'Marks Entry'!Y15))</f>
        <v>History</v>
      </c>
      <c r="Y15" s="105">
        <f>IF('Marks Entry'!Z15="","",'Marks Entry'!Z15)</f>
        <v>10</v>
      </c>
      <c r="Z15" s="105">
        <f>IF('Marks Entry'!AA15="","",'Marks Entry'!AA15)</f>
        <v>10</v>
      </c>
      <c r="AA15" s="105">
        <f>IF(AND('Marks Entry'!AB15="",'Marks Entry'!AC15=""),"",SUM('Marks Entry'!AB15:AC15))</f>
        <v>40</v>
      </c>
      <c r="AB15" s="105" t="str">
        <f>IF('Marks Entry'!AD15="","",'Marks Entry'!AD15)</f>
        <v/>
      </c>
      <c r="AC15" s="105">
        <f t="shared" si="38"/>
        <v>40</v>
      </c>
      <c r="AD15" s="105">
        <f>IF(AND('Marks Entry'!AE15="",'Marks Entry'!AF15=""),"",SUM('Marks Entry'!AE15:AF15))</f>
        <v>41</v>
      </c>
      <c r="AE15" s="105" t="str">
        <f>IF('Marks Entry'!AG15="","",'Marks Entry'!AG15)</f>
        <v/>
      </c>
      <c r="AF15" s="105">
        <f t="shared" si="39"/>
        <v>41</v>
      </c>
      <c r="AG15" s="105">
        <f t="shared" si="40"/>
        <v>101</v>
      </c>
      <c r="AH15" s="105" t="str">
        <f t="shared" si="41"/>
        <v>P</v>
      </c>
      <c r="AI15" s="105" t="str">
        <f t="shared" si="42"/>
        <v>II</v>
      </c>
      <c r="AJ15" s="47" t="str">
        <f>IF(B15="","",IF('Marks Entry'!AI15="",'Marks Entry'!$AI$4,'Marks Entry'!AI15))</f>
        <v>Political Science</v>
      </c>
      <c r="AK15" s="105">
        <f>IF('Marks Entry'!AJ15="","",'Marks Entry'!AJ15)</f>
        <v>10</v>
      </c>
      <c r="AL15" s="105">
        <f>IF('Marks Entry'!AK15="","",'Marks Entry'!AK15)</f>
        <v>10</v>
      </c>
      <c r="AM15" s="105">
        <f>IF(AND('Marks Entry'!AL15="",'Marks Entry'!AM15=""),"",SUM('Marks Entry'!AL15:AM15))</f>
        <v>40</v>
      </c>
      <c r="AN15" s="105" t="str">
        <f>IF('Marks Entry'!AN15="","",'Marks Entry'!AN15)</f>
        <v/>
      </c>
      <c r="AO15" s="105">
        <f t="shared" si="43"/>
        <v>40</v>
      </c>
      <c r="AP15" s="105">
        <f>IF(AND('Marks Entry'!AO15="",'Marks Entry'!AP15=""),"",SUM('Marks Entry'!AO15:AP15))</f>
        <v>65</v>
      </c>
      <c r="AQ15" s="105" t="str">
        <f>IF('Marks Entry'!AQ15="","",'Marks Entry'!AQ15)</f>
        <v/>
      </c>
      <c r="AR15" s="105">
        <f t="shared" si="44"/>
        <v>65</v>
      </c>
      <c r="AS15" s="105">
        <f t="shared" si="45"/>
        <v>125</v>
      </c>
      <c r="AT15" s="105" t="str">
        <f t="shared" si="46"/>
        <v>P</v>
      </c>
      <c r="AU15" s="105" t="str">
        <f t="shared" si="47"/>
        <v>I</v>
      </c>
      <c r="AV15" s="47" t="str">
        <f>IF(B15="","",IF('Marks Entry'!AS15="",'Marks Entry'!$AS$4,'Marks Entry'!AS15))</f>
        <v>Geography</v>
      </c>
      <c r="AW15" s="105">
        <f>IF('Marks Entry'!AT15="","",'Marks Entry'!AT15)</f>
        <v>10</v>
      </c>
      <c r="AX15" s="105">
        <f>IF('Marks Entry'!AU15="","",'Marks Entry'!AU15)</f>
        <v>10</v>
      </c>
      <c r="AY15" s="105">
        <f>IF(AND('Marks Entry'!AV15="",'Marks Entry'!AW15=""),"",SUM('Marks Entry'!AV15:AW15))</f>
        <v>18</v>
      </c>
      <c r="AZ15" s="105">
        <f>IF('Marks Entry'!AX15="","",'Marks Entry'!AX15)</f>
        <v>8</v>
      </c>
      <c r="BA15" s="105">
        <f t="shared" si="48"/>
        <v>26</v>
      </c>
      <c r="BB15" s="105">
        <f>IF(AND('Marks Entry'!AY15="",'Marks Entry'!AZ15=""),"",SUM('Marks Entry'!AY15:AZ15))</f>
        <v>35</v>
      </c>
      <c r="BC15" s="105">
        <f>IF('Marks Entry'!BA15="","",'Marks Entry'!BA15)</f>
        <v>15</v>
      </c>
      <c r="BD15" s="105">
        <f t="shared" si="49"/>
        <v>50</v>
      </c>
      <c r="BE15" s="105">
        <f t="shared" si="50"/>
        <v>96</v>
      </c>
      <c r="BF15" s="105" t="str">
        <f t="shared" si="51"/>
        <v>P</v>
      </c>
      <c r="BG15" s="105" t="str">
        <f t="shared" si="52"/>
        <v>II</v>
      </c>
      <c r="BH15" s="105">
        <f t="shared" si="53"/>
        <v>524</v>
      </c>
      <c r="BI15" s="50">
        <f t="shared" si="3"/>
        <v>0.52400000000000002</v>
      </c>
      <c r="BJ15" s="47" t="str">
        <f t="shared" si="4"/>
        <v>PASS</v>
      </c>
      <c r="BK15" s="105" t="str">
        <f t="shared" si="54"/>
        <v>2nd</v>
      </c>
      <c r="BL15" s="105">
        <f t="shared" si="55"/>
        <v>9.9999999999999272</v>
      </c>
      <c r="BM15" s="105">
        <f>IF(OR(B15="",'Marks Entry'!BY15=""),"",'Marks Entry'!BY15)</f>
        <v>400</v>
      </c>
      <c r="BN15" s="105">
        <f>IF(OR(B15="",'Marks Entry'!BZ15=""),"",'Marks Entry'!BZ15)</f>
        <v>300</v>
      </c>
      <c r="BO15" s="105">
        <f>IF('Marks Entry'!BC15="","",'Marks Entry'!BC15)</f>
        <v>15</v>
      </c>
      <c r="BP15" s="105">
        <f>IF('Marks Entry'!BD15="","",'Marks Entry'!BD15)</f>
        <v>15</v>
      </c>
      <c r="BQ15" s="105">
        <f>IF(AND('Marks Entry'!BE15="",'Marks Entry'!BF15=""),"",SUM('Marks Entry'!BE15:BF15))</f>
        <v>25</v>
      </c>
      <c r="BR15" s="105">
        <f>IF(AND('Marks Entry'!BG15="",'Marks Entry'!BH15=""),"",SUM('Marks Entry'!BG15:BH15))</f>
        <v>82</v>
      </c>
      <c r="BS15" s="105">
        <f t="shared" si="56"/>
        <v>137</v>
      </c>
      <c r="BT15" s="105" t="str">
        <f t="shared" si="57"/>
        <v>P</v>
      </c>
      <c r="BU15" s="105" t="str">
        <f t="shared" si="58"/>
        <v>B</v>
      </c>
      <c r="BV15" s="105">
        <f>IF('Marks Entry'!BJ15="","",'Marks Entry'!BJ15)</f>
        <v>15</v>
      </c>
      <c r="BW15" s="105">
        <f>IF('Marks Entry'!BK15="","",'Marks Entry'!BK15)</f>
        <v>15</v>
      </c>
      <c r="BX15" s="105">
        <f>IF(AND('Marks Entry'!BL15="",'Marks Entry'!BM15=""),"",SUM('Marks Entry'!BL15:BM15))</f>
        <v>25</v>
      </c>
      <c r="BY15" s="105">
        <f>IF(AND('Marks Entry'!BN15="",'Marks Entry'!BO15=""),"",SUM('Marks Entry'!BN15:BO15))</f>
        <v>82</v>
      </c>
      <c r="BZ15" s="105">
        <f t="shared" si="59"/>
        <v>137</v>
      </c>
      <c r="CA15" s="105" t="str">
        <f t="shared" si="60"/>
        <v>P</v>
      </c>
      <c r="CB15" s="105" t="str">
        <f t="shared" si="61"/>
        <v>B</v>
      </c>
      <c r="CC15" s="105" t="str">
        <f>IF('Marks Entry'!BQ15="","",'Marks Entry'!BQ15)</f>
        <v/>
      </c>
      <c r="CD15" s="105" t="str">
        <f>IF('Marks Entry'!BR15="","",'Marks Entry'!BR15)</f>
        <v/>
      </c>
      <c r="CE15" s="105" t="str">
        <f>IF(AND('Marks Entry'!BS15="",'Marks Entry'!BT15=""),"",SUM('Marks Entry'!BS15:BT15))</f>
        <v/>
      </c>
      <c r="CF15" s="105" t="str">
        <f>IF(AND('Marks Entry'!BU15="",'Marks Entry'!BV15=""),"",SUM('Marks Entry'!BU15:BV15))</f>
        <v/>
      </c>
      <c r="CG15" s="105" t="str">
        <f t="shared" si="62"/>
        <v/>
      </c>
      <c r="CH15" s="105" t="str">
        <f t="shared" si="63"/>
        <v/>
      </c>
      <c r="CI15" s="105" t="str">
        <f t="shared" si="64"/>
        <v/>
      </c>
      <c r="CJ15" s="81"/>
      <c r="CK15" s="50">
        <f t="shared" si="5"/>
        <v>0.52400000000000002</v>
      </c>
      <c r="CM15" s="105" t="str">
        <f t="shared" si="6"/>
        <v>P</v>
      </c>
      <c r="CN15" s="105" t="str">
        <f t="shared" si="7"/>
        <v>P</v>
      </c>
      <c r="CO15" s="105" t="str">
        <f t="shared" si="8"/>
        <v>P</v>
      </c>
      <c r="CP15" s="105" t="str">
        <f t="shared" si="9"/>
        <v>P</v>
      </c>
      <c r="CQ15" s="105" t="str">
        <f t="shared" si="10"/>
        <v>P</v>
      </c>
      <c r="CS15" s="105">
        <f t="shared" si="11"/>
        <v>0</v>
      </c>
      <c r="CT15" s="105">
        <f t="shared" si="12"/>
        <v>0</v>
      </c>
      <c r="CU15" s="105">
        <f t="shared" si="13"/>
        <v>0</v>
      </c>
      <c r="CV15" s="105">
        <f t="shared" si="14"/>
        <v>0</v>
      </c>
      <c r="CW15" s="81"/>
      <c r="CX15" s="105" t="str">
        <f t="shared" si="15"/>
        <v>II</v>
      </c>
      <c r="CY15" s="105" t="str">
        <f t="shared" si="16"/>
        <v>II</v>
      </c>
      <c r="CZ15" s="105" t="str">
        <f t="shared" si="17"/>
        <v>II</v>
      </c>
      <c r="DA15" s="105" t="str">
        <f t="shared" si="18"/>
        <v>I</v>
      </c>
      <c r="DB15" s="105" t="str">
        <f t="shared" si="19"/>
        <v>II</v>
      </c>
      <c r="DD15" s="105" t="str">
        <f t="shared" si="20"/>
        <v>II</v>
      </c>
      <c r="DE15" s="105" t="str">
        <f t="shared" si="21"/>
        <v/>
      </c>
      <c r="DF15" s="105" t="str">
        <f t="shared" si="22"/>
        <v>II</v>
      </c>
      <c r="DG15" s="105" t="str">
        <f t="shared" si="23"/>
        <v/>
      </c>
      <c r="DH15" s="105" t="str">
        <f t="shared" si="24"/>
        <v>II</v>
      </c>
      <c r="DI15" s="105" t="str">
        <f t="shared" si="25"/>
        <v/>
      </c>
      <c r="DJ15" s="105" t="str">
        <f t="shared" si="26"/>
        <v>I</v>
      </c>
      <c r="DK15" s="105" t="str">
        <f t="shared" si="27"/>
        <v/>
      </c>
      <c r="DL15" s="105" t="str">
        <f t="shared" si="28"/>
        <v>II</v>
      </c>
      <c r="DM15" s="105" t="str">
        <f t="shared" si="29"/>
        <v/>
      </c>
      <c r="DN15" s="105" t="str">
        <f t="shared" si="30"/>
        <v>B</v>
      </c>
      <c r="DO15" s="105" t="str">
        <f t="shared" si="31"/>
        <v>B</v>
      </c>
      <c r="DP15" s="105" t="str">
        <f t="shared" si="32"/>
        <v/>
      </c>
      <c r="DR15" s="118" t="str">
        <f t="shared" si="65"/>
        <v xml:space="preserve">    </v>
      </c>
      <c r="DS15" s="75"/>
      <c r="DT15" s="119" t="str">
        <f t="shared" si="66"/>
        <v xml:space="preserve">    </v>
      </c>
      <c r="DU15" s="136"/>
      <c r="DV15" s="119" t="str">
        <f t="shared" si="67"/>
        <v xml:space="preserve">    </v>
      </c>
      <c r="DW15" s="75"/>
      <c r="DX15" s="119" t="str">
        <f t="shared" si="68"/>
        <v xml:space="preserve">     </v>
      </c>
      <c r="DY15" s="75"/>
      <c r="DZ15" s="119" t="str">
        <f t="shared" si="69"/>
        <v xml:space="preserve">    </v>
      </c>
    </row>
    <row r="16" spans="1:130" ht="30" customHeight="1" x14ac:dyDescent="0.25">
      <c r="A16" s="105">
        <f>IF('Marks Entry'!A16="","",'Marks Entry'!A16)</f>
        <v>8</v>
      </c>
      <c r="B16" s="105">
        <f>IF('Marks Entry'!B16="","",'Marks Entry'!B16)</f>
        <v>913</v>
      </c>
      <c r="C16" s="105">
        <f>IF('Marks Entry'!C16="","",'Marks Entry'!C16)</f>
        <v>12965</v>
      </c>
      <c r="D16" s="48" t="str">
        <f>IF('Marks Entry'!D16="","",'Marks Entry'!D16)</f>
        <v>DINESH GURJAR</v>
      </c>
      <c r="E16" s="48" t="str">
        <f>IF('Marks Entry'!E16="","",'Marks Entry'!E16)</f>
        <v>KANHEYA LAL GURJAR</v>
      </c>
      <c r="F16" s="48" t="str">
        <f>IF('Marks Entry'!F16="","",'Marks Entry'!F16)</f>
        <v>NARAYANI DEVI</v>
      </c>
      <c r="G16" s="105" t="str">
        <f>IF('Marks Entry'!G16="","",'Marks Entry'!G16)</f>
        <v>BOY</v>
      </c>
      <c r="H16" s="49">
        <f>IF('Marks Entry'!H16="","",'Marks Entry'!H16)</f>
        <v>38327</v>
      </c>
      <c r="I16" s="105" t="str">
        <f>IF('Marks Entry'!I16="","",'Marks Entry'!I16)</f>
        <v>SBC</v>
      </c>
      <c r="J16" s="105">
        <f>IF('Marks Entry'!K16="","",'Marks Entry'!K16)</f>
        <v>10</v>
      </c>
      <c r="K16" s="105">
        <f>IF('Marks Entry'!L16="","",'Marks Entry'!L16)</f>
        <v>20</v>
      </c>
      <c r="L16" s="105">
        <f>IF(AND('Marks Entry'!M16="",'Marks Entry'!N16=""),"",SUM('Marks Entry'!M16:N16))</f>
        <v>15</v>
      </c>
      <c r="M16" s="105">
        <f>IF(AND('Marks Entry'!O16="",'Marks Entry'!P16=""),"",SUM('Marks Entry'!O16:P16))</f>
        <v>54</v>
      </c>
      <c r="N16" s="105">
        <f t="shared" si="2"/>
        <v>99</v>
      </c>
      <c r="O16" s="105" t="str">
        <f t="shared" si="33"/>
        <v>P</v>
      </c>
      <c r="P16" s="105" t="str">
        <f t="shared" si="34"/>
        <v>II</v>
      </c>
      <c r="Q16" s="105">
        <f>IF('Marks Entry'!R16="","",'Marks Entry'!R16)</f>
        <v>10</v>
      </c>
      <c r="R16" s="105">
        <f>IF('Marks Entry'!S16="","",'Marks Entry'!S16)</f>
        <v>10</v>
      </c>
      <c r="S16" s="105">
        <f>IF(AND('Marks Entry'!T16="",'Marks Entry'!U16=""),"",SUM('Marks Entry'!T16:U16))</f>
        <v>40</v>
      </c>
      <c r="T16" s="105">
        <f>IF(AND('Marks Entry'!V16="",'Marks Entry'!W16=""),"",SUM('Marks Entry'!V16:W16))</f>
        <v>45</v>
      </c>
      <c r="U16" s="105">
        <f t="shared" si="35"/>
        <v>105</v>
      </c>
      <c r="V16" s="105" t="str">
        <f t="shared" si="36"/>
        <v>P</v>
      </c>
      <c r="W16" s="105" t="str">
        <f t="shared" si="37"/>
        <v>II</v>
      </c>
      <c r="X16" s="47" t="str">
        <f>IF(B16="","",IF('Marks Entry'!Y16="",'Marks Entry'!$Y$4,'Marks Entry'!Y16))</f>
        <v>History</v>
      </c>
      <c r="Y16" s="105">
        <f>IF('Marks Entry'!Z16="","",'Marks Entry'!Z16)</f>
        <v>10</v>
      </c>
      <c r="Z16" s="105">
        <f>IF('Marks Entry'!AA16="","",'Marks Entry'!AA16)</f>
        <v>10</v>
      </c>
      <c r="AA16" s="105">
        <f>IF(AND('Marks Entry'!AB16="",'Marks Entry'!AC16=""),"",SUM('Marks Entry'!AB16:AC16))</f>
        <v>40</v>
      </c>
      <c r="AB16" s="105" t="str">
        <f>IF('Marks Entry'!AD16="","",'Marks Entry'!AD16)</f>
        <v/>
      </c>
      <c r="AC16" s="105">
        <f t="shared" si="38"/>
        <v>40</v>
      </c>
      <c r="AD16" s="105">
        <f>IF(AND('Marks Entry'!AE16="",'Marks Entry'!AF16=""),"",SUM('Marks Entry'!AE16:AF16))</f>
        <v>41</v>
      </c>
      <c r="AE16" s="105" t="str">
        <f>IF('Marks Entry'!AG16="","",'Marks Entry'!AG16)</f>
        <v/>
      </c>
      <c r="AF16" s="105">
        <f t="shared" si="39"/>
        <v>41</v>
      </c>
      <c r="AG16" s="105">
        <f t="shared" si="40"/>
        <v>101</v>
      </c>
      <c r="AH16" s="105" t="str">
        <f t="shared" si="41"/>
        <v>P</v>
      </c>
      <c r="AI16" s="105" t="str">
        <f t="shared" si="42"/>
        <v>II</v>
      </c>
      <c r="AJ16" s="47" t="str">
        <f>IF(B16="","",IF('Marks Entry'!AI16="",'Marks Entry'!$AI$4,'Marks Entry'!AI16))</f>
        <v>Political Science</v>
      </c>
      <c r="AK16" s="105">
        <f>IF('Marks Entry'!AJ16="","",'Marks Entry'!AJ16)</f>
        <v>10</v>
      </c>
      <c r="AL16" s="105">
        <f>IF('Marks Entry'!AK16="","",'Marks Entry'!AK16)</f>
        <v>10</v>
      </c>
      <c r="AM16" s="105">
        <f>IF(AND('Marks Entry'!AL16="",'Marks Entry'!AM16=""),"",SUM('Marks Entry'!AL16:AM16))</f>
        <v>40</v>
      </c>
      <c r="AN16" s="105" t="str">
        <f>IF('Marks Entry'!AN16="","",'Marks Entry'!AN16)</f>
        <v/>
      </c>
      <c r="AO16" s="105">
        <f t="shared" si="43"/>
        <v>40</v>
      </c>
      <c r="AP16" s="105">
        <f>IF(AND('Marks Entry'!AO16="",'Marks Entry'!AP16=""),"",SUM('Marks Entry'!AO16:AP16))</f>
        <v>60</v>
      </c>
      <c r="AQ16" s="105" t="str">
        <f>IF('Marks Entry'!AQ16="","",'Marks Entry'!AQ16)</f>
        <v/>
      </c>
      <c r="AR16" s="105">
        <f t="shared" si="44"/>
        <v>60</v>
      </c>
      <c r="AS16" s="105">
        <f t="shared" si="45"/>
        <v>120</v>
      </c>
      <c r="AT16" s="105" t="str">
        <f t="shared" si="46"/>
        <v>P</v>
      </c>
      <c r="AU16" s="105" t="str">
        <f t="shared" si="47"/>
        <v>I</v>
      </c>
      <c r="AV16" s="47" t="str">
        <f>IF(B16="","",IF('Marks Entry'!AS16="",'Marks Entry'!$AS$4,'Marks Entry'!AS16))</f>
        <v>Geography</v>
      </c>
      <c r="AW16" s="105">
        <f>IF('Marks Entry'!AT16="","",'Marks Entry'!AT16)</f>
        <v>10</v>
      </c>
      <c r="AX16" s="105">
        <f>IF('Marks Entry'!AU16="","",'Marks Entry'!AU16)</f>
        <v>10</v>
      </c>
      <c r="AY16" s="105">
        <f>IF(AND('Marks Entry'!AV16="",'Marks Entry'!AW16=""),"",SUM('Marks Entry'!AV16:AW16))</f>
        <v>22</v>
      </c>
      <c r="AZ16" s="105">
        <f>IF('Marks Entry'!AX16="","",'Marks Entry'!AX16)</f>
        <v>10</v>
      </c>
      <c r="BA16" s="105">
        <f t="shared" si="48"/>
        <v>32</v>
      </c>
      <c r="BB16" s="105">
        <f>IF(AND('Marks Entry'!AY16="",'Marks Entry'!AZ16=""),"",SUM('Marks Entry'!AY16:AZ16))</f>
        <v>36</v>
      </c>
      <c r="BC16" s="105">
        <f>IF('Marks Entry'!BA16="","",'Marks Entry'!BA16)</f>
        <v>18</v>
      </c>
      <c r="BD16" s="105">
        <f t="shared" si="49"/>
        <v>54</v>
      </c>
      <c r="BE16" s="105">
        <f t="shared" si="50"/>
        <v>106</v>
      </c>
      <c r="BF16" s="105" t="str">
        <f t="shared" si="51"/>
        <v>P</v>
      </c>
      <c r="BG16" s="105" t="str">
        <f t="shared" si="52"/>
        <v>II</v>
      </c>
      <c r="BH16" s="105">
        <f t="shared" si="53"/>
        <v>531</v>
      </c>
      <c r="BI16" s="50">
        <f t="shared" si="3"/>
        <v>0.53100000000000003</v>
      </c>
      <c r="BJ16" s="47" t="str">
        <f t="shared" si="4"/>
        <v>PASS</v>
      </c>
      <c r="BK16" s="105" t="str">
        <f t="shared" si="54"/>
        <v>2nd</v>
      </c>
      <c r="BL16" s="105">
        <f t="shared" si="55"/>
        <v>8.0000000000000018</v>
      </c>
      <c r="BM16" s="105">
        <f>IF(OR(B16="",'Marks Entry'!BY16=""),"",'Marks Entry'!BY16)</f>
        <v>400</v>
      </c>
      <c r="BN16" s="105">
        <f>IF(OR(B16="",'Marks Entry'!BZ16=""),"",'Marks Entry'!BZ16)</f>
        <v>300</v>
      </c>
      <c r="BO16" s="105">
        <f>IF('Marks Entry'!BC16="","",'Marks Entry'!BC16)</f>
        <v>15</v>
      </c>
      <c r="BP16" s="105">
        <f>IF('Marks Entry'!BD16="","",'Marks Entry'!BD16)</f>
        <v>15</v>
      </c>
      <c r="BQ16" s="105">
        <f>IF(AND('Marks Entry'!BE16="",'Marks Entry'!BF16=""),"",SUM('Marks Entry'!BE16:BF16))</f>
        <v>25</v>
      </c>
      <c r="BR16" s="105">
        <f>IF(AND('Marks Entry'!BG16="",'Marks Entry'!BH16=""),"",SUM('Marks Entry'!BG16:BH16))</f>
        <v>82</v>
      </c>
      <c r="BS16" s="105">
        <f t="shared" si="56"/>
        <v>137</v>
      </c>
      <c r="BT16" s="105" t="str">
        <f t="shared" si="57"/>
        <v>P</v>
      </c>
      <c r="BU16" s="105" t="str">
        <f t="shared" si="58"/>
        <v>B</v>
      </c>
      <c r="BV16" s="105">
        <f>IF('Marks Entry'!BJ16="","",'Marks Entry'!BJ16)</f>
        <v>15</v>
      </c>
      <c r="BW16" s="105">
        <f>IF('Marks Entry'!BK16="","",'Marks Entry'!BK16)</f>
        <v>15</v>
      </c>
      <c r="BX16" s="105">
        <f>IF(AND('Marks Entry'!BL16="",'Marks Entry'!BM16=""),"",SUM('Marks Entry'!BL16:BM16))</f>
        <v>25</v>
      </c>
      <c r="BY16" s="105">
        <f>IF(AND('Marks Entry'!BN16="",'Marks Entry'!BO16=""),"",SUM('Marks Entry'!BN16:BO16))</f>
        <v>82</v>
      </c>
      <c r="BZ16" s="105">
        <f t="shared" si="59"/>
        <v>137</v>
      </c>
      <c r="CA16" s="105" t="str">
        <f t="shared" si="60"/>
        <v>P</v>
      </c>
      <c r="CB16" s="105" t="str">
        <f t="shared" si="61"/>
        <v>B</v>
      </c>
      <c r="CC16" s="105" t="str">
        <f>IF('Marks Entry'!BQ16="","",'Marks Entry'!BQ16)</f>
        <v/>
      </c>
      <c r="CD16" s="105" t="str">
        <f>IF('Marks Entry'!BR16="","",'Marks Entry'!BR16)</f>
        <v/>
      </c>
      <c r="CE16" s="105" t="str">
        <f>IF(AND('Marks Entry'!BS16="",'Marks Entry'!BT16=""),"",SUM('Marks Entry'!BS16:BT16))</f>
        <v/>
      </c>
      <c r="CF16" s="105" t="str">
        <f>IF(AND('Marks Entry'!BU16="",'Marks Entry'!BV16=""),"",SUM('Marks Entry'!BU16:BV16))</f>
        <v/>
      </c>
      <c r="CG16" s="105" t="str">
        <f t="shared" si="62"/>
        <v/>
      </c>
      <c r="CH16" s="105" t="str">
        <f t="shared" si="63"/>
        <v/>
      </c>
      <c r="CI16" s="105" t="str">
        <f t="shared" si="64"/>
        <v/>
      </c>
      <c r="CJ16" s="81"/>
      <c r="CK16" s="50">
        <f t="shared" si="5"/>
        <v>0.53100000000000003</v>
      </c>
      <c r="CM16" s="105" t="str">
        <f t="shared" si="6"/>
        <v>P</v>
      </c>
      <c r="CN16" s="105" t="str">
        <f t="shared" si="7"/>
        <v>P</v>
      </c>
      <c r="CO16" s="105" t="str">
        <f t="shared" si="8"/>
        <v>P</v>
      </c>
      <c r="CP16" s="105" t="str">
        <f t="shared" si="9"/>
        <v>P</v>
      </c>
      <c r="CQ16" s="105" t="str">
        <f t="shared" si="10"/>
        <v>P</v>
      </c>
      <c r="CS16" s="105">
        <f t="shared" si="11"/>
        <v>0</v>
      </c>
      <c r="CT16" s="105">
        <f t="shared" si="12"/>
        <v>0</v>
      </c>
      <c r="CU16" s="105">
        <f t="shared" si="13"/>
        <v>0</v>
      </c>
      <c r="CV16" s="105">
        <f t="shared" si="14"/>
        <v>0</v>
      </c>
      <c r="CW16" s="81"/>
      <c r="CX16" s="105" t="str">
        <f t="shared" si="15"/>
        <v>II</v>
      </c>
      <c r="CY16" s="105" t="str">
        <f t="shared" si="16"/>
        <v>II</v>
      </c>
      <c r="CZ16" s="105" t="str">
        <f t="shared" si="17"/>
        <v>II</v>
      </c>
      <c r="DA16" s="105" t="str">
        <f t="shared" si="18"/>
        <v>I</v>
      </c>
      <c r="DB16" s="105" t="str">
        <f t="shared" si="19"/>
        <v>II</v>
      </c>
      <c r="DD16" s="105" t="str">
        <f t="shared" si="20"/>
        <v>II</v>
      </c>
      <c r="DE16" s="105" t="str">
        <f t="shared" si="21"/>
        <v/>
      </c>
      <c r="DF16" s="105" t="str">
        <f t="shared" si="22"/>
        <v>II</v>
      </c>
      <c r="DG16" s="105" t="str">
        <f t="shared" si="23"/>
        <v/>
      </c>
      <c r="DH16" s="105" t="str">
        <f t="shared" si="24"/>
        <v>II</v>
      </c>
      <c r="DI16" s="105" t="str">
        <f t="shared" si="25"/>
        <v/>
      </c>
      <c r="DJ16" s="105" t="str">
        <f t="shared" si="26"/>
        <v>I</v>
      </c>
      <c r="DK16" s="105" t="str">
        <f t="shared" si="27"/>
        <v/>
      </c>
      <c r="DL16" s="105" t="str">
        <f t="shared" si="28"/>
        <v>II</v>
      </c>
      <c r="DM16" s="105" t="str">
        <f t="shared" si="29"/>
        <v/>
      </c>
      <c r="DN16" s="105" t="str">
        <f t="shared" si="30"/>
        <v>B</v>
      </c>
      <c r="DO16" s="105" t="str">
        <f t="shared" si="31"/>
        <v>B</v>
      </c>
      <c r="DP16" s="105" t="str">
        <f t="shared" si="32"/>
        <v/>
      </c>
      <c r="DR16" s="118" t="str">
        <f t="shared" si="65"/>
        <v xml:space="preserve">    </v>
      </c>
      <c r="DS16" s="75"/>
      <c r="DT16" s="119" t="str">
        <f t="shared" si="66"/>
        <v xml:space="preserve">    </v>
      </c>
      <c r="DU16" s="136"/>
      <c r="DV16" s="119" t="str">
        <f t="shared" si="67"/>
        <v xml:space="preserve">    </v>
      </c>
      <c r="DW16" s="75"/>
      <c r="DX16" s="119" t="str">
        <f t="shared" si="68"/>
        <v xml:space="preserve">     </v>
      </c>
      <c r="DY16" s="75"/>
      <c r="DZ16" s="119" t="str">
        <f t="shared" si="69"/>
        <v xml:space="preserve">    </v>
      </c>
    </row>
    <row r="17" spans="1:130" ht="30" customHeight="1" x14ac:dyDescent="0.25">
      <c r="A17" s="105">
        <f>IF('Marks Entry'!A17="","",'Marks Entry'!A17)</f>
        <v>9</v>
      </c>
      <c r="B17" s="105">
        <f>IF('Marks Entry'!B17="","",'Marks Entry'!B17)</f>
        <v>914</v>
      </c>
      <c r="C17" s="105">
        <f>IF('Marks Entry'!C17="","",'Marks Entry'!C17)</f>
        <v>13523</v>
      </c>
      <c r="D17" s="48" t="str">
        <f>IF('Marks Entry'!D17="","",'Marks Entry'!D17)</f>
        <v>GOVIND NANGARACHI</v>
      </c>
      <c r="E17" s="48" t="str">
        <f>IF('Marks Entry'!E17="","",'Marks Entry'!E17)</f>
        <v>MANGI LAL NANGARACHI</v>
      </c>
      <c r="F17" s="48" t="str">
        <f>IF('Marks Entry'!F17="","",'Marks Entry'!F17)</f>
        <v>KAILASHI DEVI</v>
      </c>
      <c r="G17" s="105" t="str">
        <f>IF('Marks Entry'!G17="","",'Marks Entry'!G17)</f>
        <v>BOY</v>
      </c>
      <c r="H17" s="49">
        <f>IF('Marks Entry'!H17="","",'Marks Entry'!H17)</f>
        <v>38543</v>
      </c>
      <c r="I17" s="105" t="str">
        <f>IF('Marks Entry'!I17="","",'Marks Entry'!I17)</f>
        <v>SC</v>
      </c>
      <c r="J17" s="105">
        <f>IF('Marks Entry'!K17="","",'Marks Entry'!K17)</f>
        <v>10</v>
      </c>
      <c r="K17" s="105">
        <f>IF('Marks Entry'!L17="","",'Marks Entry'!L17)</f>
        <v>10</v>
      </c>
      <c r="L17" s="105">
        <f>IF(AND('Marks Entry'!M17="",'Marks Entry'!N17=""),"",SUM('Marks Entry'!M17:N17))</f>
        <v>40</v>
      </c>
      <c r="M17" s="105">
        <f>IF(AND('Marks Entry'!O17="",'Marks Entry'!P17=""),"",SUM('Marks Entry'!O17:P17))</f>
        <v>55</v>
      </c>
      <c r="N17" s="105">
        <f t="shared" si="2"/>
        <v>115</v>
      </c>
      <c r="O17" s="105" t="str">
        <f t="shared" si="33"/>
        <v>P</v>
      </c>
      <c r="P17" s="105" t="str">
        <f t="shared" si="34"/>
        <v>II</v>
      </c>
      <c r="Q17" s="105">
        <f>IF('Marks Entry'!R17="","",'Marks Entry'!R17)</f>
        <v>15</v>
      </c>
      <c r="R17" s="105">
        <f>IF('Marks Entry'!S17="","",'Marks Entry'!S17)</f>
        <v>15</v>
      </c>
      <c r="S17" s="105">
        <f>IF(AND('Marks Entry'!T17="",'Marks Entry'!U17=""),"",SUM('Marks Entry'!T17:U17))</f>
        <v>40</v>
      </c>
      <c r="T17" s="105">
        <f>IF(AND('Marks Entry'!V17="",'Marks Entry'!W17=""),"",SUM('Marks Entry'!V17:W17))</f>
        <v>46</v>
      </c>
      <c r="U17" s="105">
        <f t="shared" si="35"/>
        <v>116</v>
      </c>
      <c r="V17" s="105" t="str">
        <f t="shared" si="36"/>
        <v>P</v>
      </c>
      <c r="W17" s="105" t="str">
        <f t="shared" si="37"/>
        <v>II</v>
      </c>
      <c r="X17" s="47" t="str">
        <f>IF(B17="","",IF('Marks Entry'!Y17="",'Marks Entry'!$Y$4,'Marks Entry'!Y17))</f>
        <v>History</v>
      </c>
      <c r="Y17" s="105">
        <f>IF('Marks Entry'!Z17="","",'Marks Entry'!Z17)</f>
        <v>15</v>
      </c>
      <c r="Z17" s="105">
        <f>IF('Marks Entry'!AA17="","",'Marks Entry'!AA17)</f>
        <v>15</v>
      </c>
      <c r="AA17" s="105">
        <f>IF(AND('Marks Entry'!AB17="",'Marks Entry'!AC17=""),"",SUM('Marks Entry'!AB17:AC17))</f>
        <v>40</v>
      </c>
      <c r="AB17" s="105" t="str">
        <f>IF('Marks Entry'!AD17="","",'Marks Entry'!AD17)</f>
        <v/>
      </c>
      <c r="AC17" s="105">
        <f t="shared" si="38"/>
        <v>40</v>
      </c>
      <c r="AD17" s="105">
        <f>IF(AND('Marks Entry'!AE17="",'Marks Entry'!AF17=""),"",SUM('Marks Entry'!AE17:AF17))</f>
        <v>71</v>
      </c>
      <c r="AE17" s="105" t="str">
        <f>IF('Marks Entry'!AG17="","",'Marks Entry'!AG17)</f>
        <v/>
      </c>
      <c r="AF17" s="105">
        <f t="shared" si="39"/>
        <v>71</v>
      </c>
      <c r="AG17" s="105">
        <f t="shared" si="40"/>
        <v>141</v>
      </c>
      <c r="AH17" s="105" t="str">
        <f t="shared" si="41"/>
        <v>P</v>
      </c>
      <c r="AI17" s="105" t="str">
        <f t="shared" si="42"/>
        <v>I</v>
      </c>
      <c r="AJ17" s="47" t="str">
        <f>IF(B17="","",IF('Marks Entry'!AI17="",'Marks Entry'!$AI$4,'Marks Entry'!AI17))</f>
        <v>Political Science</v>
      </c>
      <c r="AK17" s="105">
        <f>IF('Marks Entry'!AJ17="","",'Marks Entry'!AJ17)</f>
        <v>15</v>
      </c>
      <c r="AL17" s="105">
        <f>IF('Marks Entry'!AK17="","",'Marks Entry'!AK17)</f>
        <v>15</v>
      </c>
      <c r="AM17" s="105">
        <f>IF(AND('Marks Entry'!AL17="",'Marks Entry'!AM17=""),"",SUM('Marks Entry'!AL17:AM17))</f>
        <v>40</v>
      </c>
      <c r="AN17" s="105" t="str">
        <f>IF('Marks Entry'!AN17="","",'Marks Entry'!AN17)</f>
        <v/>
      </c>
      <c r="AO17" s="105">
        <f t="shared" si="43"/>
        <v>40</v>
      </c>
      <c r="AP17" s="105">
        <f>IF(AND('Marks Entry'!AO17="",'Marks Entry'!AP17=""),"",SUM('Marks Entry'!AO17:AP17))</f>
        <v>65</v>
      </c>
      <c r="AQ17" s="105" t="str">
        <f>IF('Marks Entry'!AQ17="","",'Marks Entry'!AQ17)</f>
        <v/>
      </c>
      <c r="AR17" s="105">
        <f t="shared" si="44"/>
        <v>65</v>
      </c>
      <c r="AS17" s="105">
        <f t="shared" si="45"/>
        <v>135</v>
      </c>
      <c r="AT17" s="105" t="str">
        <f t="shared" si="46"/>
        <v>P</v>
      </c>
      <c r="AU17" s="105" t="str">
        <f t="shared" si="47"/>
        <v>I</v>
      </c>
      <c r="AV17" s="47" t="str">
        <f>IF(B17="","",IF('Marks Entry'!AS17="",'Marks Entry'!$AS$4,'Marks Entry'!AS17))</f>
        <v>Geography</v>
      </c>
      <c r="AW17" s="105">
        <f>IF('Marks Entry'!AT17="","",'Marks Entry'!AT17)</f>
        <v>15</v>
      </c>
      <c r="AX17" s="105">
        <f>IF('Marks Entry'!AU17="","",'Marks Entry'!AU17)</f>
        <v>15</v>
      </c>
      <c r="AY17" s="105">
        <f>IF(AND('Marks Entry'!AV17="",'Marks Entry'!AW17=""),"",SUM('Marks Entry'!AV17:AW17))</f>
        <v>25</v>
      </c>
      <c r="AZ17" s="105">
        <f>IF('Marks Entry'!AX17="","",'Marks Entry'!AX17)</f>
        <v>12</v>
      </c>
      <c r="BA17" s="105">
        <f t="shared" si="48"/>
        <v>37</v>
      </c>
      <c r="BB17" s="105">
        <f>IF(AND('Marks Entry'!AY17="",'Marks Entry'!AZ17=""),"",SUM('Marks Entry'!AY17:AZ17))</f>
        <v>39</v>
      </c>
      <c r="BC17" s="105">
        <f>IF('Marks Entry'!BA17="","",'Marks Entry'!BA17)</f>
        <v>18</v>
      </c>
      <c r="BD17" s="105">
        <f t="shared" si="49"/>
        <v>57</v>
      </c>
      <c r="BE17" s="105">
        <f t="shared" si="50"/>
        <v>124</v>
      </c>
      <c r="BF17" s="105" t="str">
        <f t="shared" si="51"/>
        <v>P</v>
      </c>
      <c r="BG17" s="105" t="str">
        <f t="shared" si="52"/>
        <v>I</v>
      </c>
      <c r="BH17" s="105">
        <f t="shared" si="53"/>
        <v>631</v>
      </c>
      <c r="BI17" s="50">
        <f t="shared" si="3"/>
        <v>0.63100000000000001</v>
      </c>
      <c r="BJ17" s="47" t="str">
        <f t="shared" si="4"/>
        <v>PASS</v>
      </c>
      <c r="BK17" s="105" t="str">
        <f t="shared" si="54"/>
        <v>1st</v>
      </c>
      <c r="BL17" s="105">
        <f t="shared" si="55"/>
        <v>1.0000000000000011</v>
      </c>
      <c r="BM17" s="105">
        <f>IF(OR(B17="",'Marks Entry'!BY17=""),"",'Marks Entry'!BY17)</f>
        <v>400</v>
      </c>
      <c r="BN17" s="105">
        <f>IF(OR(B17="",'Marks Entry'!BZ17=""),"",'Marks Entry'!BZ17)</f>
        <v>300</v>
      </c>
      <c r="BO17" s="105">
        <f>IF('Marks Entry'!BC17="","",'Marks Entry'!BC17)</f>
        <v>15</v>
      </c>
      <c r="BP17" s="105">
        <f>IF('Marks Entry'!BD17="","",'Marks Entry'!BD17)</f>
        <v>15</v>
      </c>
      <c r="BQ17" s="105">
        <f>IF(AND('Marks Entry'!BE17="",'Marks Entry'!BF17=""),"",SUM('Marks Entry'!BE17:BF17))</f>
        <v>25</v>
      </c>
      <c r="BR17" s="105">
        <f>IF(AND('Marks Entry'!BG17="",'Marks Entry'!BH17=""),"",SUM('Marks Entry'!BG17:BH17))</f>
        <v>82</v>
      </c>
      <c r="BS17" s="105">
        <f t="shared" si="56"/>
        <v>137</v>
      </c>
      <c r="BT17" s="105" t="str">
        <f t="shared" si="57"/>
        <v>P</v>
      </c>
      <c r="BU17" s="105" t="str">
        <f t="shared" si="58"/>
        <v>B</v>
      </c>
      <c r="BV17" s="105">
        <f>IF('Marks Entry'!BJ17="","",'Marks Entry'!BJ17)</f>
        <v>15</v>
      </c>
      <c r="BW17" s="105">
        <f>IF('Marks Entry'!BK17="","",'Marks Entry'!BK17)</f>
        <v>15</v>
      </c>
      <c r="BX17" s="105">
        <f>IF(AND('Marks Entry'!BL17="",'Marks Entry'!BM17=""),"",SUM('Marks Entry'!BL17:BM17))</f>
        <v>25</v>
      </c>
      <c r="BY17" s="105">
        <f>IF(AND('Marks Entry'!BN17="",'Marks Entry'!BO17=""),"",SUM('Marks Entry'!BN17:BO17))</f>
        <v>82</v>
      </c>
      <c r="BZ17" s="105">
        <f t="shared" si="59"/>
        <v>137</v>
      </c>
      <c r="CA17" s="105" t="str">
        <f t="shared" si="60"/>
        <v>P</v>
      </c>
      <c r="CB17" s="105" t="str">
        <f t="shared" si="61"/>
        <v>B</v>
      </c>
      <c r="CC17" s="105" t="str">
        <f>IF('Marks Entry'!BQ17="","",'Marks Entry'!BQ17)</f>
        <v/>
      </c>
      <c r="CD17" s="105" t="str">
        <f>IF('Marks Entry'!BR17="","",'Marks Entry'!BR17)</f>
        <v/>
      </c>
      <c r="CE17" s="105" t="str">
        <f>IF(AND('Marks Entry'!BS17="",'Marks Entry'!BT17=""),"",SUM('Marks Entry'!BS17:BT17))</f>
        <v/>
      </c>
      <c r="CF17" s="105" t="str">
        <f>IF(AND('Marks Entry'!BU17="",'Marks Entry'!BV17=""),"",SUM('Marks Entry'!BU17:BV17))</f>
        <v/>
      </c>
      <c r="CG17" s="105" t="str">
        <f t="shared" si="62"/>
        <v/>
      </c>
      <c r="CH17" s="105" t="str">
        <f t="shared" si="63"/>
        <v/>
      </c>
      <c r="CI17" s="105" t="str">
        <f t="shared" si="64"/>
        <v/>
      </c>
      <c r="CJ17" s="81"/>
      <c r="CK17" s="50">
        <f t="shared" si="5"/>
        <v>0.63100000000000001</v>
      </c>
      <c r="CM17" s="105" t="str">
        <f t="shared" si="6"/>
        <v>P</v>
      </c>
      <c r="CN17" s="105" t="str">
        <f t="shared" si="7"/>
        <v>P</v>
      </c>
      <c r="CO17" s="105" t="str">
        <f t="shared" si="8"/>
        <v>P</v>
      </c>
      <c r="CP17" s="105" t="str">
        <f t="shared" si="9"/>
        <v>P</v>
      </c>
      <c r="CQ17" s="105" t="str">
        <f t="shared" si="10"/>
        <v>P</v>
      </c>
      <c r="CS17" s="105">
        <f t="shared" si="11"/>
        <v>0</v>
      </c>
      <c r="CT17" s="105">
        <f t="shared" si="12"/>
        <v>0</v>
      </c>
      <c r="CU17" s="105">
        <f t="shared" si="13"/>
        <v>0</v>
      </c>
      <c r="CV17" s="105">
        <f t="shared" si="14"/>
        <v>0</v>
      </c>
      <c r="CW17" s="81"/>
      <c r="CX17" s="105" t="str">
        <f t="shared" si="15"/>
        <v>II</v>
      </c>
      <c r="CY17" s="105" t="str">
        <f t="shared" si="16"/>
        <v>II</v>
      </c>
      <c r="CZ17" s="105" t="str">
        <f t="shared" si="17"/>
        <v>I</v>
      </c>
      <c r="DA17" s="105" t="str">
        <f t="shared" si="18"/>
        <v>I</v>
      </c>
      <c r="DB17" s="105" t="str">
        <f t="shared" si="19"/>
        <v>I</v>
      </c>
      <c r="DD17" s="105" t="str">
        <f t="shared" si="20"/>
        <v>II</v>
      </c>
      <c r="DE17" s="105" t="str">
        <f t="shared" si="21"/>
        <v/>
      </c>
      <c r="DF17" s="105" t="str">
        <f t="shared" si="22"/>
        <v>II</v>
      </c>
      <c r="DG17" s="105" t="str">
        <f t="shared" si="23"/>
        <v/>
      </c>
      <c r="DH17" s="105" t="str">
        <f t="shared" si="24"/>
        <v>I</v>
      </c>
      <c r="DI17" s="105" t="str">
        <f t="shared" si="25"/>
        <v/>
      </c>
      <c r="DJ17" s="105" t="str">
        <f t="shared" si="26"/>
        <v>I</v>
      </c>
      <c r="DK17" s="105" t="str">
        <f t="shared" si="27"/>
        <v/>
      </c>
      <c r="DL17" s="105" t="str">
        <f t="shared" si="28"/>
        <v>I</v>
      </c>
      <c r="DM17" s="105" t="str">
        <f t="shared" si="29"/>
        <v/>
      </c>
      <c r="DN17" s="105" t="str">
        <f t="shared" si="30"/>
        <v>B</v>
      </c>
      <c r="DO17" s="105" t="str">
        <f t="shared" si="31"/>
        <v>B</v>
      </c>
      <c r="DP17" s="105" t="str">
        <f t="shared" si="32"/>
        <v/>
      </c>
      <c r="DR17" s="118" t="str">
        <f t="shared" si="65"/>
        <v xml:space="preserve">    </v>
      </c>
      <c r="DS17" s="75"/>
      <c r="DT17" s="119" t="str">
        <f t="shared" si="66"/>
        <v xml:space="preserve">    </v>
      </c>
      <c r="DU17" s="136"/>
      <c r="DV17" s="119" t="str">
        <f t="shared" si="67"/>
        <v xml:space="preserve">    </v>
      </c>
      <c r="DW17" s="75"/>
      <c r="DX17" s="119" t="str">
        <f t="shared" si="68"/>
        <v xml:space="preserve">     </v>
      </c>
      <c r="DY17" s="75"/>
      <c r="DZ17" s="119" t="str">
        <f t="shared" si="69"/>
        <v xml:space="preserve">    </v>
      </c>
    </row>
    <row r="18" spans="1:130" ht="30" customHeight="1" x14ac:dyDescent="0.25">
      <c r="A18" s="105">
        <f>IF('Marks Entry'!A18="","",'Marks Entry'!A18)</f>
        <v>10</v>
      </c>
      <c r="B18" s="105">
        <f>IF('Marks Entry'!B18="","",'Marks Entry'!B18)</f>
        <v>915</v>
      </c>
      <c r="C18" s="105">
        <f>IF('Marks Entry'!C18="","",'Marks Entry'!C18)</f>
        <v>13319</v>
      </c>
      <c r="D18" s="48" t="str">
        <f>IF('Marks Entry'!D18="","",'Marks Entry'!D18)</f>
        <v>INDRA SINGH</v>
      </c>
      <c r="E18" s="48" t="str">
        <f>IF('Marks Entry'!E18="","",'Marks Entry'!E18)</f>
        <v>NAIN SINGH</v>
      </c>
      <c r="F18" s="48" t="str">
        <f>IF('Marks Entry'!F18="","",'Marks Entry'!F18)</f>
        <v>MEETHU KANWAR</v>
      </c>
      <c r="G18" s="105" t="str">
        <f>IF('Marks Entry'!G18="","",'Marks Entry'!G18)</f>
        <v>BOY</v>
      </c>
      <c r="H18" s="49">
        <f>IF('Marks Entry'!H18="","",'Marks Entry'!H18)</f>
        <v>37816</v>
      </c>
      <c r="I18" s="105" t="str">
        <f>IF('Marks Entry'!I18="","",'Marks Entry'!I18)</f>
        <v>GEN</v>
      </c>
      <c r="J18" s="105">
        <f>IF('Marks Entry'!K18="","",'Marks Entry'!K18)</f>
        <v>10</v>
      </c>
      <c r="K18" s="105">
        <f>IF('Marks Entry'!L18="","",'Marks Entry'!L18)</f>
        <v>10</v>
      </c>
      <c r="L18" s="105">
        <f>IF(AND('Marks Entry'!M18="",'Marks Entry'!N18=""),"",SUM('Marks Entry'!M18:N18))</f>
        <v>16</v>
      </c>
      <c r="M18" s="105">
        <f>IF(AND('Marks Entry'!O18="",'Marks Entry'!P18=""),"",SUM('Marks Entry'!O18:P18))</f>
        <v>56</v>
      </c>
      <c r="N18" s="105">
        <f t="shared" si="2"/>
        <v>92</v>
      </c>
      <c r="O18" s="105" t="str">
        <f t="shared" si="33"/>
        <v>P</v>
      </c>
      <c r="P18" s="105" t="str">
        <f t="shared" si="34"/>
        <v>III</v>
      </c>
      <c r="Q18" s="105">
        <f>IF('Marks Entry'!R18="","",'Marks Entry'!R18)</f>
        <v>5</v>
      </c>
      <c r="R18" s="105">
        <f>IF('Marks Entry'!S18="","",'Marks Entry'!S18)</f>
        <v>10</v>
      </c>
      <c r="S18" s="105">
        <f>IF(AND('Marks Entry'!T18="",'Marks Entry'!U18=""),"",SUM('Marks Entry'!T18:U18))</f>
        <v>16</v>
      </c>
      <c r="T18" s="105">
        <f>IF(AND('Marks Entry'!V18="",'Marks Entry'!W18=""),"",SUM('Marks Entry'!V18:W18))</f>
        <v>47</v>
      </c>
      <c r="U18" s="105">
        <f t="shared" si="35"/>
        <v>78</v>
      </c>
      <c r="V18" s="105" t="str">
        <f t="shared" si="36"/>
        <v>P</v>
      </c>
      <c r="W18" s="105" t="str">
        <f t="shared" si="37"/>
        <v>III</v>
      </c>
      <c r="X18" s="47" t="str">
        <f>IF(B18="","",IF('Marks Entry'!Y18="",'Marks Entry'!$Y$4,'Marks Entry'!Y18))</f>
        <v>History</v>
      </c>
      <c r="Y18" s="105">
        <f>IF('Marks Entry'!Z18="","",'Marks Entry'!Z18)</f>
        <v>12</v>
      </c>
      <c r="Z18" s="105">
        <f>IF('Marks Entry'!AA18="","",'Marks Entry'!AA18)</f>
        <v>10</v>
      </c>
      <c r="AA18" s="105">
        <f>IF(AND('Marks Entry'!AB18="",'Marks Entry'!AC18=""),"",SUM('Marks Entry'!AB18:AC18))</f>
        <v>16</v>
      </c>
      <c r="AB18" s="105" t="str">
        <f>IF('Marks Entry'!AD18="","",'Marks Entry'!AD18)</f>
        <v/>
      </c>
      <c r="AC18" s="105">
        <f t="shared" si="38"/>
        <v>16</v>
      </c>
      <c r="AD18" s="105">
        <f>IF(AND('Marks Entry'!AE18="",'Marks Entry'!AF18=""),"",SUM('Marks Entry'!AE18:AF18))</f>
        <v>51</v>
      </c>
      <c r="AE18" s="105" t="str">
        <f>IF('Marks Entry'!AG18="","",'Marks Entry'!AG18)</f>
        <v/>
      </c>
      <c r="AF18" s="105">
        <f t="shared" si="39"/>
        <v>51</v>
      </c>
      <c r="AG18" s="105">
        <f t="shared" si="40"/>
        <v>89</v>
      </c>
      <c r="AH18" s="105" t="str">
        <f t="shared" si="41"/>
        <v>P</v>
      </c>
      <c r="AI18" s="105" t="str">
        <f t="shared" si="42"/>
        <v>III</v>
      </c>
      <c r="AJ18" s="47" t="str">
        <f>IF(B18="","",IF('Marks Entry'!AI18="",'Marks Entry'!$AI$4,'Marks Entry'!AI18))</f>
        <v>Political Science</v>
      </c>
      <c r="AK18" s="105">
        <f>IF('Marks Entry'!AJ18="","",'Marks Entry'!AJ18)</f>
        <v>6</v>
      </c>
      <c r="AL18" s="105">
        <f>IF('Marks Entry'!AK18="","",'Marks Entry'!AK18)</f>
        <v>10</v>
      </c>
      <c r="AM18" s="105">
        <f>IF(AND('Marks Entry'!AL18="",'Marks Entry'!AM18=""),"",SUM('Marks Entry'!AL18:AM18))</f>
        <v>16</v>
      </c>
      <c r="AN18" s="105" t="str">
        <f>IF('Marks Entry'!AN18="","",'Marks Entry'!AN18)</f>
        <v/>
      </c>
      <c r="AO18" s="105">
        <f t="shared" si="43"/>
        <v>16</v>
      </c>
      <c r="AP18" s="105">
        <f>IF(AND('Marks Entry'!AO18="",'Marks Entry'!AP18=""),"",SUM('Marks Entry'!AO18:AP18))</f>
        <v>44</v>
      </c>
      <c r="AQ18" s="105" t="str">
        <f>IF('Marks Entry'!AQ18="","",'Marks Entry'!AQ18)</f>
        <v/>
      </c>
      <c r="AR18" s="105">
        <f t="shared" si="44"/>
        <v>44</v>
      </c>
      <c r="AS18" s="105">
        <f t="shared" si="45"/>
        <v>76</v>
      </c>
      <c r="AT18" s="105" t="str">
        <f t="shared" si="46"/>
        <v>P</v>
      </c>
      <c r="AU18" s="105" t="str">
        <f t="shared" si="47"/>
        <v>III</v>
      </c>
      <c r="AV18" s="47" t="str">
        <f>IF(B18="","",IF('Marks Entry'!AS18="",'Marks Entry'!$AS$4,'Marks Entry'!AS18))</f>
        <v>Geography</v>
      </c>
      <c r="AW18" s="105">
        <f>IF('Marks Entry'!AT18="","",'Marks Entry'!AT18)</f>
        <v>15</v>
      </c>
      <c r="AX18" s="105">
        <f>IF('Marks Entry'!AU18="","",'Marks Entry'!AU18)</f>
        <v>10</v>
      </c>
      <c r="AY18" s="105">
        <f>IF(AND('Marks Entry'!AV18="",'Marks Entry'!AW18=""),"",SUM('Marks Entry'!AV18:AW18))</f>
        <v>13</v>
      </c>
      <c r="AZ18" s="105">
        <f>IF('Marks Entry'!AX18="","",'Marks Entry'!AX18)</f>
        <v>10</v>
      </c>
      <c r="BA18" s="105">
        <f t="shared" si="48"/>
        <v>23</v>
      </c>
      <c r="BB18" s="105">
        <f>IF(AND('Marks Entry'!AY18="",'Marks Entry'!AZ18=""),"",SUM('Marks Entry'!AY18:AZ18))</f>
        <v>27</v>
      </c>
      <c r="BC18" s="105">
        <f>IF('Marks Entry'!BA18="","",'Marks Entry'!BA18)</f>
        <v>15</v>
      </c>
      <c r="BD18" s="105">
        <f t="shared" si="49"/>
        <v>42</v>
      </c>
      <c r="BE18" s="105">
        <f t="shared" si="50"/>
        <v>90</v>
      </c>
      <c r="BF18" s="105" t="str">
        <f t="shared" si="51"/>
        <v>P</v>
      </c>
      <c r="BG18" s="105" t="str">
        <f t="shared" si="52"/>
        <v>III</v>
      </c>
      <c r="BH18" s="105">
        <f t="shared" si="53"/>
        <v>425</v>
      </c>
      <c r="BI18" s="50">
        <f t="shared" si="3"/>
        <v>0.42499999999999999</v>
      </c>
      <c r="BJ18" s="47" t="str">
        <f t="shared" si="4"/>
        <v>PASS</v>
      </c>
      <c r="BK18" s="105" t="str">
        <f t="shared" si="54"/>
        <v>3rd</v>
      </c>
      <c r="BL18" s="105">
        <f t="shared" si="55"/>
        <v>13.999999999999927</v>
      </c>
      <c r="BM18" s="105">
        <f>IF(OR(B18="",'Marks Entry'!BY18=""),"",'Marks Entry'!BY18)</f>
        <v>400</v>
      </c>
      <c r="BN18" s="105">
        <f>IF(OR(B18="",'Marks Entry'!BZ18=""),"",'Marks Entry'!BZ18)</f>
        <v>300</v>
      </c>
      <c r="BO18" s="105">
        <f>IF('Marks Entry'!BC18="","",'Marks Entry'!BC18)</f>
        <v>15</v>
      </c>
      <c r="BP18" s="105">
        <f>IF('Marks Entry'!BD18="","",'Marks Entry'!BD18)</f>
        <v>15</v>
      </c>
      <c r="BQ18" s="105">
        <f>IF(AND('Marks Entry'!BE18="",'Marks Entry'!BF18=""),"",SUM('Marks Entry'!BE18:BF18))</f>
        <v>25</v>
      </c>
      <c r="BR18" s="105">
        <f>IF(AND('Marks Entry'!BG18="",'Marks Entry'!BH18=""),"",SUM('Marks Entry'!BG18:BH18))</f>
        <v>82</v>
      </c>
      <c r="BS18" s="105">
        <f t="shared" si="56"/>
        <v>137</v>
      </c>
      <c r="BT18" s="105" t="str">
        <f t="shared" si="57"/>
        <v>P</v>
      </c>
      <c r="BU18" s="105" t="str">
        <f t="shared" si="58"/>
        <v>B</v>
      </c>
      <c r="BV18" s="105">
        <f>IF('Marks Entry'!BJ18="","",'Marks Entry'!BJ18)</f>
        <v>15</v>
      </c>
      <c r="BW18" s="105">
        <f>IF('Marks Entry'!BK18="","",'Marks Entry'!BK18)</f>
        <v>15</v>
      </c>
      <c r="BX18" s="105">
        <f>IF(AND('Marks Entry'!BL18="",'Marks Entry'!BM18=""),"",SUM('Marks Entry'!BL18:BM18))</f>
        <v>25</v>
      </c>
      <c r="BY18" s="105">
        <f>IF(AND('Marks Entry'!BN18="",'Marks Entry'!BO18=""),"",SUM('Marks Entry'!BN18:BO18))</f>
        <v>82</v>
      </c>
      <c r="BZ18" s="105">
        <f t="shared" si="59"/>
        <v>137</v>
      </c>
      <c r="CA18" s="105" t="str">
        <f t="shared" si="60"/>
        <v>P</v>
      </c>
      <c r="CB18" s="105" t="str">
        <f t="shared" si="61"/>
        <v>B</v>
      </c>
      <c r="CC18" s="105" t="str">
        <f>IF('Marks Entry'!BQ18="","",'Marks Entry'!BQ18)</f>
        <v/>
      </c>
      <c r="CD18" s="105" t="str">
        <f>IF('Marks Entry'!BR18="","",'Marks Entry'!BR18)</f>
        <v/>
      </c>
      <c r="CE18" s="105" t="str">
        <f>IF(AND('Marks Entry'!BS18="",'Marks Entry'!BT18=""),"",SUM('Marks Entry'!BS18:BT18))</f>
        <v/>
      </c>
      <c r="CF18" s="105" t="str">
        <f>IF(AND('Marks Entry'!BU18="",'Marks Entry'!BV18=""),"",SUM('Marks Entry'!BU18:BV18))</f>
        <v/>
      </c>
      <c r="CG18" s="105" t="str">
        <f t="shared" si="62"/>
        <v/>
      </c>
      <c r="CH18" s="105" t="str">
        <f t="shared" si="63"/>
        <v/>
      </c>
      <c r="CI18" s="105" t="str">
        <f t="shared" si="64"/>
        <v/>
      </c>
      <c r="CJ18" s="81"/>
      <c r="CK18" s="50">
        <f t="shared" si="5"/>
        <v>0.42499999999999999</v>
      </c>
      <c r="CM18" s="105" t="str">
        <f t="shared" si="6"/>
        <v>P</v>
      </c>
      <c r="CN18" s="105" t="str">
        <f t="shared" si="7"/>
        <v>P</v>
      </c>
      <c r="CO18" s="105" t="str">
        <f t="shared" si="8"/>
        <v>P</v>
      </c>
      <c r="CP18" s="105" t="str">
        <f t="shared" si="9"/>
        <v>P</v>
      </c>
      <c r="CQ18" s="105" t="str">
        <f t="shared" si="10"/>
        <v>P</v>
      </c>
      <c r="CS18" s="105">
        <f t="shared" si="11"/>
        <v>0</v>
      </c>
      <c r="CT18" s="105">
        <f t="shared" si="12"/>
        <v>0</v>
      </c>
      <c r="CU18" s="105">
        <f t="shared" si="13"/>
        <v>0</v>
      </c>
      <c r="CV18" s="105">
        <f t="shared" si="14"/>
        <v>0</v>
      </c>
      <c r="CW18" s="81"/>
      <c r="CX18" s="105" t="str">
        <f t="shared" si="15"/>
        <v>III</v>
      </c>
      <c r="CY18" s="105" t="str">
        <f t="shared" si="16"/>
        <v>III</v>
      </c>
      <c r="CZ18" s="105" t="str">
        <f t="shared" si="17"/>
        <v>III</v>
      </c>
      <c r="DA18" s="105" t="str">
        <f t="shared" si="18"/>
        <v>III</v>
      </c>
      <c r="DB18" s="105" t="str">
        <f t="shared" si="19"/>
        <v>III</v>
      </c>
      <c r="DD18" s="105" t="str">
        <f t="shared" si="20"/>
        <v>III</v>
      </c>
      <c r="DE18" s="105" t="str">
        <f t="shared" si="21"/>
        <v/>
      </c>
      <c r="DF18" s="105" t="str">
        <f t="shared" si="22"/>
        <v>III</v>
      </c>
      <c r="DG18" s="105" t="str">
        <f t="shared" si="23"/>
        <v/>
      </c>
      <c r="DH18" s="105" t="str">
        <f t="shared" si="24"/>
        <v>III</v>
      </c>
      <c r="DI18" s="105" t="str">
        <f t="shared" si="25"/>
        <v/>
      </c>
      <c r="DJ18" s="105" t="str">
        <f t="shared" si="26"/>
        <v>III</v>
      </c>
      <c r="DK18" s="105" t="str">
        <f t="shared" si="27"/>
        <v/>
      </c>
      <c r="DL18" s="105" t="str">
        <f t="shared" si="28"/>
        <v>III</v>
      </c>
      <c r="DM18" s="105" t="str">
        <f t="shared" si="29"/>
        <v/>
      </c>
      <c r="DN18" s="105" t="str">
        <f t="shared" si="30"/>
        <v>B</v>
      </c>
      <c r="DO18" s="105" t="str">
        <f t="shared" si="31"/>
        <v>B</v>
      </c>
      <c r="DP18" s="105" t="str">
        <f t="shared" si="32"/>
        <v/>
      </c>
      <c r="DR18" s="118" t="str">
        <f t="shared" si="65"/>
        <v xml:space="preserve">    </v>
      </c>
      <c r="DS18" s="75"/>
      <c r="DT18" s="119" t="str">
        <f t="shared" si="66"/>
        <v xml:space="preserve">    </v>
      </c>
      <c r="DU18" s="136"/>
      <c r="DV18" s="119" t="str">
        <f t="shared" si="67"/>
        <v xml:space="preserve">    </v>
      </c>
      <c r="DW18" s="75"/>
      <c r="DX18" s="119" t="str">
        <f t="shared" si="68"/>
        <v xml:space="preserve">     </v>
      </c>
      <c r="DY18" s="75"/>
      <c r="DZ18" s="119" t="str">
        <f t="shared" si="69"/>
        <v xml:space="preserve">    </v>
      </c>
    </row>
    <row r="19" spans="1:130" ht="30" customHeight="1" x14ac:dyDescent="0.25">
      <c r="A19" s="105">
        <f>IF('Marks Entry'!A19="","",'Marks Entry'!A19)</f>
        <v>11</v>
      </c>
      <c r="B19" s="105">
        <f>IF('Marks Entry'!B19="","",'Marks Entry'!B19)</f>
        <v>916</v>
      </c>
      <c r="C19" s="105">
        <f>IF('Marks Entry'!C19="","",'Marks Entry'!C19)</f>
        <v>13423</v>
      </c>
      <c r="D19" s="48" t="str">
        <f>IF('Marks Entry'!D19="","",'Marks Entry'!D19)</f>
        <v>JITENDRA SINGH</v>
      </c>
      <c r="E19" s="48" t="str">
        <f>IF('Marks Entry'!E19="","",'Marks Entry'!E19)</f>
        <v>BHAN SINGH</v>
      </c>
      <c r="F19" s="48" t="str">
        <f>IF('Marks Entry'!F19="","",'Marks Entry'!F19)</f>
        <v>DHULI DEVI</v>
      </c>
      <c r="G19" s="105" t="str">
        <f>IF('Marks Entry'!G19="","",'Marks Entry'!G19)</f>
        <v>BOY</v>
      </c>
      <c r="H19" s="49">
        <f>IF('Marks Entry'!H19="","",'Marks Entry'!H19)</f>
        <v>37726</v>
      </c>
      <c r="I19" s="105" t="str">
        <f>IF('Marks Entry'!I19="","",'Marks Entry'!I19)</f>
        <v>OBC</v>
      </c>
      <c r="J19" s="105">
        <f>IF('Marks Entry'!K19="","",'Marks Entry'!K19)</f>
        <v>15</v>
      </c>
      <c r="K19" s="105">
        <f>IF('Marks Entry'!L19="","",'Marks Entry'!L19)</f>
        <v>15</v>
      </c>
      <c r="L19" s="105">
        <f>IF(AND('Marks Entry'!M19="",'Marks Entry'!N19=""),"",SUM('Marks Entry'!M19:N19))</f>
        <v>30</v>
      </c>
      <c r="M19" s="105">
        <f>IF(AND('Marks Entry'!O19="",'Marks Entry'!P19=""),"",SUM('Marks Entry'!O19:P19))</f>
        <v>57</v>
      </c>
      <c r="N19" s="105">
        <f t="shared" si="2"/>
        <v>117</v>
      </c>
      <c r="O19" s="105" t="str">
        <f t="shared" si="33"/>
        <v>P</v>
      </c>
      <c r="P19" s="105" t="str">
        <f t="shared" si="34"/>
        <v>II</v>
      </c>
      <c r="Q19" s="105">
        <f>IF('Marks Entry'!R19="","",'Marks Entry'!R19)</f>
        <v>10</v>
      </c>
      <c r="R19" s="105">
        <f>IF('Marks Entry'!S19="","",'Marks Entry'!S19)</f>
        <v>10</v>
      </c>
      <c r="S19" s="105">
        <f>IF(AND('Marks Entry'!T19="",'Marks Entry'!U19=""),"",SUM('Marks Entry'!T19:U19))</f>
        <v>20</v>
      </c>
      <c r="T19" s="105">
        <f>IF(AND('Marks Entry'!V19="",'Marks Entry'!W19=""),"",SUM('Marks Entry'!V19:W19))</f>
        <v>48</v>
      </c>
      <c r="U19" s="105">
        <f t="shared" si="35"/>
        <v>88</v>
      </c>
      <c r="V19" s="105" t="str">
        <f t="shared" si="36"/>
        <v>P</v>
      </c>
      <c r="W19" s="105" t="str">
        <f t="shared" si="37"/>
        <v>III</v>
      </c>
      <c r="X19" s="47" t="str">
        <f>IF(B19="","",IF('Marks Entry'!Y19="",'Marks Entry'!$Y$4,'Marks Entry'!Y19))</f>
        <v>History</v>
      </c>
      <c r="Y19" s="105">
        <f>IF('Marks Entry'!Z19="","",'Marks Entry'!Z19)</f>
        <v>10</v>
      </c>
      <c r="Z19" s="105">
        <f>IF('Marks Entry'!AA19="","",'Marks Entry'!AA19)</f>
        <v>10</v>
      </c>
      <c r="AA19" s="105">
        <f>IF(AND('Marks Entry'!AB19="",'Marks Entry'!AC19=""),"",SUM('Marks Entry'!AB19:AC19))</f>
        <v>40</v>
      </c>
      <c r="AB19" s="105" t="str">
        <f>IF('Marks Entry'!AD19="","",'Marks Entry'!AD19)</f>
        <v/>
      </c>
      <c r="AC19" s="105">
        <f t="shared" si="38"/>
        <v>40</v>
      </c>
      <c r="AD19" s="105">
        <f>IF(AND('Marks Entry'!AE19="",'Marks Entry'!AF19=""),"",SUM('Marks Entry'!AE19:AF19))</f>
        <v>41</v>
      </c>
      <c r="AE19" s="105" t="str">
        <f>IF('Marks Entry'!AG19="","",'Marks Entry'!AG19)</f>
        <v/>
      </c>
      <c r="AF19" s="105">
        <f t="shared" si="39"/>
        <v>41</v>
      </c>
      <c r="AG19" s="105">
        <f t="shared" si="40"/>
        <v>101</v>
      </c>
      <c r="AH19" s="105" t="str">
        <f t="shared" si="41"/>
        <v>P</v>
      </c>
      <c r="AI19" s="105" t="str">
        <f t="shared" si="42"/>
        <v>II</v>
      </c>
      <c r="AJ19" s="47" t="str">
        <f>IF(B19="","",IF('Marks Entry'!AI19="",'Marks Entry'!$AI$4,'Marks Entry'!AI19))</f>
        <v>Political Science</v>
      </c>
      <c r="AK19" s="105">
        <f>IF('Marks Entry'!AJ19="","",'Marks Entry'!AJ19)</f>
        <v>10</v>
      </c>
      <c r="AL19" s="105">
        <f>IF('Marks Entry'!AK19="","",'Marks Entry'!AK19)</f>
        <v>10</v>
      </c>
      <c r="AM19" s="105">
        <f>IF(AND('Marks Entry'!AL19="",'Marks Entry'!AM19=""),"",SUM('Marks Entry'!AL19:AM19))</f>
        <v>40</v>
      </c>
      <c r="AN19" s="105" t="str">
        <f>IF('Marks Entry'!AN19="","",'Marks Entry'!AN19)</f>
        <v/>
      </c>
      <c r="AO19" s="105">
        <f t="shared" si="43"/>
        <v>40</v>
      </c>
      <c r="AP19" s="105">
        <f>IF(AND('Marks Entry'!AO19="",'Marks Entry'!AP19=""),"",SUM('Marks Entry'!AO19:AP19))</f>
        <v>65</v>
      </c>
      <c r="AQ19" s="105" t="str">
        <f>IF('Marks Entry'!AQ19="","",'Marks Entry'!AQ19)</f>
        <v/>
      </c>
      <c r="AR19" s="105">
        <f t="shared" si="44"/>
        <v>65</v>
      </c>
      <c r="AS19" s="105">
        <f t="shared" si="45"/>
        <v>125</v>
      </c>
      <c r="AT19" s="105" t="str">
        <f t="shared" si="46"/>
        <v>P</v>
      </c>
      <c r="AU19" s="105" t="str">
        <f t="shared" si="47"/>
        <v>I</v>
      </c>
      <c r="AV19" s="47" t="str">
        <f>IF(B19="","",IF('Marks Entry'!AS19="",'Marks Entry'!$AS$4,'Marks Entry'!AS19))</f>
        <v>Geography</v>
      </c>
      <c r="AW19" s="105">
        <f>IF('Marks Entry'!AT19="","",'Marks Entry'!AT19)</f>
        <v>10</v>
      </c>
      <c r="AX19" s="105">
        <f>IF('Marks Entry'!AU19="","",'Marks Entry'!AU19)</f>
        <v>10</v>
      </c>
      <c r="AY19" s="105">
        <f>IF(AND('Marks Entry'!AV19="",'Marks Entry'!AW19=""),"",SUM('Marks Entry'!AV19:AW19))</f>
        <v>26</v>
      </c>
      <c r="AZ19" s="105">
        <f>IF('Marks Entry'!AX19="","",'Marks Entry'!AX19)</f>
        <v>4</v>
      </c>
      <c r="BA19" s="105">
        <f t="shared" si="48"/>
        <v>30</v>
      </c>
      <c r="BB19" s="105">
        <f>IF(AND('Marks Entry'!AY19="",'Marks Entry'!AZ19=""),"",SUM('Marks Entry'!AY19:AZ19))</f>
        <v>30</v>
      </c>
      <c r="BC19" s="105">
        <f>IF('Marks Entry'!BA19="","",'Marks Entry'!BA19)</f>
        <v>16</v>
      </c>
      <c r="BD19" s="105">
        <f t="shared" si="49"/>
        <v>46</v>
      </c>
      <c r="BE19" s="105">
        <f t="shared" si="50"/>
        <v>96</v>
      </c>
      <c r="BF19" s="105" t="str">
        <f t="shared" si="51"/>
        <v>P</v>
      </c>
      <c r="BG19" s="105" t="str">
        <f t="shared" si="52"/>
        <v>II</v>
      </c>
      <c r="BH19" s="105">
        <f t="shared" si="53"/>
        <v>527</v>
      </c>
      <c r="BI19" s="50">
        <f t="shared" si="3"/>
        <v>0.52700000000000002</v>
      </c>
      <c r="BJ19" s="47" t="str">
        <f t="shared" si="4"/>
        <v>PASS</v>
      </c>
      <c r="BK19" s="105" t="str">
        <f t="shared" si="54"/>
        <v>2nd</v>
      </c>
      <c r="BL19" s="105">
        <f t="shared" si="55"/>
        <v>8.9999999999999272</v>
      </c>
      <c r="BM19" s="105">
        <f>IF(OR(B19="",'Marks Entry'!BY19=""),"",'Marks Entry'!BY19)</f>
        <v>400</v>
      </c>
      <c r="BN19" s="105">
        <f>IF(OR(B19="",'Marks Entry'!BZ19=""),"",'Marks Entry'!BZ19)</f>
        <v>300</v>
      </c>
      <c r="BO19" s="105">
        <f>IF('Marks Entry'!BC19="","",'Marks Entry'!BC19)</f>
        <v>15</v>
      </c>
      <c r="BP19" s="105">
        <f>IF('Marks Entry'!BD19="","",'Marks Entry'!BD19)</f>
        <v>15</v>
      </c>
      <c r="BQ19" s="105">
        <f>IF(AND('Marks Entry'!BE19="",'Marks Entry'!BF19=""),"",SUM('Marks Entry'!BE19:BF19))</f>
        <v>25</v>
      </c>
      <c r="BR19" s="105">
        <f>IF(AND('Marks Entry'!BG19="",'Marks Entry'!BH19=""),"",SUM('Marks Entry'!BG19:BH19))</f>
        <v>82</v>
      </c>
      <c r="BS19" s="105">
        <f t="shared" si="56"/>
        <v>137</v>
      </c>
      <c r="BT19" s="105" t="str">
        <f t="shared" si="57"/>
        <v>P</v>
      </c>
      <c r="BU19" s="105" t="str">
        <f t="shared" si="58"/>
        <v>B</v>
      </c>
      <c r="BV19" s="105">
        <f>IF('Marks Entry'!BJ19="","",'Marks Entry'!BJ19)</f>
        <v>15</v>
      </c>
      <c r="BW19" s="105">
        <f>IF('Marks Entry'!BK19="","",'Marks Entry'!BK19)</f>
        <v>15</v>
      </c>
      <c r="BX19" s="105">
        <f>IF(AND('Marks Entry'!BL19="",'Marks Entry'!BM19=""),"",SUM('Marks Entry'!BL19:BM19))</f>
        <v>25</v>
      </c>
      <c r="BY19" s="105">
        <f>IF(AND('Marks Entry'!BN19="",'Marks Entry'!BO19=""),"",SUM('Marks Entry'!BN19:BO19))</f>
        <v>82</v>
      </c>
      <c r="BZ19" s="105">
        <f t="shared" si="59"/>
        <v>137</v>
      </c>
      <c r="CA19" s="105" t="str">
        <f t="shared" si="60"/>
        <v>P</v>
      </c>
      <c r="CB19" s="105" t="str">
        <f t="shared" si="61"/>
        <v>B</v>
      </c>
      <c r="CC19" s="105" t="str">
        <f>IF('Marks Entry'!BQ19="","",'Marks Entry'!BQ19)</f>
        <v/>
      </c>
      <c r="CD19" s="105" t="str">
        <f>IF('Marks Entry'!BR19="","",'Marks Entry'!BR19)</f>
        <v/>
      </c>
      <c r="CE19" s="105" t="str">
        <f>IF(AND('Marks Entry'!BS19="",'Marks Entry'!BT19=""),"",SUM('Marks Entry'!BS19:BT19))</f>
        <v/>
      </c>
      <c r="CF19" s="105" t="str">
        <f>IF(AND('Marks Entry'!BU19="",'Marks Entry'!BV19=""),"",SUM('Marks Entry'!BU19:BV19))</f>
        <v/>
      </c>
      <c r="CG19" s="105" t="str">
        <f t="shared" si="62"/>
        <v/>
      </c>
      <c r="CH19" s="105" t="str">
        <f t="shared" si="63"/>
        <v/>
      </c>
      <c r="CI19" s="105" t="str">
        <f t="shared" si="64"/>
        <v/>
      </c>
      <c r="CJ19" s="81"/>
      <c r="CK19" s="50">
        <f t="shared" si="5"/>
        <v>0.52700000000000002</v>
      </c>
      <c r="CM19" s="105" t="str">
        <f t="shared" si="6"/>
        <v>P</v>
      </c>
      <c r="CN19" s="105" t="str">
        <f t="shared" si="7"/>
        <v>P</v>
      </c>
      <c r="CO19" s="105" t="str">
        <f t="shared" si="8"/>
        <v>P</v>
      </c>
      <c r="CP19" s="105" t="str">
        <f t="shared" si="9"/>
        <v>P</v>
      </c>
      <c r="CQ19" s="105" t="str">
        <f t="shared" si="10"/>
        <v>P</v>
      </c>
      <c r="CS19" s="105">
        <f t="shared" si="11"/>
        <v>0</v>
      </c>
      <c r="CT19" s="105">
        <f t="shared" si="12"/>
        <v>0</v>
      </c>
      <c r="CU19" s="105">
        <f t="shared" si="13"/>
        <v>0</v>
      </c>
      <c r="CV19" s="105">
        <f t="shared" si="14"/>
        <v>0</v>
      </c>
      <c r="CW19" s="81"/>
      <c r="CX19" s="105" t="str">
        <f t="shared" si="15"/>
        <v>II</v>
      </c>
      <c r="CY19" s="105" t="str">
        <f t="shared" si="16"/>
        <v>III</v>
      </c>
      <c r="CZ19" s="105" t="str">
        <f t="shared" si="17"/>
        <v>II</v>
      </c>
      <c r="DA19" s="105" t="str">
        <f t="shared" si="18"/>
        <v>I</v>
      </c>
      <c r="DB19" s="105" t="str">
        <f t="shared" si="19"/>
        <v>II</v>
      </c>
      <c r="DD19" s="105" t="str">
        <f t="shared" si="20"/>
        <v>II</v>
      </c>
      <c r="DE19" s="105" t="str">
        <f t="shared" si="21"/>
        <v/>
      </c>
      <c r="DF19" s="105" t="str">
        <f t="shared" si="22"/>
        <v>III</v>
      </c>
      <c r="DG19" s="105" t="str">
        <f t="shared" si="23"/>
        <v/>
      </c>
      <c r="DH19" s="105" t="str">
        <f t="shared" si="24"/>
        <v>II</v>
      </c>
      <c r="DI19" s="105" t="str">
        <f t="shared" si="25"/>
        <v/>
      </c>
      <c r="DJ19" s="105" t="str">
        <f t="shared" si="26"/>
        <v>I</v>
      </c>
      <c r="DK19" s="105" t="str">
        <f t="shared" si="27"/>
        <v/>
      </c>
      <c r="DL19" s="105" t="str">
        <f t="shared" si="28"/>
        <v>II</v>
      </c>
      <c r="DM19" s="105" t="str">
        <f t="shared" si="29"/>
        <v/>
      </c>
      <c r="DN19" s="105" t="str">
        <f t="shared" si="30"/>
        <v>B</v>
      </c>
      <c r="DO19" s="105" t="str">
        <f t="shared" si="31"/>
        <v>B</v>
      </c>
      <c r="DP19" s="105" t="str">
        <f t="shared" si="32"/>
        <v/>
      </c>
      <c r="DR19" s="118" t="str">
        <f t="shared" si="65"/>
        <v xml:space="preserve">    </v>
      </c>
      <c r="DS19" s="75"/>
      <c r="DT19" s="119" t="str">
        <f t="shared" si="66"/>
        <v xml:space="preserve">    </v>
      </c>
      <c r="DU19" s="136"/>
      <c r="DV19" s="119" t="str">
        <f t="shared" si="67"/>
        <v xml:space="preserve">    </v>
      </c>
      <c r="DW19" s="75"/>
      <c r="DX19" s="119" t="str">
        <f t="shared" si="68"/>
        <v xml:space="preserve">     </v>
      </c>
      <c r="DY19" s="75"/>
      <c r="DZ19" s="119" t="str">
        <f t="shared" si="69"/>
        <v xml:space="preserve">    </v>
      </c>
    </row>
    <row r="20" spans="1:130" ht="30" customHeight="1" x14ac:dyDescent="0.25">
      <c r="A20" s="105">
        <f>IF('Marks Entry'!A20="","",'Marks Entry'!A20)</f>
        <v>12</v>
      </c>
      <c r="B20" s="105">
        <f>IF('Marks Entry'!B20="","",'Marks Entry'!B20)</f>
        <v>917</v>
      </c>
      <c r="C20" s="105">
        <f>IF('Marks Entry'!C20="","",'Marks Entry'!C20)</f>
        <v>12939</v>
      </c>
      <c r="D20" s="48" t="str">
        <f>IF('Marks Entry'!D20="","",'Marks Entry'!D20)</f>
        <v>KOSHLENDRA SINGH BALLA</v>
      </c>
      <c r="E20" s="48" t="str">
        <f>IF('Marks Entry'!E20="","",'Marks Entry'!E20)</f>
        <v>MANOHAR SINGH BALLA</v>
      </c>
      <c r="F20" s="48" t="str">
        <f>IF('Marks Entry'!F20="","",'Marks Entry'!F20)</f>
        <v>VISHNU KANWAR</v>
      </c>
      <c r="G20" s="105" t="str">
        <f>IF('Marks Entry'!G20="","",'Marks Entry'!G20)</f>
        <v>BOY</v>
      </c>
      <c r="H20" s="49">
        <f>IF('Marks Entry'!H20="","",'Marks Entry'!H20)</f>
        <v>38768</v>
      </c>
      <c r="I20" s="105" t="str">
        <f>IF('Marks Entry'!I20="","",'Marks Entry'!I20)</f>
        <v>GEN</v>
      </c>
      <c r="J20" s="105">
        <f>IF('Marks Entry'!K20="","",'Marks Entry'!K20)</f>
        <v>5</v>
      </c>
      <c r="K20" s="105">
        <f>IF('Marks Entry'!L20="","",'Marks Entry'!L20)</f>
        <v>5</v>
      </c>
      <c r="L20" s="105">
        <f>IF(AND('Marks Entry'!M20="",'Marks Entry'!N20=""),"",SUM('Marks Entry'!M20:N20))</f>
        <v>10</v>
      </c>
      <c r="M20" s="105">
        <f>IF(AND('Marks Entry'!O20="",'Marks Entry'!P20=""),"",SUM('Marks Entry'!O20:P20))</f>
        <v>58</v>
      </c>
      <c r="N20" s="105">
        <f t="shared" si="2"/>
        <v>78</v>
      </c>
      <c r="O20" s="105" t="str">
        <f t="shared" si="33"/>
        <v>P</v>
      </c>
      <c r="P20" s="105" t="str">
        <f t="shared" si="34"/>
        <v>III</v>
      </c>
      <c r="Q20" s="105">
        <f>IF('Marks Entry'!R20="","",'Marks Entry'!R20)</f>
        <v>5</v>
      </c>
      <c r="R20" s="105">
        <f>IF('Marks Entry'!S20="","",'Marks Entry'!S20)</f>
        <v>5</v>
      </c>
      <c r="S20" s="105">
        <f>IF(AND('Marks Entry'!T20="",'Marks Entry'!U20=""),"",SUM('Marks Entry'!T20:U20))</f>
        <v>10</v>
      </c>
      <c r="T20" s="105">
        <f>IF(AND('Marks Entry'!V20="",'Marks Entry'!W20=""),"",SUM('Marks Entry'!V20:W20))</f>
        <v>49</v>
      </c>
      <c r="U20" s="105">
        <f t="shared" si="35"/>
        <v>69</v>
      </c>
      <c r="V20" s="105" t="str">
        <f t="shared" si="36"/>
        <v>G2</v>
      </c>
      <c r="W20" s="105" t="str">
        <f t="shared" si="37"/>
        <v>G2</v>
      </c>
      <c r="X20" s="47" t="str">
        <f>IF(B20="","",IF('Marks Entry'!Y20="",'Marks Entry'!$Y$4,'Marks Entry'!Y20))</f>
        <v>History</v>
      </c>
      <c r="Y20" s="105">
        <f>IF('Marks Entry'!Z20="","",'Marks Entry'!Z20)</f>
        <v>5</v>
      </c>
      <c r="Z20" s="105">
        <f>IF('Marks Entry'!AA20="","",'Marks Entry'!AA20)</f>
        <v>5</v>
      </c>
      <c r="AA20" s="105">
        <f>IF(AND('Marks Entry'!AB20="",'Marks Entry'!AC20=""),"",SUM('Marks Entry'!AB20:AC20))</f>
        <v>10</v>
      </c>
      <c r="AB20" s="105" t="str">
        <f>IF('Marks Entry'!AD20="","",'Marks Entry'!AD20)</f>
        <v/>
      </c>
      <c r="AC20" s="105">
        <f t="shared" si="38"/>
        <v>10</v>
      </c>
      <c r="AD20" s="105">
        <f>IF(AND('Marks Entry'!AE20="",'Marks Entry'!AF20=""),"",SUM('Marks Entry'!AE20:AF20))</f>
        <v>16</v>
      </c>
      <c r="AE20" s="105" t="str">
        <f>IF('Marks Entry'!AG20="","",'Marks Entry'!AG20)</f>
        <v/>
      </c>
      <c r="AF20" s="105">
        <f t="shared" si="39"/>
        <v>16</v>
      </c>
      <c r="AG20" s="105">
        <f t="shared" si="40"/>
        <v>36</v>
      </c>
      <c r="AH20" s="105" t="str">
        <f t="shared" si="41"/>
        <v>F</v>
      </c>
      <c r="AI20" s="105" t="str">
        <f t="shared" si="42"/>
        <v>F</v>
      </c>
      <c r="AJ20" s="47" t="str">
        <f>IF(B20="","",IF('Marks Entry'!AI20="",'Marks Entry'!$AI$4,'Marks Entry'!AI20))</f>
        <v>Political Science</v>
      </c>
      <c r="AK20" s="105">
        <f>IF('Marks Entry'!AJ20="","",'Marks Entry'!AJ20)</f>
        <v>5</v>
      </c>
      <c r="AL20" s="105">
        <f>IF('Marks Entry'!AK20="","",'Marks Entry'!AK20)</f>
        <v>5</v>
      </c>
      <c r="AM20" s="105">
        <f>IF(AND('Marks Entry'!AL20="",'Marks Entry'!AM20=""),"",SUM('Marks Entry'!AL20:AM20))</f>
        <v>10</v>
      </c>
      <c r="AN20" s="105" t="str">
        <f>IF('Marks Entry'!AN20="","",'Marks Entry'!AN20)</f>
        <v/>
      </c>
      <c r="AO20" s="105">
        <f t="shared" si="43"/>
        <v>10</v>
      </c>
      <c r="AP20" s="105">
        <f>IF(AND('Marks Entry'!AO20="",'Marks Entry'!AP20=""),"",SUM('Marks Entry'!AO20:AP20))</f>
        <v>15</v>
      </c>
      <c r="AQ20" s="105" t="str">
        <f>IF('Marks Entry'!AQ20="","",'Marks Entry'!AQ20)</f>
        <v/>
      </c>
      <c r="AR20" s="105">
        <f t="shared" si="44"/>
        <v>15</v>
      </c>
      <c r="AS20" s="105">
        <f t="shared" si="45"/>
        <v>35</v>
      </c>
      <c r="AT20" s="105" t="str">
        <f t="shared" si="46"/>
        <v>F</v>
      </c>
      <c r="AU20" s="105" t="str">
        <f t="shared" si="47"/>
        <v>F</v>
      </c>
      <c r="AV20" s="47" t="str">
        <f>IF(B20="","",IF('Marks Entry'!AS20="",'Marks Entry'!$AS$4,'Marks Entry'!AS20))</f>
        <v>Geography</v>
      </c>
      <c r="AW20" s="105">
        <f>IF('Marks Entry'!AT20="","",'Marks Entry'!AT20)</f>
        <v>5</v>
      </c>
      <c r="AX20" s="105">
        <f>IF('Marks Entry'!AU20="","",'Marks Entry'!AU20)</f>
        <v>5</v>
      </c>
      <c r="AY20" s="105">
        <f>IF(AND('Marks Entry'!AV20="",'Marks Entry'!AW20=""),"",SUM('Marks Entry'!AV20:AW20))</f>
        <v>22</v>
      </c>
      <c r="AZ20" s="105">
        <f>IF('Marks Entry'!AX20="","",'Marks Entry'!AX20)</f>
        <v>10</v>
      </c>
      <c r="BA20" s="105">
        <f t="shared" si="48"/>
        <v>32</v>
      </c>
      <c r="BB20" s="105">
        <f>IF(AND('Marks Entry'!AY20="",'Marks Entry'!AZ20=""),"",SUM('Marks Entry'!AY20:AZ20))</f>
        <v>39</v>
      </c>
      <c r="BC20" s="105">
        <f>IF('Marks Entry'!BA20="","",'Marks Entry'!BA20)</f>
        <v>14</v>
      </c>
      <c r="BD20" s="105">
        <f t="shared" si="49"/>
        <v>53</v>
      </c>
      <c r="BE20" s="105">
        <f t="shared" si="50"/>
        <v>95</v>
      </c>
      <c r="BF20" s="105" t="str">
        <f t="shared" si="51"/>
        <v>P</v>
      </c>
      <c r="BG20" s="105" t="str">
        <f t="shared" si="52"/>
        <v>III</v>
      </c>
      <c r="BH20" s="105">
        <f t="shared" si="53"/>
        <v>313</v>
      </c>
      <c r="BI20" s="50">
        <f t="shared" si="3"/>
        <v>0.313</v>
      </c>
      <c r="BJ20" s="47" t="str">
        <f t="shared" si="4"/>
        <v>FAIL</v>
      </c>
      <c r="BK20" s="105" t="str">
        <f t="shared" si="54"/>
        <v/>
      </c>
      <c r="BL20" s="105" t="str">
        <f t="shared" si="55"/>
        <v/>
      </c>
      <c r="BM20" s="105">
        <f>IF(OR(B20="",'Marks Entry'!BY20=""),"",'Marks Entry'!BY20)</f>
        <v>400</v>
      </c>
      <c r="BN20" s="105">
        <f>IF(OR(B20="",'Marks Entry'!BZ20=""),"",'Marks Entry'!BZ20)</f>
        <v>300</v>
      </c>
      <c r="BO20" s="105">
        <f>IF('Marks Entry'!BC20="","",'Marks Entry'!BC20)</f>
        <v>15</v>
      </c>
      <c r="BP20" s="105">
        <f>IF('Marks Entry'!BD20="","",'Marks Entry'!BD20)</f>
        <v>15</v>
      </c>
      <c r="BQ20" s="105">
        <f>IF(AND('Marks Entry'!BE20="",'Marks Entry'!BF20=""),"",SUM('Marks Entry'!BE20:BF20))</f>
        <v>25</v>
      </c>
      <c r="BR20" s="105">
        <f>IF(AND('Marks Entry'!BG20="",'Marks Entry'!BH20=""),"",SUM('Marks Entry'!BG20:BH20))</f>
        <v>82</v>
      </c>
      <c r="BS20" s="105">
        <f t="shared" si="56"/>
        <v>137</v>
      </c>
      <c r="BT20" s="105" t="str">
        <f t="shared" si="57"/>
        <v>P</v>
      </c>
      <c r="BU20" s="105" t="str">
        <f t="shared" si="58"/>
        <v>B</v>
      </c>
      <c r="BV20" s="105">
        <f>IF('Marks Entry'!BJ20="","",'Marks Entry'!BJ20)</f>
        <v>15</v>
      </c>
      <c r="BW20" s="105">
        <f>IF('Marks Entry'!BK20="","",'Marks Entry'!BK20)</f>
        <v>15</v>
      </c>
      <c r="BX20" s="105">
        <f>IF(AND('Marks Entry'!BL20="",'Marks Entry'!BM20=""),"",SUM('Marks Entry'!BL20:BM20))</f>
        <v>25</v>
      </c>
      <c r="BY20" s="105">
        <f>IF(AND('Marks Entry'!BN20="",'Marks Entry'!BO20=""),"",SUM('Marks Entry'!BN20:BO20))</f>
        <v>82</v>
      </c>
      <c r="BZ20" s="105">
        <f t="shared" si="59"/>
        <v>137</v>
      </c>
      <c r="CA20" s="105" t="str">
        <f t="shared" si="60"/>
        <v>P</v>
      </c>
      <c r="CB20" s="105" t="str">
        <f t="shared" si="61"/>
        <v>B</v>
      </c>
      <c r="CC20" s="105" t="str">
        <f>IF('Marks Entry'!BQ20="","",'Marks Entry'!BQ20)</f>
        <v/>
      </c>
      <c r="CD20" s="105" t="str">
        <f>IF('Marks Entry'!BR20="","",'Marks Entry'!BR20)</f>
        <v/>
      </c>
      <c r="CE20" s="105" t="str">
        <f>IF(AND('Marks Entry'!BS20="",'Marks Entry'!BT20=""),"",SUM('Marks Entry'!BS20:BT20))</f>
        <v/>
      </c>
      <c r="CF20" s="105" t="str">
        <f>IF(AND('Marks Entry'!BU20="",'Marks Entry'!BV20=""),"",SUM('Marks Entry'!BU20:BV20))</f>
        <v/>
      </c>
      <c r="CG20" s="105" t="str">
        <f t="shared" si="62"/>
        <v/>
      </c>
      <c r="CH20" s="105" t="str">
        <f t="shared" si="63"/>
        <v/>
      </c>
      <c r="CI20" s="105" t="str">
        <f t="shared" si="64"/>
        <v/>
      </c>
      <c r="CJ20" s="81"/>
      <c r="CK20" s="50" t="str">
        <f t="shared" si="5"/>
        <v/>
      </c>
      <c r="CM20" s="105" t="str">
        <f t="shared" si="6"/>
        <v>P</v>
      </c>
      <c r="CN20" s="105" t="str">
        <f t="shared" si="7"/>
        <v>G2</v>
      </c>
      <c r="CO20" s="105" t="str">
        <f t="shared" si="8"/>
        <v>F</v>
      </c>
      <c r="CP20" s="105" t="str">
        <f t="shared" si="9"/>
        <v>F</v>
      </c>
      <c r="CQ20" s="105" t="str">
        <f t="shared" si="10"/>
        <v>P</v>
      </c>
      <c r="CS20" s="105">
        <f t="shared" si="11"/>
        <v>2</v>
      </c>
      <c r="CT20" s="105">
        <f t="shared" si="12"/>
        <v>0</v>
      </c>
      <c r="CU20" s="105">
        <f t="shared" si="13"/>
        <v>0</v>
      </c>
      <c r="CV20" s="105">
        <f t="shared" si="14"/>
        <v>1</v>
      </c>
      <c r="CW20" s="81"/>
      <c r="CX20" s="105" t="str">
        <f t="shared" si="15"/>
        <v>III</v>
      </c>
      <c r="CY20" s="105" t="str">
        <f t="shared" si="16"/>
        <v>G2</v>
      </c>
      <c r="CZ20" s="105" t="str">
        <f t="shared" si="17"/>
        <v>F</v>
      </c>
      <c r="DA20" s="105" t="str">
        <f t="shared" si="18"/>
        <v>F</v>
      </c>
      <c r="DB20" s="105" t="str">
        <f t="shared" si="19"/>
        <v>III</v>
      </c>
      <c r="DD20" s="105" t="str">
        <f t="shared" si="20"/>
        <v>III</v>
      </c>
      <c r="DE20" s="105" t="str">
        <f t="shared" si="21"/>
        <v/>
      </c>
      <c r="DF20" s="105" t="str">
        <f t="shared" si="22"/>
        <v>F</v>
      </c>
      <c r="DG20" s="105" t="str">
        <f t="shared" si="23"/>
        <v/>
      </c>
      <c r="DH20" s="105" t="str">
        <f t="shared" si="24"/>
        <v>F</v>
      </c>
      <c r="DI20" s="105" t="str">
        <f t="shared" si="25"/>
        <v/>
      </c>
      <c r="DJ20" s="105" t="str">
        <f t="shared" si="26"/>
        <v>F</v>
      </c>
      <c r="DK20" s="105" t="str">
        <f t="shared" si="27"/>
        <v/>
      </c>
      <c r="DL20" s="105" t="str">
        <f t="shared" si="28"/>
        <v>III</v>
      </c>
      <c r="DM20" s="105" t="str">
        <f t="shared" si="29"/>
        <v/>
      </c>
      <c r="DN20" s="105" t="str">
        <f t="shared" si="30"/>
        <v>B</v>
      </c>
      <c r="DO20" s="105" t="str">
        <f t="shared" si="31"/>
        <v>B</v>
      </c>
      <c r="DP20" s="105" t="str">
        <f t="shared" si="32"/>
        <v/>
      </c>
      <c r="DR20" s="118" t="str">
        <f t="shared" si="65"/>
        <v xml:space="preserve"> ENGLISH Comp. HistoryPolitical Science  </v>
      </c>
      <c r="DS20" s="75"/>
      <c r="DT20" s="119" t="str">
        <f t="shared" si="66"/>
        <v xml:space="preserve">    </v>
      </c>
      <c r="DU20" s="136"/>
      <c r="DV20" s="119" t="str">
        <f t="shared" si="67"/>
        <v xml:space="preserve">    </v>
      </c>
      <c r="DW20" s="75"/>
      <c r="DX20" s="119" t="str">
        <f t="shared" si="68"/>
        <v xml:space="preserve">     </v>
      </c>
      <c r="DY20" s="75"/>
      <c r="DZ20" s="119" t="str">
        <f t="shared" si="69"/>
        <v xml:space="preserve">    </v>
      </c>
    </row>
    <row r="21" spans="1:130" ht="30" customHeight="1" x14ac:dyDescent="0.25">
      <c r="A21" s="105">
        <f>IF('Marks Entry'!A21="","",'Marks Entry'!A21)</f>
        <v>13</v>
      </c>
      <c r="B21" s="105">
        <f>IF('Marks Entry'!B21="","",'Marks Entry'!B21)</f>
        <v>918</v>
      </c>
      <c r="C21" s="105">
        <f>IF('Marks Entry'!C21="","",'Marks Entry'!C21)</f>
        <v>13263</v>
      </c>
      <c r="D21" s="48" t="str">
        <f>IF('Marks Entry'!D21="","",'Marks Entry'!D21)</f>
        <v>NARAYAN SINGH</v>
      </c>
      <c r="E21" s="48" t="str">
        <f>IF('Marks Entry'!E21="","",'Marks Entry'!E21)</f>
        <v>RAM SINGH</v>
      </c>
      <c r="F21" s="48" t="str">
        <f>IF('Marks Entry'!F21="","",'Marks Entry'!F21)</f>
        <v>RAMU KANWAR</v>
      </c>
      <c r="G21" s="105" t="str">
        <f>IF('Marks Entry'!G21="","",'Marks Entry'!G21)</f>
        <v>BOY</v>
      </c>
      <c r="H21" s="49">
        <f>IF('Marks Entry'!H21="","",'Marks Entry'!H21)</f>
        <v>37695</v>
      </c>
      <c r="I21" s="105" t="str">
        <f>IF('Marks Entry'!I21="","",'Marks Entry'!I21)</f>
        <v>GEN</v>
      </c>
      <c r="J21" s="105">
        <f>IF('Marks Entry'!K21="","",'Marks Entry'!K21)</f>
        <v>10</v>
      </c>
      <c r="K21" s="105">
        <f>IF('Marks Entry'!L21="","",'Marks Entry'!L21)</f>
        <v>9</v>
      </c>
      <c r="L21" s="105">
        <f>IF(AND('Marks Entry'!M21="",'Marks Entry'!N21=""),"",SUM('Marks Entry'!M21:N21))</f>
        <v>10</v>
      </c>
      <c r="M21" s="105">
        <f>IF(AND('Marks Entry'!O21="",'Marks Entry'!P21=""),"",SUM('Marks Entry'!O21:P21))</f>
        <v>59</v>
      </c>
      <c r="N21" s="105">
        <f t="shared" si="2"/>
        <v>88</v>
      </c>
      <c r="O21" s="105" t="str">
        <f t="shared" si="33"/>
        <v>P</v>
      </c>
      <c r="P21" s="105" t="str">
        <f t="shared" si="34"/>
        <v>III</v>
      </c>
      <c r="Q21" s="105">
        <f>IF('Marks Entry'!R21="","",'Marks Entry'!R21)</f>
        <v>10</v>
      </c>
      <c r="R21" s="105">
        <f>IF('Marks Entry'!S21="","",'Marks Entry'!S21)</f>
        <v>10</v>
      </c>
      <c r="S21" s="105">
        <f>IF(AND('Marks Entry'!T21="",'Marks Entry'!U21=""),"",SUM('Marks Entry'!T21:U21))</f>
        <v>40</v>
      </c>
      <c r="T21" s="105">
        <f>IF(AND('Marks Entry'!V21="",'Marks Entry'!W21=""),"",SUM('Marks Entry'!V21:W21))</f>
        <v>50</v>
      </c>
      <c r="U21" s="105">
        <f t="shared" si="35"/>
        <v>110</v>
      </c>
      <c r="V21" s="105" t="str">
        <f t="shared" si="36"/>
        <v>P</v>
      </c>
      <c r="W21" s="105" t="str">
        <f t="shared" si="37"/>
        <v>II</v>
      </c>
      <c r="X21" s="47" t="str">
        <f>IF(B21="","",IF('Marks Entry'!Y21="",'Marks Entry'!$Y$4,'Marks Entry'!Y21))</f>
        <v>History</v>
      </c>
      <c r="Y21" s="105">
        <f>IF('Marks Entry'!Z21="","",'Marks Entry'!Z21)</f>
        <v>18</v>
      </c>
      <c r="Z21" s="105">
        <f>IF('Marks Entry'!AA21="","",'Marks Entry'!AA21)</f>
        <v>18</v>
      </c>
      <c r="AA21" s="105">
        <f>IF(AND('Marks Entry'!AB21="",'Marks Entry'!AC21=""),"",SUM('Marks Entry'!AB21:AC21))</f>
        <v>50</v>
      </c>
      <c r="AB21" s="105" t="str">
        <f>IF('Marks Entry'!AD21="","",'Marks Entry'!AD21)</f>
        <v/>
      </c>
      <c r="AC21" s="105">
        <f t="shared" si="38"/>
        <v>50</v>
      </c>
      <c r="AD21" s="105">
        <f>IF(AND('Marks Entry'!AE21="",'Marks Entry'!AF21=""),"",SUM('Marks Entry'!AE21:AF21))</f>
        <v>76</v>
      </c>
      <c r="AE21" s="105" t="str">
        <f>IF('Marks Entry'!AG21="","",'Marks Entry'!AG21)</f>
        <v/>
      </c>
      <c r="AF21" s="105">
        <f t="shared" si="39"/>
        <v>76</v>
      </c>
      <c r="AG21" s="105">
        <f t="shared" si="40"/>
        <v>162</v>
      </c>
      <c r="AH21" s="105" t="str">
        <f t="shared" si="41"/>
        <v>P</v>
      </c>
      <c r="AI21" s="105" t="str">
        <f t="shared" si="42"/>
        <v>D</v>
      </c>
      <c r="AJ21" s="47" t="str">
        <f>IF(B21="","",IF('Marks Entry'!AI21="",'Marks Entry'!$AI$4,'Marks Entry'!AI21))</f>
        <v>Political Science</v>
      </c>
      <c r="AK21" s="105">
        <f>IF('Marks Entry'!AJ21="","",'Marks Entry'!AJ21)</f>
        <v>5</v>
      </c>
      <c r="AL21" s="105">
        <f>IF('Marks Entry'!AK21="","",'Marks Entry'!AK21)</f>
        <v>5</v>
      </c>
      <c r="AM21" s="105">
        <f>IF(AND('Marks Entry'!AL21="",'Marks Entry'!AM21=""),"",SUM('Marks Entry'!AL21:AM21))</f>
        <v>28</v>
      </c>
      <c r="AN21" s="105" t="str">
        <f>IF('Marks Entry'!AN21="","",'Marks Entry'!AN21)</f>
        <v/>
      </c>
      <c r="AO21" s="105">
        <f t="shared" si="43"/>
        <v>28</v>
      </c>
      <c r="AP21" s="105">
        <f>IF(AND('Marks Entry'!AO21="",'Marks Entry'!AP21=""),"",SUM('Marks Entry'!AO21:AP21))</f>
        <v>39</v>
      </c>
      <c r="AQ21" s="105" t="str">
        <f>IF('Marks Entry'!AQ21="","",'Marks Entry'!AQ21)</f>
        <v/>
      </c>
      <c r="AR21" s="105">
        <f t="shared" si="44"/>
        <v>39</v>
      </c>
      <c r="AS21" s="105">
        <f t="shared" si="45"/>
        <v>77</v>
      </c>
      <c r="AT21" s="105" t="str">
        <f t="shared" si="46"/>
        <v>P</v>
      </c>
      <c r="AU21" s="105" t="str">
        <f t="shared" si="47"/>
        <v>III</v>
      </c>
      <c r="AV21" s="47" t="str">
        <f>IF(B21="","",IF('Marks Entry'!AS21="",'Marks Entry'!$AS$4,'Marks Entry'!AS21))</f>
        <v>Geography</v>
      </c>
      <c r="AW21" s="105">
        <f>IF('Marks Entry'!AT21="","",'Marks Entry'!AT21)</f>
        <v>10</v>
      </c>
      <c r="AX21" s="105">
        <f>IF('Marks Entry'!AU21="","",'Marks Entry'!AU21)</f>
        <v>10</v>
      </c>
      <c r="AY21" s="105">
        <f>IF(AND('Marks Entry'!AV21="",'Marks Entry'!AW21=""),"",SUM('Marks Entry'!AV21:AW21))</f>
        <v>21</v>
      </c>
      <c r="AZ21" s="105">
        <f>IF('Marks Entry'!AX21="","",'Marks Entry'!AX21)</f>
        <v>15</v>
      </c>
      <c r="BA21" s="105">
        <f t="shared" si="48"/>
        <v>36</v>
      </c>
      <c r="BB21" s="105">
        <f>IF(AND('Marks Entry'!AY21="",'Marks Entry'!AZ21=""),"",SUM('Marks Entry'!AY21:AZ21))</f>
        <v>35</v>
      </c>
      <c r="BC21" s="105">
        <f>IF('Marks Entry'!BA21="","",'Marks Entry'!BA21)</f>
        <v>12</v>
      </c>
      <c r="BD21" s="105">
        <f t="shared" si="49"/>
        <v>47</v>
      </c>
      <c r="BE21" s="105">
        <f t="shared" si="50"/>
        <v>103</v>
      </c>
      <c r="BF21" s="105" t="str">
        <f t="shared" si="51"/>
        <v>P</v>
      </c>
      <c r="BG21" s="105" t="str">
        <f t="shared" si="52"/>
        <v>II</v>
      </c>
      <c r="BH21" s="105">
        <f t="shared" si="53"/>
        <v>540</v>
      </c>
      <c r="BI21" s="50">
        <f t="shared" si="3"/>
        <v>0.54</v>
      </c>
      <c r="BJ21" s="47" t="str">
        <f t="shared" si="4"/>
        <v>PASS</v>
      </c>
      <c r="BK21" s="105" t="str">
        <f t="shared" si="54"/>
        <v>2nd</v>
      </c>
      <c r="BL21" s="105">
        <f t="shared" si="55"/>
        <v>6.0000000000000018</v>
      </c>
      <c r="BM21" s="105">
        <f>IF(OR(B21="",'Marks Entry'!BY21=""),"",'Marks Entry'!BY21)</f>
        <v>400</v>
      </c>
      <c r="BN21" s="105">
        <f>IF(OR(B21="",'Marks Entry'!BZ21=""),"",'Marks Entry'!BZ21)</f>
        <v>300</v>
      </c>
      <c r="BO21" s="105">
        <f>IF('Marks Entry'!BC21="","",'Marks Entry'!BC21)</f>
        <v>15</v>
      </c>
      <c r="BP21" s="105">
        <f>IF('Marks Entry'!BD21="","",'Marks Entry'!BD21)</f>
        <v>15</v>
      </c>
      <c r="BQ21" s="105">
        <f>IF(AND('Marks Entry'!BE21="",'Marks Entry'!BF21=""),"",SUM('Marks Entry'!BE21:BF21))</f>
        <v>25</v>
      </c>
      <c r="BR21" s="105">
        <f>IF(AND('Marks Entry'!BG21="",'Marks Entry'!BH21=""),"",SUM('Marks Entry'!BG21:BH21))</f>
        <v>82</v>
      </c>
      <c r="BS21" s="105">
        <f t="shared" si="56"/>
        <v>137</v>
      </c>
      <c r="BT21" s="105" t="str">
        <f t="shared" si="57"/>
        <v>P</v>
      </c>
      <c r="BU21" s="105" t="str">
        <f t="shared" si="58"/>
        <v>B</v>
      </c>
      <c r="BV21" s="105">
        <f>IF('Marks Entry'!BJ21="","",'Marks Entry'!BJ21)</f>
        <v>15</v>
      </c>
      <c r="BW21" s="105">
        <f>IF('Marks Entry'!BK21="","",'Marks Entry'!BK21)</f>
        <v>15</v>
      </c>
      <c r="BX21" s="105">
        <f>IF(AND('Marks Entry'!BL21="",'Marks Entry'!BM21=""),"",SUM('Marks Entry'!BL21:BM21))</f>
        <v>25</v>
      </c>
      <c r="BY21" s="105">
        <f>IF(AND('Marks Entry'!BN21="",'Marks Entry'!BO21=""),"",SUM('Marks Entry'!BN21:BO21))</f>
        <v>82</v>
      </c>
      <c r="BZ21" s="105">
        <f t="shared" si="59"/>
        <v>137</v>
      </c>
      <c r="CA21" s="105" t="str">
        <f t="shared" si="60"/>
        <v>P</v>
      </c>
      <c r="CB21" s="105" t="str">
        <f t="shared" si="61"/>
        <v>B</v>
      </c>
      <c r="CC21" s="105" t="str">
        <f>IF('Marks Entry'!BQ21="","",'Marks Entry'!BQ21)</f>
        <v/>
      </c>
      <c r="CD21" s="105" t="str">
        <f>IF('Marks Entry'!BR21="","",'Marks Entry'!BR21)</f>
        <v/>
      </c>
      <c r="CE21" s="105" t="str">
        <f>IF(AND('Marks Entry'!BS21="",'Marks Entry'!BT21=""),"",SUM('Marks Entry'!BS21:BT21))</f>
        <v/>
      </c>
      <c r="CF21" s="105" t="str">
        <f>IF(AND('Marks Entry'!BU21="",'Marks Entry'!BV21=""),"",SUM('Marks Entry'!BU21:BV21))</f>
        <v/>
      </c>
      <c r="CG21" s="105" t="str">
        <f t="shared" si="62"/>
        <v/>
      </c>
      <c r="CH21" s="105" t="str">
        <f t="shared" si="63"/>
        <v/>
      </c>
      <c r="CI21" s="105" t="str">
        <f t="shared" si="64"/>
        <v/>
      </c>
      <c r="CJ21" s="81"/>
      <c r="CK21" s="50">
        <f t="shared" si="5"/>
        <v>0.54</v>
      </c>
      <c r="CM21" s="105" t="str">
        <f t="shared" si="6"/>
        <v>P</v>
      </c>
      <c r="CN21" s="105" t="str">
        <f t="shared" si="7"/>
        <v>P</v>
      </c>
      <c r="CO21" s="105" t="str">
        <f t="shared" si="8"/>
        <v>P</v>
      </c>
      <c r="CP21" s="105" t="str">
        <f t="shared" si="9"/>
        <v>P</v>
      </c>
      <c r="CQ21" s="105" t="str">
        <f t="shared" si="10"/>
        <v>P</v>
      </c>
      <c r="CS21" s="105">
        <f t="shared" si="11"/>
        <v>0</v>
      </c>
      <c r="CT21" s="105">
        <f t="shared" si="12"/>
        <v>0</v>
      </c>
      <c r="CU21" s="105">
        <f t="shared" si="13"/>
        <v>0</v>
      </c>
      <c r="CV21" s="105">
        <f t="shared" si="14"/>
        <v>0</v>
      </c>
      <c r="CW21" s="81"/>
      <c r="CX21" s="105" t="str">
        <f t="shared" si="15"/>
        <v>III</v>
      </c>
      <c r="CY21" s="105" t="str">
        <f t="shared" si="16"/>
        <v>II</v>
      </c>
      <c r="CZ21" s="105" t="str">
        <f t="shared" si="17"/>
        <v>D</v>
      </c>
      <c r="DA21" s="105" t="str">
        <f t="shared" si="18"/>
        <v>III</v>
      </c>
      <c r="DB21" s="105" t="str">
        <f t="shared" si="19"/>
        <v>II</v>
      </c>
      <c r="DD21" s="105" t="str">
        <f t="shared" si="20"/>
        <v>III</v>
      </c>
      <c r="DE21" s="105" t="str">
        <f t="shared" si="21"/>
        <v/>
      </c>
      <c r="DF21" s="105" t="str">
        <f t="shared" si="22"/>
        <v>II</v>
      </c>
      <c r="DG21" s="105" t="str">
        <f t="shared" si="23"/>
        <v/>
      </c>
      <c r="DH21" s="105" t="str">
        <f t="shared" si="24"/>
        <v>D</v>
      </c>
      <c r="DI21" s="105" t="str">
        <f t="shared" si="25"/>
        <v/>
      </c>
      <c r="DJ21" s="105" t="str">
        <f t="shared" si="26"/>
        <v>III</v>
      </c>
      <c r="DK21" s="105" t="str">
        <f t="shared" si="27"/>
        <v/>
      </c>
      <c r="DL21" s="105" t="str">
        <f t="shared" si="28"/>
        <v>II</v>
      </c>
      <c r="DM21" s="105" t="str">
        <f t="shared" si="29"/>
        <v/>
      </c>
      <c r="DN21" s="105" t="str">
        <f t="shared" si="30"/>
        <v>B</v>
      </c>
      <c r="DO21" s="105" t="str">
        <f t="shared" si="31"/>
        <v>B</v>
      </c>
      <c r="DP21" s="105" t="str">
        <f t="shared" si="32"/>
        <v/>
      </c>
      <c r="DR21" s="118" t="str">
        <f t="shared" si="65"/>
        <v xml:space="preserve">    </v>
      </c>
      <c r="DS21" s="75"/>
      <c r="DT21" s="119" t="str">
        <f t="shared" si="66"/>
        <v xml:space="preserve">    </v>
      </c>
      <c r="DU21" s="136"/>
      <c r="DV21" s="119" t="str">
        <f t="shared" si="67"/>
        <v xml:space="preserve">    </v>
      </c>
      <c r="DW21" s="75"/>
      <c r="DX21" s="119" t="str">
        <f t="shared" si="68"/>
        <v xml:space="preserve">     </v>
      </c>
      <c r="DY21" s="75"/>
      <c r="DZ21" s="119" t="str">
        <f t="shared" si="69"/>
        <v xml:space="preserve">  History  </v>
      </c>
    </row>
    <row r="22" spans="1:130" ht="30" customHeight="1" x14ac:dyDescent="0.25">
      <c r="A22" s="105">
        <f>IF('Marks Entry'!A22="","",'Marks Entry'!A22)</f>
        <v>14</v>
      </c>
      <c r="B22" s="105">
        <f>IF('Marks Entry'!B22="","",'Marks Entry'!B22)</f>
        <v>919</v>
      </c>
      <c r="C22" s="105">
        <f>IF('Marks Entry'!C22="","",'Marks Entry'!C22)</f>
        <v>12336</v>
      </c>
      <c r="D22" s="48" t="str">
        <f>IF('Marks Entry'!D22="","",'Marks Entry'!D22)</f>
        <v>NARESH KUMAR REGAR</v>
      </c>
      <c r="E22" s="48" t="str">
        <f>IF('Marks Entry'!E22="","",'Marks Entry'!E22)</f>
        <v>RAM LAL REGAR</v>
      </c>
      <c r="F22" s="48" t="str">
        <f>IF('Marks Entry'!F22="","",'Marks Entry'!F22)</f>
        <v>RADHA DEVI REGAR</v>
      </c>
      <c r="G22" s="105" t="str">
        <f>IF('Marks Entry'!G22="","",'Marks Entry'!G22)</f>
        <v>BOY</v>
      </c>
      <c r="H22" s="49">
        <f>IF('Marks Entry'!H22="","",'Marks Entry'!H22)</f>
        <v>38171</v>
      </c>
      <c r="I22" s="105" t="str">
        <f>IF('Marks Entry'!I22="","",'Marks Entry'!I22)</f>
        <v>SC</v>
      </c>
      <c r="J22" s="105">
        <f>IF('Marks Entry'!K22="","",'Marks Entry'!K22)</f>
        <v>10</v>
      </c>
      <c r="K22" s="105">
        <f>IF('Marks Entry'!L22="","",'Marks Entry'!L22)</f>
        <v>20</v>
      </c>
      <c r="L22" s="105">
        <f>IF(AND('Marks Entry'!M22="",'Marks Entry'!N22=""),"",SUM('Marks Entry'!M22:N22))</f>
        <v>15</v>
      </c>
      <c r="M22" s="105">
        <f>IF(AND('Marks Entry'!O22="",'Marks Entry'!P22=""),"",SUM('Marks Entry'!O22:P22))</f>
        <v>60</v>
      </c>
      <c r="N22" s="105">
        <f t="shared" si="2"/>
        <v>105</v>
      </c>
      <c r="O22" s="105" t="str">
        <f t="shared" si="33"/>
        <v>P</v>
      </c>
      <c r="P22" s="105" t="str">
        <f t="shared" si="34"/>
        <v>II</v>
      </c>
      <c r="Q22" s="105">
        <f>IF('Marks Entry'!R22="","",'Marks Entry'!R22)</f>
        <v>10</v>
      </c>
      <c r="R22" s="105">
        <f>IF('Marks Entry'!S22="","",'Marks Entry'!S22)</f>
        <v>10</v>
      </c>
      <c r="S22" s="105">
        <f>IF(AND('Marks Entry'!T22="",'Marks Entry'!U22=""),"",SUM('Marks Entry'!T22:U22))</f>
        <v>40</v>
      </c>
      <c r="T22" s="105">
        <f>IF(AND('Marks Entry'!V22="",'Marks Entry'!W22=""),"",SUM('Marks Entry'!V22:W22))</f>
        <v>51</v>
      </c>
      <c r="U22" s="105">
        <f t="shared" si="35"/>
        <v>111</v>
      </c>
      <c r="V22" s="105" t="str">
        <f t="shared" si="36"/>
        <v>P</v>
      </c>
      <c r="W22" s="105" t="str">
        <f t="shared" si="37"/>
        <v>II</v>
      </c>
      <c r="X22" s="47" t="str">
        <f>IF(B22="","",IF('Marks Entry'!Y22="",'Marks Entry'!$Y$4,'Marks Entry'!Y22))</f>
        <v>History</v>
      </c>
      <c r="Y22" s="105">
        <f>IF('Marks Entry'!Z22="","",'Marks Entry'!Z22)</f>
        <v>10</v>
      </c>
      <c r="Z22" s="105">
        <f>IF('Marks Entry'!AA22="","",'Marks Entry'!AA22)</f>
        <v>10</v>
      </c>
      <c r="AA22" s="105">
        <f>IF(AND('Marks Entry'!AB22="",'Marks Entry'!AC22=""),"",SUM('Marks Entry'!AB22:AC22))</f>
        <v>40</v>
      </c>
      <c r="AB22" s="105" t="str">
        <f>IF('Marks Entry'!AD22="","",'Marks Entry'!AD22)</f>
        <v/>
      </c>
      <c r="AC22" s="105">
        <f t="shared" si="38"/>
        <v>40</v>
      </c>
      <c r="AD22" s="105">
        <f>IF(AND('Marks Entry'!AE22="",'Marks Entry'!AF22=""),"",SUM('Marks Entry'!AE22:AF22))</f>
        <v>41</v>
      </c>
      <c r="AE22" s="105" t="str">
        <f>IF('Marks Entry'!AG22="","",'Marks Entry'!AG22)</f>
        <v/>
      </c>
      <c r="AF22" s="105">
        <f t="shared" si="39"/>
        <v>41</v>
      </c>
      <c r="AG22" s="105">
        <f t="shared" si="40"/>
        <v>101</v>
      </c>
      <c r="AH22" s="105" t="str">
        <f t="shared" si="41"/>
        <v>P</v>
      </c>
      <c r="AI22" s="105" t="str">
        <f t="shared" si="42"/>
        <v>II</v>
      </c>
      <c r="AJ22" s="47" t="str">
        <f>IF(B22="","",IF('Marks Entry'!AI22="",'Marks Entry'!$AI$4,'Marks Entry'!AI22))</f>
        <v>Political Science</v>
      </c>
      <c r="AK22" s="105">
        <f>IF('Marks Entry'!AJ22="","",'Marks Entry'!AJ22)</f>
        <v>10</v>
      </c>
      <c r="AL22" s="105">
        <f>IF('Marks Entry'!AK22="","",'Marks Entry'!AK22)</f>
        <v>10</v>
      </c>
      <c r="AM22" s="105">
        <f>IF(AND('Marks Entry'!AL22="",'Marks Entry'!AM22=""),"",SUM('Marks Entry'!AL22:AM22))</f>
        <v>40</v>
      </c>
      <c r="AN22" s="105" t="str">
        <f>IF('Marks Entry'!AN22="","",'Marks Entry'!AN22)</f>
        <v/>
      </c>
      <c r="AO22" s="105">
        <f t="shared" si="43"/>
        <v>40</v>
      </c>
      <c r="AP22" s="105">
        <f>IF(AND('Marks Entry'!AO22="",'Marks Entry'!AP22=""),"",SUM('Marks Entry'!AO22:AP22))</f>
        <v>58</v>
      </c>
      <c r="AQ22" s="105" t="str">
        <f>IF('Marks Entry'!AQ22="","",'Marks Entry'!AQ22)</f>
        <v/>
      </c>
      <c r="AR22" s="105">
        <f t="shared" si="44"/>
        <v>58</v>
      </c>
      <c r="AS22" s="105">
        <f t="shared" si="45"/>
        <v>118</v>
      </c>
      <c r="AT22" s="105" t="str">
        <f t="shared" si="46"/>
        <v>P</v>
      </c>
      <c r="AU22" s="105" t="str">
        <f t="shared" si="47"/>
        <v>II</v>
      </c>
      <c r="AV22" s="47" t="str">
        <f>IF(B22="","",IF('Marks Entry'!AS22="",'Marks Entry'!$AS$4,'Marks Entry'!AS22))</f>
        <v>Geography</v>
      </c>
      <c r="AW22" s="105">
        <f>IF('Marks Entry'!AT22="","",'Marks Entry'!AT22)</f>
        <v>10</v>
      </c>
      <c r="AX22" s="105">
        <f>IF('Marks Entry'!AU22="","",'Marks Entry'!AU22)</f>
        <v>10</v>
      </c>
      <c r="AY22" s="105">
        <f>IF(AND('Marks Entry'!AV22="",'Marks Entry'!AW22=""),"",SUM('Marks Entry'!AV22:AW22))</f>
        <v>23</v>
      </c>
      <c r="AZ22" s="105">
        <f>IF('Marks Entry'!AX22="","",'Marks Entry'!AX22)</f>
        <v>10</v>
      </c>
      <c r="BA22" s="105">
        <f t="shared" si="48"/>
        <v>33</v>
      </c>
      <c r="BB22" s="105">
        <f>IF(AND('Marks Entry'!AY22="",'Marks Entry'!AZ22=""),"",SUM('Marks Entry'!AY22:AZ22))</f>
        <v>39</v>
      </c>
      <c r="BC22" s="105">
        <f>IF('Marks Entry'!BA22="","",'Marks Entry'!BA22)</f>
        <v>13</v>
      </c>
      <c r="BD22" s="105">
        <f t="shared" si="49"/>
        <v>52</v>
      </c>
      <c r="BE22" s="105">
        <f t="shared" si="50"/>
        <v>105</v>
      </c>
      <c r="BF22" s="105" t="str">
        <f t="shared" si="51"/>
        <v>P</v>
      </c>
      <c r="BG22" s="105" t="str">
        <f t="shared" si="52"/>
        <v>II</v>
      </c>
      <c r="BH22" s="105">
        <f t="shared" si="53"/>
        <v>540</v>
      </c>
      <c r="BI22" s="50">
        <f t="shared" si="3"/>
        <v>0.54</v>
      </c>
      <c r="BJ22" s="47" t="str">
        <f t="shared" si="4"/>
        <v>PASS</v>
      </c>
      <c r="BK22" s="105" t="str">
        <f t="shared" si="54"/>
        <v>2nd</v>
      </c>
      <c r="BL22" s="105">
        <f t="shared" si="55"/>
        <v>6.0000000000000018</v>
      </c>
      <c r="BM22" s="105">
        <f>IF(OR(B22="",'Marks Entry'!BY22=""),"",'Marks Entry'!BY22)</f>
        <v>400</v>
      </c>
      <c r="BN22" s="105">
        <f>IF(OR(B22="",'Marks Entry'!BZ22=""),"",'Marks Entry'!BZ22)</f>
        <v>300</v>
      </c>
      <c r="BO22" s="105">
        <f>IF('Marks Entry'!BC22="","",'Marks Entry'!BC22)</f>
        <v>15</v>
      </c>
      <c r="BP22" s="105">
        <f>IF('Marks Entry'!BD22="","",'Marks Entry'!BD22)</f>
        <v>15</v>
      </c>
      <c r="BQ22" s="105">
        <f>IF(AND('Marks Entry'!BE22="",'Marks Entry'!BF22=""),"",SUM('Marks Entry'!BE22:BF22))</f>
        <v>25</v>
      </c>
      <c r="BR22" s="105">
        <f>IF(AND('Marks Entry'!BG22="",'Marks Entry'!BH22=""),"",SUM('Marks Entry'!BG22:BH22))</f>
        <v>82</v>
      </c>
      <c r="BS22" s="105">
        <f t="shared" si="56"/>
        <v>137</v>
      </c>
      <c r="BT22" s="105" t="str">
        <f t="shared" si="57"/>
        <v>P</v>
      </c>
      <c r="BU22" s="105" t="str">
        <f t="shared" si="58"/>
        <v>B</v>
      </c>
      <c r="BV22" s="105">
        <f>IF('Marks Entry'!BJ22="","",'Marks Entry'!BJ22)</f>
        <v>15</v>
      </c>
      <c r="BW22" s="105">
        <f>IF('Marks Entry'!BK22="","",'Marks Entry'!BK22)</f>
        <v>15</v>
      </c>
      <c r="BX22" s="105">
        <f>IF(AND('Marks Entry'!BL22="",'Marks Entry'!BM22=""),"",SUM('Marks Entry'!BL22:BM22))</f>
        <v>25</v>
      </c>
      <c r="BY22" s="105">
        <f>IF(AND('Marks Entry'!BN22="",'Marks Entry'!BO22=""),"",SUM('Marks Entry'!BN22:BO22))</f>
        <v>82</v>
      </c>
      <c r="BZ22" s="105">
        <f t="shared" si="59"/>
        <v>137</v>
      </c>
      <c r="CA22" s="105" t="str">
        <f t="shared" si="60"/>
        <v>P</v>
      </c>
      <c r="CB22" s="105" t="str">
        <f t="shared" si="61"/>
        <v>B</v>
      </c>
      <c r="CC22" s="105" t="str">
        <f>IF('Marks Entry'!BQ22="","",'Marks Entry'!BQ22)</f>
        <v/>
      </c>
      <c r="CD22" s="105" t="str">
        <f>IF('Marks Entry'!BR22="","",'Marks Entry'!BR22)</f>
        <v/>
      </c>
      <c r="CE22" s="105" t="str">
        <f>IF(AND('Marks Entry'!BS22="",'Marks Entry'!BT22=""),"",SUM('Marks Entry'!BS22:BT22))</f>
        <v/>
      </c>
      <c r="CF22" s="105" t="str">
        <f>IF(AND('Marks Entry'!BU22="",'Marks Entry'!BV22=""),"",SUM('Marks Entry'!BU22:BV22))</f>
        <v/>
      </c>
      <c r="CG22" s="105" t="str">
        <f t="shared" si="62"/>
        <v/>
      </c>
      <c r="CH22" s="105" t="str">
        <f t="shared" si="63"/>
        <v/>
      </c>
      <c r="CI22" s="105" t="str">
        <f t="shared" si="64"/>
        <v/>
      </c>
      <c r="CJ22" s="81"/>
      <c r="CK22" s="50">
        <f t="shared" si="5"/>
        <v>0.54</v>
      </c>
      <c r="CM22" s="105" t="str">
        <f t="shared" si="6"/>
        <v>P</v>
      </c>
      <c r="CN22" s="105" t="str">
        <f t="shared" si="7"/>
        <v>P</v>
      </c>
      <c r="CO22" s="105" t="str">
        <f t="shared" si="8"/>
        <v>P</v>
      </c>
      <c r="CP22" s="105" t="str">
        <f t="shared" si="9"/>
        <v>P</v>
      </c>
      <c r="CQ22" s="105" t="str">
        <f t="shared" si="10"/>
        <v>P</v>
      </c>
      <c r="CS22" s="105">
        <f t="shared" si="11"/>
        <v>0</v>
      </c>
      <c r="CT22" s="105">
        <f t="shared" si="12"/>
        <v>0</v>
      </c>
      <c r="CU22" s="105">
        <f t="shared" si="13"/>
        <v>0</v>
      </c>
      <c r="CV22" s="105">
        <f t="shared" si="14"/>
        <v>0</v>
      </c>
      <c r="CW22" s="81"/>
      <c r="CX22" s="105" t="str">
        <f t="shared" si="15"/>
        <v>II</v>
      </c>
      <c r="CY22" s="105" t="str">
        <f t="shared" si="16"/>
        <v>II</v>
      </c>
      <c r="CZ22" s="105" t="str">
        <f t="shared" si="17"/>
        <v>II</v>
      </c>
      <c r="DA22" s="105" t="str">
        <f t="shared" si="18"/>
        <v>II</v>
      </c>
      <c r="DB22" s="105" t="str">
        <f t="shared" si="19"/>
        <v>II</v>
      </c>
      <c r="DD22" s="105" t="str">
        <f t="shared" si="20"/>
        <v>II</v>
      </c>
      <c r="DE22" s="105" t="str">
        <f t="shared" si="21"/>
        <v/>
      </c>
      <c r="DF22" s="105" t="str">
        <f t="shared" si="22"/>
        <v>II</v>
      </c>
      <c r="DG22" s="105" t="str">
        <f t="shared" si="23"/>
        <v/>
      </c>
      <c r="DH22" s="105" t="str">
        <f t="shared" si="24"/>
        <v>II</v>
      </c>
      <c r="DI22" s="105" t="str">
        <f t="shared" si="25"/>
        <v/>
      </c>
      <c r="DJ22" s="105" t="str">
        <f t="shared" si="26"/>
        <v>II</v>
      </c>
      <c r="DK22" s="105" t="str">
        <f t="shared" si="27"/>
        <v/>
      </c>
      <c r="DL22" s="105" t="str">
        <f t="shared" si="28"/>
        <v>II</v>
      </c>
      <c r="DM22" s="105" t="str">
        <f t="shared" si="29"/>
        <v/>
      </c>
      <c r="DN22" s="105" t="str">
        <f t="shared" si="30"/>
        <v>B</v>
      </c>
      <c r="DO22" s="105" t="str">
        <f t="shared" si="31"/>
        <v>B</v>
      </c>
      <c r="DP22" s="105" t="str">
        <f t="shared" si="32"/>
        <v/>
      </c>
      <c r="DR22" s="118" t="str">
        <f t="shared" si="65"/>
        <v xml:space="preserve">    </v>
      </c>
      <c r="DS22" s="75"/>
      <c r="DT22" s="119" t="str">
        <f t="shared" si="66"/>
        <v xml:space="preserve">    </v>
      </c>
      <c r="DU22" s="136"/>
      <c r="DV22" s="119" t="str">
        <f t="shared" si="67"/>
        <v xml:space="preserve">    </v>
      </c>
      <c r="DW22" s="75"/>
      <c r="DX22" s="119" t="str">
        <f t="shared" si="68"/>
        <v xml:space="preserve">     </v>
      </c>
      <c r="DY22" s="75"/>
      <c r="DZ22" s="119" t="str">
        <f t="shared" si="69"/>
        <v xml:space="preserve">    </v>
      </c>
    </row>
    <row r="23" spans="1:130" ht="30" customHeight="1" x14ac:dyDescent="0.25">
      <c r="A23" s="105">
        <f>IF('Marks Entry'!A23="","",'Marks Entry'!A23)</f>
        <v>15</v>
      </c>
      <c r="B23" s="105">
        <f>IF('Marks Entry'!B23="","",'Marks Entry'!B23)</f>
        <v>920</v>
      </c>
      <c r="C23" s="105">
        <f>IF('Marks Entry'!C23="","",'Marks Entry'!C23)</f>
        <v>12323</v>
      </c>
      <c r="D23" s="48" t="str">
        <f>IF('Marks Entry'!D23="","",'Marks Entry'!D23)</f>
        <v>NARESH MALI</v>
      </c>
      <c r="E23" s="48" t="str">
        <f>IF('Marks Entry'!E23="","",'Marks Entry'!E23)</f>
        <v>BHERU LAL</v>
      </c>
      <c r="F23" s="48" t="str">
        <f>IF('Marks Entry'!F23="","",'Marks Entry'!F23)</f>
        <v>RADHA MALI</v>
      </c>
      <c r="G23" s="105" t="str">
        <f>IF('Marks Entry'!G23="","",'Marks Entry'!G23)</f>
        <v>BOY</v>
      </c>
      <c r="H23" s="49">
        <f>IF('Marks Entry'!H23="","",'Marks Entry'!H23)</f>
        <v>37818</v>
      </c>
      <c r="I23" s="105" t="str">
        <f>IF('Marks Entry'!I23="","",'Marks Entry'!I23)</f>
        <v>OBC</v>
      </c>
      <c r="J23" s="105">
        <f>IF('Marks Entry'!K23="","",'Marks Entry'!K23)</f>
        <v>10</v>
      </c>
      <c r="K23" s="105">
        <f>IF('Marks Entry'!L23="","",'Marks Entry'!L23)</f>
        <v>20</v>
      </c>
      <c r="L23" s="105">
        <f>IF(AND('Marks Entry'!M23="",'Marks Entry'!N23=""),"",SUM('Marks Entry'!M23:N23))</f>
        <v>15</v>
      </c>
      <c r="M23" s="105">
        <f>IF(AND('Marks Entry'!O23="",'Marks Entry'!P23=""),"",SUM('Marks Entry'!O23:P23))</f>
        <v>61</v>
      </c>
      <c r="N23" s="105">
        <f t="shared" si="2"/>
        <v>106</v>
      </c>
      <c r="O23" s="105" t="str">
        <f t="shared" si="33"/>
        <v>P</v>
      </c>
      <c r="P23" s="105" t="str">
        <f t="shared" si="34"/>
        <v>II</v>
      </c>
      <c r="Q23" s="105">
        <f>IF('Marks Entry'!R23="","",'Marks Entry'!R23)</f>
        <v>10</v>
      </c>
      <c r="R23" s="105">
        <f>IF('Marks Entry'!S23="","",'Marks Entry'!S23)</f>
        <v>10</v>
      </c>
      <c r="S23" s="105">
        <f>IF(AND('Marks Entry'!T23="",'Marks Entry'!U23=""),"",SUM('Marks Entry'!T23:U23))</f>
        <v>40</v>
      </c>
      <c r="T23" s="105">
        <f>IF(AND('Marks Entry'!V23="",'Marks Entry'!W23=""),"",SUM('Marks Entry'!V23:W23))</f>
        <v>52</v>
      </c>
      <c r="U23" s="105">
        <f t="shared" si="35"/>
        <v>112</v>
      </c>
      <c r="V23" s="105" t="str">
        <f t="shared" si="36"/>
        <v>P</v>
      </c>
      <c r="W23" s="105" t="str">
        <f t="shared" si="37"/>
        <v>II</v>
      </c>
      <c r="X23" s="47" t="str">
        <f>IF(B23="","",IF('Marks Entry'!Y23="",'Marks Entry'!$Y$4,'Marks Entry'!Y23))</f>
        <v>History</v>
      </c>
      <c r="Y23" s="105">
        <f>IF('Marks Entry'!Z23="","",'Marks Entry'!Z23)</f>
        <v>10</v>
      </c>
      <c r="Z23" s="105">
        <f>IF('Marks Entry'!AA23="","",'Marks Entry'!AA23)</f>
        <v>10</v>
      </c>
      <c r="AA23" s="105">
        <f>IF(AND('Marks Entry'!AB23="",'Marks Entry'!AC23=""),"",SUM('Marks Entry'!AB23:AC23))</f>
        <v>40</v>
      </c>
      <c r="AB23" s="105" t="str">
        <f>IF('Marks Entry'!AD23="","",'Marks Entry'!AD23)</f>
        <v/>
      </c>
      <c r="AC23" s="105">
        <f t="shared" si="38"/>
        <v>40</v>
      </c>
      <c r="AD23" s="105">
        <f>IF(AND('Marks Entry'!AE23="",'Marks Entry'!AF23=""),"",SUM('Marks Entry'!AE23:AF23))</f>
        <v>41</v>
      </c>
      <c r="AE23" s="105" t="str">
        <f>IF('Marks Entry'!AG23="","",'Marks Entry'!AG23)</f>
        <v/>
      </c>
      <c r="AF23" s="105">
        <f t="shared" si="39"/>
        <v>41</v>
      </c>
      <c r="AG23" s="105">
        <f t="shared" si="40"/>
        <v>101</v>
      </c>
      <c r="AH23" s="105" t="str">
        <f t="shared" si="41"/>
        <v>P</v>
      </c>
      <c r="AI23" s="105" t="str">
        <f t="shared" si="42"/>
        <v>II</v>
      </c>
      <c r="AJ23" s="47" t="str">
        <f>IF(B23="","",IF('Marks Entry'!AI23="",'Marks Entry'!$AI$4,'Marks Entry'!AI23))</f>
        <v>Political Science</v>
      </c>
      <c r="AK23" s="105">
        <f>IF('Marks Entry'!AJ23="","",'Marks Entry'!AJ23)</f>
        <v>10</v>
      </c>
      <c r="AL23" s="105">
        <f>IF('Marks Entry'!AK23="","",'Marks Entry'!AK23)</f>
        <v>10</v>
      </c>
      <c r="AM23" s="105">
        <f>IF(AND('Marks Entry'!AL23="",'Marks Entry'!AM23=""),"",SUM('Marks Entry'!AL23:AM23))</f>
        <v>40</v>
      </c>
      <c r="AN23" s="105" t="str">
        <f>IF('Marks Entry'!AN23="","",'Marks Entry'!AN23)</f>
        <v/>
      </c>
      <c r="AO23" s="105">
        <f t="shared" si="43"/>
        <v>40</v>
      </c>
      <c r="AP23" s="105">
        <f>IF(AND('Marks Entry'!AO23="",'Marks Entry'!AP23=""),"",SUM('Marks Entry'!AO23:AP23))</f>
        <v>60</v>
      </c>
      <c r="AQ23" s="105" t="str">
        <f>IF('Marks Entry'!AQ23="","",'Marks Entry'!AQ23)</f>
        <v/>
      </c>
      <c r="AR23" s="105">
        <f t="shared" si="44"/>
        <v>60</v>
      </c>
      <c r="AS23" s="105">
        <f t="shared" si="45"/>
        <v>120</v>
      </c>
      <c r="AT23" s="105" t="str">
        <f t="shared" si="46"/>
        <v>P</v>
      </c>
      <c r="AU23" s="105" t="str">
        <f t="shared" si="47"/>
        <v>I</v>
      </c>
      <c r="AV23" s="47" t="str">
        <f>IF(B23="","",IF('Marks Entry'!AS23="",'Marks Entry'!$AS$4,'Marks Entry'!AS23))</f>
        <v>Geography</v>
      </c>
      <c r="AW23" s="105">
        <f>IF('Marks Entry'!AT23="","",'Marks Entry'!AT23)</f>
        <v>10</v>
      </c>
      <c r="AX23" s="105">
        <f>IF('Marks Entry'!AU23="","",'Marks Entry'!AU23)</f>
        <v>10</v>
      </c>
      <c r="AY23" s="105">
        <f>IF(AND('Marks Entry'!AV23="",'Marks Entry'!AW23=""),"",SUM('Marks Entry'!AV23:AW23))</f>
        <v>21</v>
      </c>
      <c r="AZ23" s="105">
        <f>IF('Marks Entry'!AX23="","",'Marks Entry'!AX23)</f>
        <v>11</v>
      </c>
      <c r="BA23" s="105">
        <f t="shared" si="48"/>
        <v>32</v>
      </c>
      <c r="BB23" s="105">
        <f>IF(AND('Marks Entry'!AY23="",'Marks Entry'!AZ23=""),"",SUM('Marks Entry'!AY23:AZ23))</f>
        <v>42</v>
      </c>
      <c r="BC23" s="105">
        <f>IF('Marks Entry'!BA23="","",'Marks Entry'!BA23)</f>
        <v>14</v>
      </c>
      <c r="BD23" s="105">
        <f t="shared" si="49"/>
        <v>56</v>
      </c>
      <c r="BE23" s="105">
        <f t="shared" si="50"/>
        <v>108</v>
      </c>
      <c r="BF23" s="105" t="str">
        <f t="shared" si="51"/>
        <v>P</v>
      </c>
      <c r="BG23" s="105" t="str">
        <f t="shared" si="52"/>
        <v>II</v>
      </c>
      <c r="BH23" s="105">
        <f t="shared" si="53"/>
        <v>547</v>
      </c>
      <c r="BI23" s="50">
        <f t="shared" si="3"/>
        <v>0.54700000000000004</v>
      </c>
      <c r="BJ23" s="47" t="str">
        <f t="shared" si="4"/>
        <v>PASS</v>
      </c>
      <c r="BK23" s="105" t="str">
        <f t="shared" si="54"/>
        <v>2nd</v>
      </c>
      <c r="BL23" s="105">
        <f t="shared" si="55"/>
        <v>4.0000000000000018</v>
      </c>
      <c r="BM23" s="105">
        <f>IF(OR(B23="",'Marks Entry'!BY23=""),"",'Marks Entry'!BY23)</f>
        <v>400</v>
      </c>
      <c r="BN23" s="105">
        <f>IF(OR(B23="",'Marks Entry'!BZ23=""),"",'Marks Entry'!BZ23)</f>
        <v>300</v>
      </c>
      <c r="BO23" s="105">
        <f>IF('Marks Entry'!BC23="","",'Marks Entry'!BC23)</f>
        <v>15</v>
      </c>
      <c r="BP23" s="105">
        <f>IF('Marks Entry'!BD23="","",'Marks Entry'!BD23)</f>
        <v>15</v>
      </c>
      <c r="BQ23" s="105">
        <f>IF(AND('Marks Entry'!BE23="",'Marks Entry'!BF23=""),"",SUM('Marks Entry'!BE23:BF23))</f>
        <v>25</v>
      </c>
      <c r="BR23" s="105">
        <f>IF(AND('Marks Entry'!BG23="",'Marks Entry'!BH23=""),"",SUM('Marks Entry'!BG23:BH23))</f>
        <v>82</v>
      </c>
      <c r="BS23" s="105">
        <f t="shared" si="56"/>
        <v>137</v>
      </c>
      <c r="BT23" s="105" t="str">
        <f t="shared" si="57"/>
        <v>P</v>
      </c>
      <c r="BU23" s="105" t="str">
        <f t="shared" si="58"/>
        <v>B</v>
      </c>
      <c r="BV23" s="105">
        <f>IF('Marks Entry'!BJ23="","",'Marks Entry'!BJ23)</f>
        <v>15</v>
      </c>
      <c r="BW23" s="105">
        <f>IF('Marks Entry'!BK23="","",'Marks Entry'!BK23)</f>
        <v>15</v>
      </c>
      <c r="BX23" s="105">
        <f>IF(AND('Marks Entry'!BL23="",'Marks Entry'!BM23=""),"",SUM('Marks Entry'!BL23:BM23))</f>
        <v>25</v>
      </c>
      <c r="BY23" s="105">
        <f>IF(AND('Marks Entry'!BN23="",'Marks Entry'!BO23=""),"",SUM('Marks Entry'!BN23:BO23))</f>
        <v>82</v>
      </c>
      <c r="BZ23" s="105">
        <f t="shared" si="59"/>
        <v>137</v>
      </c>
      <c r="CA23" s="105" t="str">
        <f t="shared" si="60"/>
        <v>P</v>
      </c>
      <c r="CB23" s="105" t="str">
        <f t="shared" si="61"/>
        <v>B</v>
      </c>
      <c r="CC23" s="105" t="str">
        <f>IF('Marks Entry'!BQ23="","",'Marks Entry'!BQ23)</f>
        <v/>
      </c>
      <c r="CD23" s="105" t="str">
        <f>IF('Marks Entry'!BR23="","",'Marks Entry'!BR23)</f>
        <v/>
      </c>
      <c r="CE23" s="105" t="str">
        <f>IF(AND('Marks Entry'!BS23="",'Marks Entry'!BT23=""),"",SUM('Marks Entry'!BS23:BT23))</f>
        <v/>
      </c>
      <c r="CF23" s="105" t="str">
        <f>IF(AND('Marks Entry'!BU23="",'Marks Entry'!BV23=""),"",SUM('Marks Entry'!BU23:BV23))</f>
        <v/>
      </c>
      <c r="CG23" s="105" t="str">
        <f t="shared" si="62"/>
        <v/>
      </c>
      <c r="CH23" s="105" t="str">
        <f t="shared" si="63"/>
        <v/>
      </c>
      <c r="CI23" s="105" t="str">
        <f t="shared" si="64"/>
        <v/>
      </c>
      <c r="CJ23" s="81"/>
      <c r="CK23" s="50">
        <f t="shared" si="5"/>
        <v>0.54700000000000004</v>
      </c>
      <c r="CM23" s="105" t="str">
        <f t="shared" si="6"/>
        <v>P</v>
      </c>
      <c r="CN23" s="105" t="str">
        <f t="shared" si="7"/>
        <v>P</v>
      </c>
      <c r="CO23" s="105" t="str">
        <f t="shared" si="8"/>
        <v>P</v>
      </c>
      <c r="CP23" s="105" t="str">
        <f t="shared" si="9"/>
        <v>P</v>
      </c>
      <c r="CQ23" s="105" t="str">
        <f t="shared" si="10"/>
        <v>P</v>
      </c>
      <c r="CS23" s="105">
        <f t="shared" si="11"/>
        <v>0</v>
      </c>
      <c r="CT23" s="105">
        <f t="shared" si="12"/>
        <v>0</v>
      </c>
      <c r="CU23" s="105">
        <f t="shared" si="13"/>
        <v>0</v>
      </c>
      <c r="CV23" s="105">
        <f t="shared" si="14"/>
        <v>0</v>
      </c>
      <c r="CW23" s="81"/>
      <c r="CX23" s="105" t="str">
        <f t="shared" si="15"/>
        <v>II</v>
      </c>
      <c r="CY23" s="105" t="str">
        <f t="shared" si="16"/>
        <v>II</v>
      </c>
      <c r="CZ23" s="105" t="str">
        <f t="shared" si="17"/>
        <v>II</v>
      </c>
      <c r="DA23" s="105" t="str">
        <f t="shared" si="18"/>
        <v>I</v>
      </c>
      <c r="DB23" s="105" t="str">
        <f t="shared" si="19"/>
        <v>II</v>
      </c>
      <c r="DD23" s="105" t="str">
        <f t="shared" si="20"/>
        <v>II</v>
      </c>
      <c r="DE23" s="105" t="str">
        <f t="shared" si="21"/>
        <v/>
      </c>
      <c r="DF23" s="105" t="str">
        <f t="shared" si="22"/>
        <v>II</v>
      </c>
      <c r="DG23" s="105" t="str">
        <f t="shared" si="23"/>
        <v/>
      </c>
      <c r="DH23" s="105" t="str">
        <f t="shared" si="24"/>
        <v>II</v>
      </c>
      <c r="DI23" s="105" t="str">
        <f t="shared" si="25"/>
        <v/>
      </c>
      <c r="DJ23" s="105" t="str">
        <f t="shared" si="26"/>
        <v>I</v>
      </c>
      <c r="DK23" s="105" t="str">
        <f t="shared" si="27"/>
        <v/>
      </c>
      <c r="DL23" s="105" t="str">
        <f t="shared" si="28"/>
        <v>II</v>
      </c>
      <c r="DM23" s="105" t="str">
        <f t="shared" si="29"/>
        <v/>
      </c>
      <c r="DN23" s="105" t="str">
        <f t="shared" si="30"/>
        <v>B</v>
      </c>
      <c r="DO23" s="105" t="str">
        <f t="shared" si="31"/>
        <v>B</v>
      </c>
      <c r="DP23" s="105" t="str">
        <f t="shared" si="32"/>
        <v/>
      </c>
      <c r="DR23" s="118" t="str">
        <f t="shared" si="65"/>
        <v xml:space="preserve">    </v>
      </c>
      <c r="DS23" s="75"/>
      <c r="DT23" s="119" t="str">
        <f t="shared" si="66"/>
        <v xml:space="preserve">    </v>
      </c>
      <c r="DU23" s="136"/>
      <c r="DV23" s="119" t="str">
        <f t="shared" si="67"/>
        <v xml:space="preserve">    </v>
      </c>
      <c r="DW23" s="75"/>
      <c r="DX23" s="119" t="str">
        <f t="shared" si="68"/>
        <v xml:space="preserve">     </v>
      </c>
      <c r="DY23" s="75"/>
      <c r="DZ23" s="119" t="str">
        <f t="shared" si="69"/>
        <v xml:space="preserve">    </v>
      </c>
    </row>
    <row r="24" spans="1:130" ht="30" customHeight="1" x14ac:dyDescent="0.25">
      <c r="A24" s="105">
        <f>IF('Marks Entry'!A24="","",'Marks Entry'!A24)</f>
        <v>16</v>
      </c>
      <c r="B24" s="105">
        <f>IF('Marks Entry'!B24="","",'Marks Entry'!B24)</f>
        <v>921</v>
      </c>
      <c r="C24" s="105">
        <f>IF('Marks Entry'!C24="","",'Marks Entry'!C24)</f>
        <v>12824</v>
      </c>
      <c r="D24" s="48" t="str">
        <f>IF('Marks Entry'!D24="","",'Marks Entry'!D24)</f>
        <v>PRAHLAD LOHAR</v>
      </c>
      <c r="E24" s="48" t="str">
        <f>IF('Marks Entry'!E24="","",'Marks Entry'!E24)</f>
        <v>SHANKAR LAL</v>
      </c>
      <c r="F24" s="48" t="str">
        <f>IF('Marks Entry'!F24="","",'Marks Entry'!F24)</f>
        <v>RAMU DEVI</v>
      </c>
      <c r="G24" s="105" t="str">
        <f>IF('Marks Entry'!G24="","",'Marks Entry'!G24)</f>
        <v>BOY</v>
      </c>
      <c r="H24" s="49">
        <f>IF('Marks Entry'!H24="","",'Marks Entry'!H24)</f>
        <v>38325</v>
      </c>
      <c r="I24" s="105" t="str">
        <f>IF('Marks Entry'!I24="","",'Marks Entry'!I24)</f>
        <v>OBC</v>
      </c>
      <c r="J24" s="105">
        <f>IF('Marks Entry'!K24="","",'Marks Entry'!K24)</f>
        <v>10</v>
      </c>
      <c r="K24" s="105">
        <f>IF('Marks Entry'!L24="","",'Marks Entry'!L24)</f>
        <v>20</v>
      </c>
      <c r="L24" s="105">
        <f>IF(AND('Marks Entry'!M24="",'Marks Entry'!N24=""),"",SUM('Marks Entry'!M24:N24))</f>
        <v>15</v>
      </c>
      <c r="M24" s="105">
        <f>IF(AND('Marks Entry'!O24="",'Marks Entry'!P24=""),"",SUM('Marks Entry'!O24:P24))</f>
        <v>62</v>
      </c>
      <c r="N24" s="105">
        <f t="shared" si="2"/>
        <v>107</v>
      </c>
      <c r="O24" s="105" t="str">
        <f t="shared" si="33"/>
        <v>P</v>
      </c>
      <c r="P24" s="105" t="str">
        <f t="shared" si="34"/>
        <v>II</v>
      </c>
      <c r="Q24" s="105">
        <f>IF('Marks Entry'!R24="","",'Marks Entry'!R24)</f>
        <v>10</v>
      </c>
      <c r="R24" s="105">
        <f>IF('Marks Entry'!S24="","",'Marks Entry'!S24)</f>
        <v>10</v>
      </c>
      <c r="S24" s="105">
        <f>IF(AND('Marks Entry'!T24="",'Marks Entry'!U24=""),"",SUM('Marks Entry'!T24:U24))</f>
        <v>40</v>
      </c>
      <c r="T24" s="105">
        <f>IF(AND('Marks Entry'!V24="",'Marks Entry'!W24=""),"",SUM('Marks Entry'!V24:W24))</f>
        <v>53</v>
      </c>
      <c r="U24" s="105">
        <f t="shared" si="35"/>
        <v>113</v>
      </c>
      <c r="V24" s="105" t="str">
        <f t="shared" si="36"/>
        <v>P</v>
      </c>
      <c r="W24" s="105" t="str">
        <f t="shared" si="37"/>
        <v>II</v>
      </c>
      <c r="X24" s="47" t="str">
        <f>IF(B24="","",IF('Marks Entry'!Y24="",'Marks Entry'!$Y$4,'Marks Entry'!Y24))</f>
        <v>History</v>
      </c>
      <c r="Y24" s="105">
        <f>IF('Marks Entry'!Z24="","",'Marks Entry'!Z24)</f>
        <v>10</v>
      </c>
      <c r="Z24" s="105">
        <f>IF('Marks Entry'!AA24="","",'Marks Entry'!AA24)</f>
        <v>10</v>
      </c>
      <c r="AA24" s="105">
        <f>IF(AND('Marks Entry'!AB24="",'Marks Entry'!AC24=""),"",SUM('Marks Entry'!AB24:AC24))</f>
        <v>40</v>
      </c>
      <c r="AB24" s="105" t="str">
        <f>IF('Marks Entry'!AD24="","",'Marks Entry'!AD24)</f>
        <v/>
      </c>
      <c r="AC24" s="105">
        <f t="shared" si="38"/>
        <v>40</v>
      </c>
      <c r="AD24" s="105">
        <f>IF(AND('Marks Entry'!AE24="",'Marks Entry'!AF24=""),"",SUM('Marks Entry'!AE24:AF24))</f>
        <v>41</v>
      </c>
      <c r="AE24" s="105" t="str">
        <f>IF('Marks Entry'!AG24="","",'Marks Entry'!AG24)</f>
        <v/>
      </c>
      <c r="AF24" s="105">
        <f t="shared" si="39"/>
        <v>41</v>
      </c>
      <c r="AG24" s="105">
        <f t="shared" si="40"/>
        <v>101</v>
      </c>
      <c r="AH24" s="105" t="str">
        <f t="shared" si="41"/>
        <v>P</v>
      </c>
      <c r="AI24" s="105" t="str">
        <f t="shared" si="42"/>
        <v>II</v>
      </c>
      <c r="AJ24" s="47" t="str">
        <f>IF(B24="","",IF('Marks Entry'!AI24="",'Marks Entry'!$AI$4,'Marks Entry'!AI24))</f>
        <v>Political Science</v>
      </c>
      <c r="AK24" s="105">
        <f>IF('Marks Entry'!AJ24="","",'Marks Entry'!AJ24)</f>
        <v>10</v>
      </c>
      <c r="AL24" s="105">
        <f>IF('Marks Entry'!AK24="","",'Marks Entry'!AK24)</f>
        <v>10</v>
      </c>
      <c r="AM24" s="105">
        <f>IF(AND('Marks Entry'!AL24="",'Marks Entry'!AM24=""),"",SUM('Marks Entry'!AL24:AM24))</f>
        <v>40</v>
      </c>
      <c r="AN24" s="105" t="str">
        <f>IF('Marks Entry'!AN24="","",'Marks Entry'!AN24)</f>
        <v/>
      </c>
      <c r="AO24" s="105">
        <f t="shared" si="43"/>
        <v>40</v>
      </c>
      <c r="AP24" s="105">
        <f>IF(AND('Marks Entry'!AO24="",'Marks Entry'!AP24=""),"",SUM('Marks Entry'!AO24:AP24))</f>
        <v>62</v>
      </c>
      <c r="AQ24" s="105" t="str">
        <f>IF('Marks Entry'!AQ24="","",'Marks Entry'!AQ24)</f>
        <v/>
      </c>
      <c r="AR24" s="105">
        <f t="shared" si="44"/>
        <v>62</v>
      </c>
      <c r="AS24" s="105">
        <f t="shared" si="45"/>
        <v>122</v>
      </c>
      <c r="AT24" s="105" t="str">
        <f t="shared" si="46"/>
        <v>P</v>
      </c>
      <c r="AU24" s="105" t="str">
        <f t="shared" si="47"/>
        <v>I</v>
      </c>
      <c r="AV24" s="47" t="str">
        <f>IF(B24="","",IF('Marks Entry'!AS24="",'Marks Entry'!$AS$4,'Marks Entry'!AS24))</f>
        <v>Geography</v>
      </c>
      <c r="AW24" s="105">
        <f>IF('Marks Entry'!AT24="","",'Marks Entry'!AT24)</f>
        <v>10</v>
      </c>
      <c r="AX24" s="105">
        <f>IF('Marks Entry'!AU24="","",'Marks Entry'!AU24)</f>
        <v>10</v>
      </c>
      <c r="AY24" s="105">
        <f>IF(AND('Marks Entry'!AV24="",'Marks Entry'!AW24=""),"",SUM('Marks Entry'!AV24:AW24))</f>
        <v>19</v>
      </c>
      <c r="AZ24" s="105">
        <f>IF('Marks Entry'!AX24="","",'Marks Entry'!AX24)</f>
        <v>10</v>
      </c>
      <c r="BA24" s="105">
        <f t="shared" si="48"/>
        <v>29</v>
      </c>
      <c r="BB24" s="105">
        <f>IF(AND('Marks Entry'!AY24="",'Marks Entry'!AZ24=""),"",SUM('Marks Entry'!AY24:AZ24))</f>
        <v>39</v>
      </c>
      <c r="BC24" s="105">
        <f>IF('Marks Entry'!BA24="","",'Marks Entry'!BA24)</f>
        <v>15</v>
      </c>
      <c r="BD24" s="105">
        <f t="shared" si="49"/>
        <v>54</v>
      </c>
      <c r="BE24" s="105">
        <f t="shared" si="50"/>
        <v>103</v>
      </c>
      <c r="BF24" s="105" t="str">
        <f t="shared" si="51"/>
        <v>P</v>
      </c>
      <c r="BG24" s="105" t="str">
        <f t="shared" si="52"/>
        <v>II</v>
      </c>
      <c r="BH24" s="105">
        <f t="shared" si="53"/>
        <v>546</v>
      </c>
      <c r="BI24" s="50">
        <f t="shared" si="3"/>
        <v>0.54600000000000004</v>
      </c>
      <c r="BJ24" s="47" t="str">
        <f t="shared" si="4"/>
        <v>PASS</v>
      </c>
      <c r="BK24" s="105" t="str">
        <f t="shared" si="54"/>
        <v>2nd</v>
      </c>
      <c r="BL24" s="105">
        <f t="shared" si="55"/>
        <v>5.0000000000000018</v>
      </c>
      <c r="BM24" s="105">
        <f>IF(OR(B24="",'Marks Entry'!BY24=""),"",'Marks Entry'!BY24)</f>
        <v>400</v>
      </c>
      <c r="BN24" s="105">
        <f>IF(OR(B24="",'Marks Entry'!BZ24=""),"",'Marks Entry'!BZ24)</f>
        <v>300</v>
      </c>
      <c r="BO24" s="105">
        <f>IF('Marks Entry'!BC24="","",'Marks Entry'!BC24)</f>
        <v>15</v>
      </c>
      <c r="BP24" s="105">
        <f>IF('Marks Entry'!BD24="","",'Marks Entry'!BD24)</f>
        <v>15</v>
      </c>
      <c r="BQ24" s="105">
        <f>IF(AND('Marks Entry'!BE24="",'Marks Entry'!BF24=""),"",SUM('Marks Entry'!BE24:BF24))</f>
        <v>25</v>
      </c>
      <c r="BR24" s="105">
        <f>IF(AND('Marks Entry'!BG24="",'Marks Entry'!BH24=""),"",SUM('Marks Entry'!BG24:BH24))</f>
        <v>82</v>
      </c>
      <c r="BS24" s="105">
        <f t="shared" si="56"/>
        <v>137</v>
      </c>
      <c r="BT24" s="105" t="str">
        <f t="shared" si="57"/>
        <v>P</v>
      </c>
      <c r="BU24" s="105" t="str">
        <f t="shared" si="58"/>
        <v>B</v>
      </c>
      <c r="BV24" s="105">
        <f>IF('Marks Entry'!BJ24="","",'Marks Entry'!BJ24)</f>
        <v>15</v>
      </c>
      <c r="BW24" s="105">
        <f>IF('Marks Entry'!BK24="","",'Marks Entry'!BK24)</f>
        <v>15</v>
      </c>
      <c r="BX24" s="105">
        <f>IF(AND('Marks Entry'!BL24="",'Marks Entry'!BM24=""),"",SUM('Marks Entry'!BL24:BM24))</f>
        <v>25</v>
      </c>
      <c r="BY24" s="105">
        <f>IF(AND('Marks Entry'!BN24="",'Marks Entry'!BO24=""),"",SUM('Marks Entry'!BN24:BO24))</f>
        <v>82</v>
      </c>
      <c r="BZ24" s="105">
        <f t="shared" si="59"/>
        <v>137</v>
      </c>
      <c r="CA24" s="105" t="str">
        <f t="shared" si="60"/>
        <v>P</v>
      </c>
      <c r="CB24" s="105" t="str">
        <f t="shared" si="61"/>
        <v>B</v>
      </c>
      <c r="CC24" s="105" t="str">
        <f>IF('Marks Entry'!BQ24="","",'Marks Entry'!BQ24)</f>
        <v/>
      </c>
      <c r="CD24" s="105" t="str">
        <f>IF('Marks Entry'!BR24="","",'Marks Entry'!BR24)</f>
        <v/>
      </c>
      <c r="CE24" s="105" t="str">
        <f>IF(AND('Marks Entry'!BS24="",'Marks Entry'!BT24=""),"",SUM('Marks Entry'!BS24:BT24))</f>
        <v/>
      </c>
      <c r="CF24" s="105" t="str">
        <f>IF(AND('Marks Entry'!BU24="",'Marks Entry'!BV24=""),"",SUM('Marks Entry'!BU24:BV24))</f>
        <v/>
      </c>
      <c r="CG24" s="105" t="str">
        <f t="shared" si="62"/>
        <v/>
      </c>
      <c r="CH24" s="105" t="str">
        <f t="shared" si="63"/>
        <v/>
      </c>
      <c r="CI24" s="105" t="str">
        <f t="shared" si="64"/>
        <v/>
      </c>
      <c r="CJ24" s="81"/>
      <c r="CK24" s="50">
        <f t="shared" si="5"/>
        <v>0.54600000000000004</v>
      </c>
      <c r="CM24" s="105" t="str">
        <f t="shared" si="6"/>
        <v>P</v>
      </c>
      <c r="CN24" s="105" t="str">
        <f t="shared" si="7"/>
        <v>P</v>
      </c>
      <c r="CO24" s="105" t="str">
        <f t="shared" si="8"/>
        <v>P</v>
      </c>
      <c r="CP24" s="105" t="str">
        <f t="shared" si="9"/>
        <v>P</v>
      </c>
      <c r="CQ24" s="105" t="str">
        <f t="shared" si="10"/>
        <v>P</v>
      </c>
      <c r="CS24" s="105">
        <f t="shared" si="11"/>
        <v>0</v>
      </c>
      <c r="CT24" s="105">
        <f t="shared" si="12"/>
        <v>0</v>
      </c>
      <c r="CU24" s="105">
        <f t="shared" si="13"/>
        <v>0</v>
      </c>
      <c r="CV24" s="105">
        <f t="shared" si="14"/>
        <v>0</v>
      </c>
      <c r="CW24" s="81"/>
      <c r="CX24" s="105" t="str">
        <f t="shared" si="15"/>
        <v>II</v>
      </c>
      <c r="CY24" s="105" t="str">
        <f t="shared" si="16"/>
        <v>II</v>
      </c>
      <c r="CZ24" s="105" t="str">
        <f t="shared" si="17"/>
        <v>II</v>
      </c>
      <c r="DA24" s="105" t="str">
        <f t="shared" si="18"/>
        <v>I</v>
      </c>
      <c r="DB24" s="105" t="str">
        <f t="shared" si="19"/>
        <v>II</v>
      </c>
      <c r="DD24" s="105" t="str">
        <f t="shared" si="20"/>
        <v>II</v>
      </c>
      <c r="DE24" s="105" t="str">
        <f t="shared" si="21"/>
        <v/>
      </c>
      <c r="DF24" s="105" t="str">
        <f t="shared" si="22"/>
        <v>II</v>
      </c>
      <c r="DG24" s="105" t="str">
        <f t="shared" si="23"/>
        <v/>
      </c>
      <c r="DH24" s="105" t="str">
        <f t="shared" si="24"/>
        <v>II</v>
      </c>
      <c r="DI24" s="105" t="str">
        <f t="shared" si="25"/>
        <v/>
      </c>
      <c r="DJ24" s="105" t="str">
        <f t="shared" si="26"/>
        <v>I</v>
      </c>
      <c r="DK24" s="105" t="str">
        <f t="shared" si="27"/>
        <v/>
      </c>
      <c r="DL24" s="105" t="str">
        <f t="shared" si="28"/>
        <v>II</v>
      </c>
      <c r="DM24" s="105" t="str">
        <f t="shared" si="29"/>
        <v/>
      </c>
      <c r="DN24" s="105" t="str">
        <f t="shared" si="30"/>
        <v>B</v>
      </c>
      <c r="DO24" s="105" t="str">
        <f t="shared" si="31"/>
        <v>B</v>
      </c>
      <c r="DP24" s="105" t="str">
        <f t="shared" si="32"/>
        <v/>
      </c>
      <c r="DR24" s="118" t="str">
        <f t="shared" si="65"/>
        <v xml:space="preserve">    </v>
      </c>
      <c r="DS24" s="75"/>
      <c r="DT24" s="119" t="str">
        <f t="shared" si="66"/>
        <v xml:space="preserve">    </v>
      </c>
      <c r="DU24" s="136"/>
      <c r="DV24" s="119" t="str">
        <f t="shared" si="67"/>
        <v xml:space="preserve">    </v>
      </c>
      <c r="DW24" s="75"/>
      <c r="DX24" s="119" t="str">
        <f t="shared" si="68"/>
        <v xml:space="preserve">     </v>
      </c>
      <c r="DY24" s="75"/>
      <c r="DZ24" s="119" t="str">
        <f t="shared" si="69"/>
        <v xml:space="preserve">    </v>
      </c>
    </row>
    <row r="25" spans="1:130" ht="30" customHeight="1" x14ac:dyDescent="0.25">
      <c r="A25" s="105">
        <f>IF('Marks Entry'!A25="","",'Marks Entry'!A25)</f>
        <v>17</v>
      </c>
      <c r="B25" s="105">
        <f>IF('Marks Entry'!B25="","",'Marks Entry'!B25)</f>
        <v>922</v>
      </c>
      <c r="C25" s="105">
        <f>IF('Marks Entry'!C25="","",'Marks Entry'!C25)</f>
        <v>13188</v>
      </c>
      <c r="D25" s="48" t="str">
        <f>IF('Marks Entry'!D25="","",'Marks Entry'!D25)</f>
        <v>SHAILENDRA SINGH TANK</v>
      </c>
      <c r="E25" s="48" t="str">
        <f>IF('Marks Entry'!E25="","",'Marks Entry'!E25)</f>
        <v>VIKRAM SINGH</v>
      </c>
      <c r="F25" s="48" t="str">
        <f>IF('Marks Entry'!F25="","",'Marks Entry'!F25)</f>
        <v>GIRIJA DEVI</v>
      </c>
      <c r="G25" s="105" t="str">
        <f>IF('Marks Entry'!G25="","",'Marks Entry'!G25)</f>
        <v>BOY</v>
      </c>
      <c r="H25" s="49">
        <f>IF('Marks Entry'!H25="","",'Marks Entry'!H25)</f>
        <v>38918</v>
      </c>
      <c r="I25" s="105" t="str">
        <f>IF('Marks Entry'!I25="","",'Marks Entry'!I25)</f>
        <v>OBC</v>
      </c>
      <c r="J25" s="105">
        <f>IF('Marks Entry'!K25="","",'Marks Entry'!K25)</f>
        <v>10</v>
      </c>
      <c r="K25" s="105">
        <f>IF('Marks Entry'!L25="","",'Marks Entry'!L25)</f>
        <v>10</v>
      </c>
      <c r="L25" s="105">
        <f>IF(AND('Marks Entry'!M25="",'Marks Entry'!N25=""),"",SUM('Marks Entry'!M25:N25))</f>
        <v>40</v>
      </c>
      <c r="M25" s="105">
        <f>IF(AND('Marks Entry'!O25="",'Marks Entry'!P25=""),"",SUM('Marks Entry'!O25:P25))</f>
        <v>63</v>
      </c>
      <c r="N25" s="105">
        <f t="shared" si="2"/>
        <v>123</v>
      </c>
      <c r="O25" s="105" t="str">
        <f t="shared" si="33"/>
        <v>P</v>
      </c>
      <c r="P25" s="105" t="str">
        <f t="shared" si="34"/>
        <v>I</v>
      </c>
      <c r="Q25" s="105">
        <f>IF('Marks Entry'!R25="","",'Marks Entry'!R25)</f>
        <v>15</v>
      </c>
      <c r="R25" s="105">
        <f>IF('Marks Entry'!S25="","",'Marks Entry'!S25)</f>
        <v>15</v>
      </c>
      <c r="S25" s="105">
        <f>IF(AND('Marks Entry'!T25="",'Marks Entry'!U25=""),"",SUM('Marks Entry'!T25:U25))</f>
        <v>40</v>
      </c>
      <c r="T25" s="105">
        <f>IF(AND('Marks Entry'!V25="",'Marks Entry'!W25=""),"",SUM('Marks Entry'!V25:W25))</f>
        <v>54</v>
      </c>
      <c r="U25" s="105">
        <f t="shared" si="35"/>
        <v>124</v>
      </c>
      <c r="V25" s="105" t="str">
        <f t="shared" si="36"/>
        <v>P</v>
      </c>
      <c r="W25" s="105" t="str">
        <f t="shared" si="37"/>
        <v>I</v>
      </c>
      <c r="X25" s="47" t="str">
        <f>IF(B25="","",IF('Marks Entry'!Y25="",'Marks Entry'!$Y$4,'Marks Entry'!Y25))</f>
        <v>History</v>
      </c>
      <c r="Y25" s="105">
        <f>IF('Marks Entry'!Z25="","",'Marks Entry'!Z25)</f>
        <v>5</v>
      </c>
      <c r="Z25" s="105">
        <f>IF('Marks Entry'!AA25="","",'Marks Entry'!AA25)</f>
        <v>5</v>
      </c>
      <c r="AA25" s="105">
        <f>IF(AND('Marks Entry'!AB25="",'Marks Entry'!AC25=""),"",SUM('Marks Entry'!AB25:AC25))</f>
        <v>25</v>
      </c>
      <c r="AB25" s="105" t="str">
        <f>IF('Marks Entry'!AD25="","",'Marks Entry'!AD25)</f>
        <v/>
      </c>
      <c r="AC25" s="105">
        <f t="shared" si="38"/>
        <v>25</v>
      </c>
      <c r="AD25" s="105">
        <f>IF(AND('Marks Entry'!AE25="",'Marks Entry'!AF25=""),"",SUM('Marks Entry'!AE25:AF25))</f>
        <v>41</v>
      </c>
      <c r="AE25" s="105" t="str">
        <f>IF('Marks Entry'!AG25="","",'Marks Entry'!AG25)</f>
        <v/>
      </c>
      <c r="AF25" s="105">
        <f t="shared" si="39"/>
        <v>41</v>
      </c>
      <c r="AG25" s="105">
        <f t="shared" si="40"/>
        <v>76</v>
      </c>
      <c r="AH25" s="105" t="str">
        <f t="shared" si="41"/>
        <v>P</v>
      </c>
      <c r="AI25" s="105" t="str">
        <f t="shared" si="42"/>
        <v>III</v>
      </c>
      <c r="AJ25" s="47" t="str">
        <f>IF(B25="","",IF('Marks Entry'!AI25="",'Marks Entry'!$AI$4,'Marks Entry'!AI25))</f>
        <v>Political Science</v>
      </c>
      <c r="AK25" s="105">
        <f>IF('Marks Entry'!AJ25="","",'Marks Entry'!AJ25)</f>
        <v>15</v>
      </c>
      <c r="AL25" s="105">
        <f>IF('Marks Entry'!AK25="","",'Marks Entry'!AK25)</f>
        <v>15</v>
      </c>
      <c r="AM25" s="105">
        <f>IF(AND('Marks Entry'!AL25="",'Marks Entry'!AM25=""),"",SUM('Marks Entry'!AL25:AM25))</f>
        <v>40</v>
      </c>
      <c r="AN25" s="105" t="str">
        <f>IF('Marks Entry'!AN25="","",'Marks Entry'!AN25)</f>
        <v/>
      </c>
      <c r="AO25" s="105">
        <f t="shared" si="43"/>
        <v>40</v>
      </c>
      <c r="AP25" s="105">
        <f>IF(AND('Marks Entry'!AO25="",'Marks Entry'!AP25=""),"",SUM('Marks Entry'!AO25:AP25))</f>
        <v>75</v>
      </c>
      <c r="AQ25" s="105" t="str">
        <f>IF('Marks Entry'!AQ25="","",'Marks Entry'!AQ25)</f>
        <v/>
      </c>
      <c r="AR25" s="105">
        <f t="shared" si="44"/>
        <v>75</v>
      </c>
      <c r="AS25" s="105">
        <f t="shared" si="45"/>
        <v>145</v>
      </c>
      <c r="AT25" s="105" t="str">
        <f t="shared" si="46"/>
        <v>P</v>
      </c>
      <c r="AU25" s="105" t="str">
        <f t="shared" si="47"/>
        <v>I</v>
      </c>
      <c r="AV25" s="47" t="str">
        <f>IF(B25="","",IF('Marks Entry'!AS25="",'Marks Entry'!$AS$4,'Marks Entry'!AS25))</f>
        <v>Geography</v>
      </c>
      <c r="AW25" s="105">
        <f>IF('Marks Entry'!AT25="","",'Marks Entry'!AT25)</f>
        <v>15</v>
      </c>
      <c r="AX25" s="105">
        <f>IF('Marks Entry'!AU25="","",'Marks Entry'!AU25)</f>
        <v>15</v>
      </c>
      <c r="AY25" s="105">
        <f>IF(AND('Marks Entry'!AV25="",'Marks Entry'!AW25=""),"",SUM('Marks Entry'!AV25:AW25))</f>
        <v>20</v>
      </c>
      <c r="AZ25" s="105">
        <f>IF('Marks Entry'!AX25="","",'Marks Entry'!AX25)</f>
        <v>12</v>
      </c>
      <c r="BA25" s="105">
        <f t="shared" si="48"/>
        <v>32</v>
      </c>
      <c r="BB25" s="105">
        <f>IF(AND('Marks Entry'!AY25="",'Marks Entry'!AZ25=""),"",SUM('Marks Entry'!AY25:AZ25))</f>
        <v>38</v>
      </c>
      <c r="BC25" s="105">
        <f>IF('Marks Entry'!BA25="","",'Marks Entry'!BA25)</f>
        <v>16</v>
      </c>
      <c r="BD25" s="105">
        <f t="shared" si="49"/>
        <v>54</v>
      </c>
      <c r="BE25" s="105">
        <f t="shared" si="50"/>
        <v>116</v>
      </c>
      <c r="BF25" s="105" t="str">
        <f t="shared" si="51"/>
        <v>P</v>
      </c>
      <c r="BG25" s="105" t="str">
        <f t="shared" si="52"/>
        <v>II</v>
      </c>
      <c r="BH25" s="105">
        <f t="shared" si="53"/>
        <v>584</v>
      </c>
      <c r="BI25" s="50">
        <f t="shared" si="3"/>
        <v>0.58399999999999996</v>
      </c>
      <c r="BJ25" s="47" t="str">
        <f t="shared" si="4"/>
        <v>PASS</v>
      </c>
      <c r="BK25" s="105" t="str">
        <f t="shared" si="54"/>
        <v>2nd</v>
      </c>
      <c r="BL25" s="105">
        <f t="shared" si="55"/>
        <v>3.0000000000000018</v>
      </c>
      <c r="BM25" s="105">
        <f>IF(OR(B25="",'Marks Entry'!BY25=""),"",'Marks Entry'!BY25)</f>
        <v>400</v>
      </c>
      <c r="BN25" s="105">
        <f>IF(OR(B25="",'Marks Entry'!BZ25=""),"",'Marks Entry'!BZ25)</f>
        <v>300</v>
      </c>
      <c r="BO25" s="105">
        <f>IF('Marks Entry'!BC25="","",'Marks Entry'!BC25)</f>
        <v>15</v>
      </c>
      <c r="BP25" s="105">
        <f>IF('Marks Entry'!BD25="","",'Marks Entry'!BD25)</f>
        <v>15</v>
      </c>
      <c r="BQ25" s="105">
        <f>IF(AND('Marks Entry'!BE25="",'Marks Entry'!BF25=""),"",SUM('Marks Entry'!BE25:BF25))</f>
        <v>25</v>
      </c>
      <c r="BR25" s="105">
        <f>IF(AND('Marks Entry'!BG25="",'Marks Entry'!BH25=""),"",SUM('Marks Entry'!BG25:BH25))</f>
        <v>82</v>
      </c>
      <c r="BS25" s="105">
        <f t="shared" si="56"/>
        <v>137</v>
      </c>
      <c r="BT25" s="105" t="str">
        <f t="shared" si="57"/>
        <v>P</v>
      </c>
      <c r="BU25" s="105" t="str">
        <f t="shared" si="58"/>
        <v>B</v>
      </c>
      <c r="BV25" s="105">
        <f>IF('Marks Entry'!BJ25="","",'Marks Entry'!BJ25)</f>
        <v>15</v>
      </c>
      <c r="BW25" s="105">
        <f>IF('Marks Entry'!BK25="","",'Marks Entry'!BK25)</f>
        <v>15</v>
      </c>
      <c r="BX25" s="105">
        <f>IF(AND('Marks Entry'!BL25="",'Marks Entry'!BM25=""),"",SUM('Marks Entry'!BL25:BM25))</f>
        <v>25</v>
      </c>
      <c r="BY25" s="105">
        <f>IF(AND('Marks Entry'!BN25="",'Marks Entry'!BO25=""),"",SUM('Marks Entry'!BN25:BO25))</f>
        <v>82</v>
      </c>
      <c r="BZ25" s="105">
        <f t="shared" si="59"/>
        <v>137</v>
      </c>
      <c r="CA25" s="105" t="str">
        <f t="shared" si="60"/>
        <v>P</v>
      </c>
      <c r="CB25" s="105" t="str">
        <f t="shared" si="61"/>
        <v>B</v>
      </c>
      <c r="CC25" s="105" t="str">
        <f>IF('Marks Entry'!BQ25="","",'Marks Entry'!BQ25)</f>
        <v/>
      </c>
      <c r="CD25" s="105" t="str">
        <f>IF('Marks Entry'!BR25="","",'Marks Entry'!BR25)</f>
        <v/>
      </c>
      <c r="CE25" s="105" t="str">
        <f>IF(AND('Marks Entry'!BS25="",'Marks Entry'!BT25=""),"",SUM('Marks Entry'!BS25:BT25))</f>
        <v/>
      </c>
      <c r="CF25" s="105" t="str">
        <f>IF(AND('Marks Entry'!BU25="",'Marks Entry'!BV25=""),"",SUM('Marks Entry'!BU25:BV25))</f>
        <v/>
      </c>
      <c r="CG25" s="105" t="str">
        <f t="shared" si="62"/>
        <v/>
      </c>
      <c r="CH25" s="105" t="str">
        <f t="shared" si="63"/>
        <v/>
      </c>
      <c r="CI25" s="105" t="str">
        <f t="shared" si="64"/>
        <v/>
      </c>
      <c r="CJ25" s="81"/>
      <c r="CK25" s="50">
        <f t="shared" si="5"/>
        <v>0.58399999999999996</v>
      </c>
      <c r="CM25" s="105" t="str">
        <f t="shared" si="6"/>
        <v>P</v>
      </c>
      <c r="CN25" s="105" t="str">
        <f t="shared" si="7"/>
        <v>P</v>
      </c>
      <c r="CO25" s="105" t="str">
        <f t="shared" si="8"/>
        <v>P</v>
      </c>
      <c r="CP25" s="105" t="str">
        <f t="shared" si="9"/>
        <v>P</v>
      </c>
      <c r="CQ25" s="105" t="str">
        <f t="shared" si="10"/>
        <v>P</v>
      </c>
      <c r="CS25" s="105">
        <f t="shared" si="11"/>
        <v>0</v>
      </c>
      <c r="CT25" s="105">
        <f t="shared" si="12"/>
        <v>0</v>
      </c>
      <c r="CU25" s="105">
        <f t="shared" si="13"/>
        <v>0</v>
      </c>
      <c r="CV25" s="105">
        <f t="shared" si="14"/>
        <v>0</v>
      </c>
      <c r="CW25" s="81"/>
      <c r="CX25" s="105" t="str">
        <f t="shared" si="15"/>
        <v>I</v>
      </c>
      <c r="CY25" s="105" t="str">
        <f t="shared" si="16"/>
        <v>I</v>
      </c>
      <c r="CZ25" s="105" t="str">
        <f t="shared" si="17"/>
        <v>III</v>
      </c>
      <c r="DA25" s="105" t="str">
        <f t="shared" si="18"/>
        <v>I</v>
      </c>
      <c r="DB25" s="105" t="str">
        <f t="shared" si="19"/>
        <v>II</v>
      </c>
      <c r="DD25" s="105" t="str">
        <f t="shared" si="20"/>
        <v>I</v>
      </c>
      <c r="DE25" s="105" t="str">
        <f t="shared" si="21"/>
        <v/>
      </c>
      <c r="DF25" s="105" t="str">
        <f t="shared" si="22"/>
        <v>I</v>
      </c>
      <c r="DG25" s="105" t="str">
        <f t="shared" si="23"/>
        <v/>
      </c>
      <c r="DH25" s="105" t="str">
        <f t="shared" si="24"/>
        <v>III</v>
      </c>
      <c r="DI25" s="105" t="str">
        <f t="shared" si="25"/>
        <v/>
      </c>
      <c r="DJ25" s="105" t="str">
        <f t="shared" si="26"/>
        <v>I</v>
      </c>
      <c r="DK25" s="105" t="str">
        <f t="shared" si="27"/>
        <v/>
      </c>
      <c r="DL25" s="105" t="str">
        <f t="shared" si="28"/>
        <v>II</v>
      </c>
      <c r="DM25" s="105" t="str">
        <f t="shared" si="29"/>
        <v/>
      </c>
      <c r="DN25" s="105" t="str">
        <f t="shared" si="30"/>
        <v>B</v>
      </c>
      <c r="DO25" s="105" t="str">
        <f t="shared" si="31"/>
        <v>B</v>
      </c>
      <c r="DP25" s="105" t="str">
        <f t="shared" si="32"/>
        <v/>
      </c>
      <c r="DR25" s="118" t="str">
        <f t="shared" si="65"/>
        <v xml:space="preserve">    </v>
      </c>
      <c r="DS25" s="75"/>
      <c r="DT25" s="119" t="str">
        <f t="shared" si="66"/>
        <v xml:space="preserve">    </v>
      </c>
      <c r="DU25" s="136"/>
      <c r="DV25" s="119" t="str">
        <f t="shared" si="67"/>
        <v xml:space="preserve">    </v>
      </c>
      <c r="DW25" s="75"/>
      <c r="DX25" s="119" t="str">
        <f t="shared" si="68"/>
        <v xml:space="preserve">     </v>
      </c>
      <c r="DY25" s="75"/>
      <c r="DZ25" s="119" t="str">
        <f t="shared" si="69"/>
        <v xml:space="preserve">    </v>
      </c>
    </row>
    <row r="26" spans="1:130" ht="30" customHeight="1" x14ac:dyDescent="0.25">
      <c r="A26" s="105" t="str">
        <f>IF('Marks Entry'!A26="","",'Marks Entry'!A26)</f>
        <v/>
      </c>
      <c r="B26" s="105" t="str">
        <f>IF('Marks Entry'!B26="","",'Marks Entry'!B26)</f>
        <v/>
      </c>
      <c r="C26" s="105" t="str">
        <f>IF('Marks Entry'!C26="","",'Marks Entry'!C26)</f>
        <v/>
      </c>
      <c r="D26" s="48" t="str">
        <f>IF('Marks Entry'!D26="","",'Marks Entry'!D26)</f>
        <v/>
      </c>
      <c r="E26" s="48" t="str">
        <f>IF('Marks Entry'!E26="","",'Marks Entry'!E26)</f>
        <v/>
      </c>
      <c r="F26" s="48" t="str">
        <f>IF('Marks Entry'!F26="","",'Marks Entry'!F26)</f>
        <v/>
      </c>
      <c r="G26" s="105" t="str">
        <f>IF('Marks Entry'!G26="","",'Marks Entry'!G26)</f>
        <v/>
      </c>
      <c r="H26" s="49" t="str">
        <f>IF('Marks Entry'!H26="","",'Marks Entry'!H26)</f>
        <v/>
      </c>
      <c r="I26" s="105" t="str">
        <f>IF('Marks Entry'!I26="","",'Marks Entry'!I26)</f>
        <v/>
      </c>
      <c r="J26" s="105">
        <f>IF('Marks Entry'!K26="","",'Marks Entry'!K26)</f>
        <v>10</v>
      </c>
      <c r="K26" s="105">
        <f>IF('Marks Entry'!L26="","",'Marks Entry'!L26)</f>
        <v>10</v>
      </c>
      <c r="L26" s="105">
        <f>IF(AND('Marks Entry'!M26="",'Marks Entry'!N26=""),"",SUM('Marks Entry'!M26:N26))</f>
        <v>16</v>
      </c>
      <c r="M26" s="105">
        <f>IF(AND('Marks Entry'!O26="",'Marks Entry'!P26=""),"",SUM('Marks Entry'!O26:P26))</f>
        <v>64</v>
      </c>
      <c r="N26" s="105">
        <f t="shared" si="2"/>
        <v>100</v>
      </c>
      <c r="O26" s="105" t="str">
        <f t="shared" si="33"/>
        <v/>
      </c>
      <c r="P26" s="105" t="str">
        <f t="shared" si="34"/>
        <v/>
      </c>
      <c r="Q26" s="105">
        <f>IF('Marks Entry'!R26="","",'Marks Entry'!R26)</f>
        <v>5</v>
      </c>
      <c r="R26" s="105">
        <f>IF('Marks Entry'!S26="","",'Marks Entry'!S26)</f>
        <v>10</v>
      </c>
      <c r="S26" s="105">
        <f>IF(AND('Marks Entry'!T26="",'Marks Entry'!U26=""),"",SUM('Marks Entry'!T26:U26))</f>
        <v>16</v>
      </c>
      <c r="T26" s="105">
        <f>IF(AND('Marks Entry'!V26="",'Marks Entry'!W26=""),"",SUM('Marks Entry'!V26:W26))</f>
        <v>55</v>
      </c>
      <c r="U26" s="105">
        <f t="shared" si="35"/>
        <v>86</v>
      </c>
      <c r="V26" s="105" t="str">
        <f t="shared" si="36"/>
        <v/>
      </c>
      <c r="W26" s="105" t="str">
        <f t="shared" si="37"/>
        <v/>
      </c>
      <c r="X26" s="47" t="str">
        <f>IF(B26="","",IF('Marks Entry'!Y26="",'Marks Entry'!$Y$4,'Marks Entry'!Y26))</f>
        <v/>
      </c>
      <c r="Y26" s="105">
        <f>IF('Marks Entry'!Z26="","",'Marks Entry'!Z26)</f>
        <v>12</v>
      </c>
      <c r="Z26" s="105">
        <f>IF('Marks Entry'!AA26="","",'Marks Entry'!AA26)</f>
        <v>10</v>
      </c>
      <c r="AA26" s="105">
        <f>IF(AND('Marks Entry'!AB26="",'Marks Entry'!AC26=""),"",SUM('Marks Entry'!AB26:AC26))</f>
        <v>16</v>
      </c>
      <c r="AB26" s="105" t="str">
        <f>IF('Marks Entry'!AD26="","",'Marks Entry'!AD26)</f>
        <v/>
      </c>
      <c r="AC26" s="105">
        <f t="shared" si="38"/>
        <v>16</v>
      </c>
      <c r="AD26" s="105">
        <f>IF(AND('Marks Entry'!AE26="",'Marks Entry'!AF26=""),"",SUM('Marks Entry'!AE26:AF26))</f>
        <v>51</v>
      </c>
      <c r="AE26" s="105" t="str">
        <f>IF('Marks Entry'!AG26="","",'Marks Entry'!AG26)</f>
        <v/>
      </c>
      <c r="AF26" s="105">
        <f t="shared" si="39"/>
        <v>51</v>
      </c>
      <c r="AG26" s="105">
        <f t="shared" si="40"/>
        <v>89</v>
      </c>
      <c r="AH26" s="105" t="str">
        <f t="shared" si="41"/>
        <v/>
      </c>
      <c r="AI26" s="105" t="str">
        <f t="shared" si="42"/>
        <v/>
      </c>
      <c r="AJ26" s="47" t="str">
        <f>IF(B26="","",IF('Marks Entry'!AI26="",'Marks Entry'!$AI$4,'Marks Entry'!AI26))</f>
        <v/>
      </c>
      <c r="AK26" s="105">
        <f>IF('Marks Entry'!AJ26="","",'Marks Entry'!AJ26)</f>
        <v>6</v>
      </c>
      <c r="AL26" s="105">
        <f>IF('Marks Entry'!AK26="","",'Marks Entry'!AK26)</f>
        <v>10</v>
      </c>
      <c r="AM26" s="105">
        <f>IF(AND('Marks Entry'!AL26="",'Marks Entry'!AM26=""),"",SUM('Marks Entry'!AL26:AM26))</f>
        <v>16</v>
      </c>
      <c r="AN26" s="105" t="str">
        <f>IF('Marks Entry'!AN26="","",'Marks Entry'!AN26)</f>
        <v/>
      </c>
      <c r="AO26" s="105">
        <f t="shared" si="43"/>
        <v>16</v>
      </c>
      <c r="AP26" s="105">
        <f>IF(AND('Marks Entry'!AO26="",'Marks Entry'!AP26=""),"",SUM('Marks Entry'!AO26:AP26))</f>
        <v>50</v>
      </c>
      <c r="AQ26" s="105" t="str">
        <f>IF('Marks Entry'!AQ26="","",'Marks Entry'!AQ26)</f>
        <v/>
      </c>
      <c r="AR26" s="105">
        <f t="shared" si="44"/>
        <v>50</v>
      </c>
      <c r="AS26" s="105">
        <f t="shared" si="45"/>
        <v>82</v>
      </c>
      <c r="AT26" s="105" t="str">
        <f t="shared" si="46"/>
        <v/>
      </c>
      <c r="AU26" s="105" t="str">
        <f t="shared" si="47"/>
        <v/>
      </c>
      <c r="AV26" s="47" t="str">
        <f>IF(B26="","",IF('Marks Entry'!AS26="",'Marks Entry'!$AS$4,'Marks Entry'!AS26))</f>
        <v/>
      </c>
      <c r="AW26" s="105">
        <f>IF('Marks Entry'!AT26="","",'Marks Entry'!AT26)</f>
        <v>15</v>
      </c>
      <c r="AX26" s="105">
        <f>IF('Marks Entry'!AU26="","",'Marks Entry'!AU26)</f>
        <v>10</v>
      </c>
      <c r="AY26" s="105">
        <f>IF(AND('Marks Entry'!AV26="",'Marks Entry'!AW26=""),"",SUM('Marks Entry'!AV26:AW26))</f>
        <v>25</v>
      </c>
      <c r="AZ26" s="105">
        <f>IF('Marks Entry'!AX26="","",'Marks Entry'!AX26)</f>
        <v>14</v>
      </c>
      <c r="BA26" s="105">
        <f t="shared" si="48"/>
        <v>39</v>
      </c>
      <c r="BB26" s="105">
        <f>IF(AND('Marks Entry'!AY26="",'Marks Entry'!AZ26=""),"",SUM('Marks Entry'!AY26:AZ26))</f>
        <v>38</v>
      </c>
      <c r="BC26" s="105">
        <f>IF('Marks Entry'!BA26="","",'Marks Entry'!BA26)</f>
        <v>10</v>
      </c>
      <c r="BD26" s="105">
        <f t="shared" si="49"/>
        <v>48</v>
      </c>
      <c r="BE26" s="105">
        <f t="shared" si="50"/>
        <v>112</v>
      </c>
      <c r="BF26" s="105" t="str">
        <f t="shared" si="51"/>
        <v/>
      </c>
      <c r="BG26" s="105" t="str">
        <f t="shared" si="52"/>
        <v/>
      </c>
      <c r="BH26" s="105" t="str">
        <f t="shared" si="53"/>
        <v/>
      </c>
      <c r="BI26" s="50" t="str">
        <f t="shared" si="3"/>
        <v/>
      </c>
      <c r="BJ26" s="47" t="str">
        <f t="shared" si="4"/>
        <v/>
      </c>
      <c r="BK26" s="105" t="str">
        <f t="shared" si="54"/>
        <v/>
      </c>
      <c r="BL26" s="105" t="str">
        <f t="shared" si="55"/>
        <v/>
      </c>
      <c r="BM26" s="105" t="str">
        <f>IF(OR(B26="",'Marks Entry'!BY26=""),"",'Marks Entry'!BY26)</f>
        <v/>
      </c>
      <c r="BN26" s="105" t="str">
        <f>IF(OR(B26="",'Marks Entry'!BZ26=""),"",'Marks Entry'!BZ26)</f>
        <v/>
      </c>
      <c r="BO26" s="105">
        <f>IF('Marks Entry'!BC26="","",'Marks Entry'!BC26)</f>
        <v>15</v>
      </c>
      <c r="BP26" s="105">
        <f>IF('Marks Entry'!BD26="","",'Marks Entry'!BD26)</f>
        <v>15</v>
      </c>
      <c r="BQ26" s="105">
        <f>IF(AND('Marks Entry'!BE26="",'Marks Entry'!BF26=""),"",SUM('Marks Entry'!BE26:BF26))</f>
        <v>25</v>
      </c>
      <c r="BR26" s="105">
        <f>IF(AND('Marks Entry'!BG26="",'Marks Entry'!BH26=""),"",SUM('Marks Entry'!BG26:BH26))</f>
        <v>82</v>
      </c>
      <c r="BS26" s="105">
        <f t="shared" si="56"/>
        <v>137</v>
      </c>
      <c r="BT26" s="105" t="str">
        <f t="shared" si="57"/>
        <v/>
      </c>
      <c r="BU26" s="105" t="str">
        <f t="shared" si="58"/>
        <v/>
      </c>
      <c r="BV26" s="105">
        <f>IF('Marks Entry'!BJ26="","",'Marks Entry'!BJ26)</f>
        <v>15</v>
      </c>
      <c r="BW26" s="105">
        <f>IF('Marks Entry'!BK26="","",'Marks Entry'!BK26)</f>
        <v>15</v>
      </c>
      <c r="BX26" s="105">
        <f>IF(AND('Marks Entry'!BL26="",'Marks Entry'!BM26=""),"",SUM('Marks Entry'!BL26:BM26))</f>
        <v>25</v>
      </c>
      <c r="BY26" s="105">
        <f>IF(AND('Marks Entry'!BN26="",'Marks Entry'!BO26=""),"",SUM('Marks Entry'!BN26:BO26))</f>
        <v>82</v>
      </c>
      <c r="BZ26" s="105">
        <f t="shared" si="59"/>
        <v>137</v>
      </c>
      <c r="CA26" s="105" t="str">
        <f t="shared" si="60"/>
        <v/>
      </c>
      <c r="CB26" s="105" t="str">
        <f t="shared" si="61"/>
        <v/>
      </c>
      <c r="CC26" s="105" t="str">
        <f>IF('Marks Entry'!BQ26="","",'Marks Entry'!BQ26)</f>
        <v/>
      </c>
      <c r="CD26" s="105" t="str">
        <f>IF('Marks Entry'!BR26="","",'Marks Entry'!BR26)</f>
        <v/>
      </c>
      <c r="CE26" s="105" t="str">
        <f>IF(AND('Marks Entry'!BS26="",'Marks Entry'!BT26=""),"",SUM('Marks Entry'!BS26:BT26))</f>
        <v/>
      </c>
      <c r="CF26" s="105" t="str">
        <f>IF(AND('Marks Entry'!BU26="",'Marks Entry'!BV26=""),"",SUM('Marks Entry'!BU26:BV26))</f>
        <v/>
      </c>
      <c r="CG26" s="105" t="str">
        <f t="shared" si="62"/>
        <v/>
      </c>
      <c r="CH26" s="105" t="str">
        <f t="shared" si="63"/>
        <v/>
      </c>
      <c r="CI26" s="105" t="str">
        <f t="shared" si="64"/>
        <v/>
      </c>
      <c r="CJ26" s="81"/>
      <c r="CK26" s="50" t="str">
        <f t="shared" si="5"/>
        <v/>
      </c>
      <c r="CM26" s="105" t="str">
        <f t="shared" si="6"/>
        <v/>
      </c>
      <c r="CN26" s="105" t="str">
        <f t="shared" si="7"/>
        <v/>
      </c>
      <c r="CO26" s="105" t="str">
        <f t="shared" si="8"/>
        <v/>
      </c>
      <c r="CP26" s="105" t="str">
        <f t="shared" si="9"/>
        <v/>
      </c>
      <c r="CQ26" s="105" t="str">
        <f t="shared" si="10"/>
        <v/>
      </c>
      <c r="CS26" s="105">
        <f t="shared" si="11"/>
        <v>0</v>
      </c>
      <c r="CT26" s="105">
        <f t="shared" si="12"/>
        <v>0</v>
      </c>
      <c r="CU26" s="105">
        <f t="shared" si="13"/>
        <v>0</v>
      </c>
      <c r="CV26" s="105">
        <f t="shared" si="14"/>
        <v>0</v>
      </c>
      <c r="CW26" s="81"/>
      <c r="CX26" s="105" t="str">
        <f t="shared" si="15"/>
        <v/>
      </c>
      <c r="CY26" s="105" t="str">
        <f t="shared" si="16"/>
        <v/>
      </c>
      <c r="CZ26" s="105" t="str">
        <f t="shared" si="17"/>
        <v/>
      </c>
      <c r="DA26" s="105" t="str">
        <f t="shared" si="18"/>
        <v/>
      </c>
      <c r="DB26" s="105" t="str">
        <f t="shared" si="19"/>
        <v/>
      </c>
      <c r="DD26" s="105" t="str">
        <f t="shared" si="20"/>
        <v/>
      </c>
      <c r="DE26" s="105" t="str">
        <f t="shared" si="21"/>
        <v/>
      </c>
      <c r="DF26" s="105" t="str">
        <f t="shared" si="22"/>
        <v/>
      </c>
      <c r="DG26" s="105" t="str">
        <f t="shared" si="23"/>
        <v/>
      </c>
      <c r="DH26" s="105" t="str">
        <f t="shared" si="24"/>
        <v/>
      </c>
      <c r="DI26" s="105" t="str">
        <f t="shared" si="25"/>
        <v/>
      </c>
      <c r="DJ26" s="105" t="str">
        <f t="shared" si="26"/>
        <v/>
      </c>
      <c r="DK26" s="105" t="str">
        <f t="shared" si="27"/>
        <v/>
      </c>
      <c r="DL26" s="105" t="str">
        <f t="shared" si="28"/>
        <v/>
      </c>
      <c r="DM26" s="105" t="str">
        <f t="shared" si="29"/>
        <v/>
      </c>
      <c r="DN26" s="105" t="str">
        <f t="shared" si="30"/>
        <v/>
      </c>
      <c r="DO26" s="105" t="str">
        <f t="shared" si="31"/>
        <v/>
      </c>
      <c r="DP26" s="105" t="str">
        <f t="shared" si="32"/>
        <v/>
      </c>
      <c r="DR26" s="118" t="str">
        <f t="shared" si="65"/>
        <v xml:space="preserve">    </v>
      </c>
      <c r="DS26" s="75"/>
      <c r="DT26" s="119" t="str">
        <f t="shared" si="66"/>
        <v xml:space="preserve">    </v>
      </c>
      <c r="DU26" s="136"/>
      <c r="DV26" s="119" t="str">
        <f t="shared" si="67"/>
        <v xml:space="preserve">    </v>
      </c>
      <c r="DW26" s="75"/>
      <c r="DX26" s="119" t="str">
        <f t="shared" si="68"/>
        <v xml:space="preserve">     </v>
      </c>
      <c r="DY26" s="75"/>
      <c r="DZ26" s="119" t="str">
        <f t="shared" si="69"/>
        <v xml:space="preserve">    </v>
      </c>
    </row>
    <row r="27" spans="1:130" ht="30" customHeight="1" x14ac:dyDescent="0.25">
      <c r="A27" s="105" t="str">
        <f>IF('Marks Entry'!A27="","",'Marks Entry'!A27)</f>
        <v/>
      </c>
      <c r="B27" s="105" t="str">
        <f>IF('Marks Entry'!B27="","",'Marks Entry'!B27)</f>
        <v/>
      </c>
      <c r="C27" s="105" t="str">
        <f>IF('Marks Entry'!C27="","",'Marks Entry'!C27)</f>
        <v/>
      </c>
      <c r="D27" s="48" t="str">
        <f>IF('Marks Entry'!D27="","",'Marks Entry'!D27)</f>
        <v/>
      </c>
      <c r="E27" s="48" t="str">
        <f>IF('Marks Entry'!E27="","",'Marks Entry'!E27)</f>
        <v/>
      </c>
      <c r="F27" s="48" t="str">
        <f>IF('Marks Entry'!F27="","",'Marks Entry'!F27)</f>
        <v/>
      </c>
      <c r="G27" s="105" t="str">
        <f>IF('Marks Entry'!G27="","",'Marks Entry'!G27)</f>
        <v/>
      </c>
      <c r="H27" s="49" t="str">
        <f>IF('Marks Entry'!H27="","",'Marks Entry'!H27)</f>
        <v/>
      </c>
      <c r="I27" s="105" t="str">
        <f>IF('Marks Entry'!I27="","",'Marks Entry'!I27)</f>
        <v/>
      </c>
      <c r="J27" s="105">
        <f>IF('Marks Entry'!K27="","",'Marks Entry'!K27)</f>
        <v>15</v>
      </c>
      <c r="K27" s="105">
        <f>IF('Marks Entry'!L27="","",'Marks Entry'!L27)</f>
        <v>15</v>
      </c>
      <c r="L27" s="105">
        <f>IF(AND('Marks Entry'!M27="",'Marks Entry'!N27=""),"",SUM('Marks Entry'!M27:N27))</f>
        <v>30</v>
      </c>
      <c r="M27" s="105">
        <f>IF(AND('Marks Entry'!O27="",'Marks Entry'!P27=""),"",SUM('Marks Entry'!O27:P27))</f>
        <v>65</v>
      </c>
      <c r="N27" s="105">
        <f t="shared" si="2"/>
        <v>125</v>
      </c>
      <c r="O27" s="105" t="str">
        <f t="shared" si="33"/>
        <v/>
      </c>
      <c r="P27" s="105" t="str">
        <f t="shared" si="34"/>
        <v/>
      </c>
      <c r="Q27" s="105">
        <f>IF('Marks Entry'!R27="","",'Marks Entry'!R27)</f>
        <v>10</v>
      </c>
      <c r="R27" s="105">
        <f>IF('Marks Entry'!S27="","",'Marks Entry'!S27)</f>
        <v>10</v>
      </c>
      <c r="S27" s="105">
        <f>IF(AND('Marks Entry'!T27="",'Marks Entry'!U27=""),"",SUM('Marks Entry'!T27:U27))</f>
        <v>20</v>
      </c>
      <c r="T27" s="105">
        <f>IF(AND('Marks Entry'!V27="",'Marks Entry'!W27=""),"",SUM('Marks Entry'!V27:W27))</f>
        <v>56</v>
      </c>
      <c r="U27" s="105">
        <f t="shared" si="35"/>
        <v>96</v>
      </c>
      <c r="V27" s="105" t="str">
        <f t="shared" si="36"/>
        <v/>
      </c>
      <c r="W27" s="105" t="str">
        <f t="shared" si="37"/>
        <v/>
      </c>
      <c r="X27" s="47" t="str">
        <f>IF(B27="","",IF('Marks Entry'!Y27="",'Marks Entry'!$Y$4,'Marks Entry'!Y27))</f>
        <v/>
      </c>
      <c r="Y27" s="105">
        <f>IF('Marks Entry'!Z27="","",'Marks Entry'!Z27)</f>
        <v>10</v>
      </c>
      <c r="Z27" s="105">
        <f>IF('Marks Entry'!AA27="","",'Marks Entry'!AA27)</f>
        <v>10</v>
      </c>
      <c r="AA27" s="105">
        <f>IF(AND('Marks Entry'!AB27="",'Marks Entry'!AC27=""),"",SUM('Marks Entry'!AB27:AC27))</f>
        <v>40</v>
      </c>
      <c r="AB27" s="105" t="str">
        <f>IF('Marks Entry'!AD27="","",'Marks Entry'!AD27)</f>
        <v/>
      </c>
      <c r="AC27" s="105">
        <f t="shared" si="38"/>
        <v>40</v>
      </c>
      <c r="AD27" s="105">
        <f>IF(AND('Marks Entry'!AE27="",'Marks Entry'!AF27=""),"",SUM('Marks Entry'!AE27:AF27))</f>
        <v>41</v>
      </c>
      <c r="AE27" s="105" t="str">
        <f>IF('Marks Entry'!AG27="","",'Marks Entry'!AG27)</f>
        <v/>
      </c>
      <c r="AF27" s="105">
        <f t="shared" si="39"/>
        <v>41</v>
      </c>
      <c r="AG27" s="105">
        <f t="shared" si="40"/>
        <v>101</v>
      </c>
      <c r="AH27" s="105" t="str">
        <f t="shared" si="41"/>
        <v/>
      </c>
      <c r="AI27" s="105" t="str">
        <f t="shared" si="42"/>
        <v/>
      </c>
      <c r="AJ27" s="47" t="str">
        <f>IF(B27="","",IF('Marks Entry'!AI27="",'Marks Entry'!$AI$4,'Marks Entry'!AI27))</f>
        <v/>
      </c>
      <c r="AK27" s="105">
        <f>IF('Marks Entry'!AJ27="","",'Marks Entry'!AJ27)</f>
        <v>10</v>
      </c>
      <c r="AL27" s="105">
        <f>IF('Marks Entry'!AK27="","",'Marks Entry'!AK27)</f>
        <v>10</v>
      </c>
      <c r="AM27" s="105">
        <f>IF(AND('Marks Entry'!AL27="",'Marks Entry'!AM27=""),"",SUM('Marks Entry'!AL27:AM27))</f>
        <v>40</v>
      </c>
      <c r="AN27" s="105" t="str">
        <f>IF('Marks Entry'!AN27="","",'Marks Entry'!AN27)</f>
        <v/>
      </c>
      <c r="AO27" s="105">
        <f t="shared" si="43"/>
        <v>40</v>
      </c>
      <c r="AP27" s="105">
        <f>IF(AND('Marks Entry'!AO27="",'Marks Entry'!AP27=""),"",SUM('Marks Entry'!AO27:AP27))</f>
        <v>55</v>
      </c>
      <c r="AQ27" s="105" t="str">
        <f>IF('Marks Entry'!AQ27="","",'Marks Entry'!AQ27)</f>
        <v/>
      </c>
      <c r="AR27" s="105">
        <f t="shared" si="44"/>
        <v>55</v>
      </c>
      <c r="AS27" s="105">
        <f t="shared" si="45"/>
        <v>115</v>
      </c>
      <c r="AT27" s="105" t="str">
        <f t="shared" si="46"/>
        <v/>
      </c>
      <c r="AU27" s="105" t="str">
        <f t="shared" si="47"/>
        <v/>
      </c>
      <c r="AV27" s="47" t="str">
        <f>IF(B27="","",IF('Marks Entry'!AS27="",'Marks Entry'!$AS$4,'Marks Entry'!AS27))</f>
        <v/>
      </c>
      <c r="AW27" s="105">
        <f>IF('Marks Entry'!AT27="","",'Marks Entry'!AT27)</f>
        <v>10</v>
      </c>
      <c r="AX27" s="105">
        <f>IF('Marks Entry'!AU27="","",'Marks Entry'!AU27)</f>
        <v>10</v>
      </c>
      <c r="AY27" s="105">
        <f>IF(AND('Marks Entry'!AV27="",'Marks Entry'!AW27=""),"",SUM('Marks Entry'!AV27:AW27))</f>
        <v>21</v>
      </c>
      <c r="AZ27" s="105">
        <f>IF('Marks Entry'!AX27="","",'Marks Entry'!AX27)</f>
        <v>10</v>
      </c>
      <c r="BA27" s="105">
        <f t="shared" si="48"/>
        <v>31</v>
      </c>
      <c r="BB27" s="105">
        <f>IF(AND('Marks Entry'!AY27="",'Marks Entry'!AZ27=""),"",SUM('Marks Entry'!AY27:AZ27))</f>
        <v>31</v>
      </c>
      <c r="BC27" s="105">
        <f>IF('Marks Entry'!BA27="","",'Marks Entry'!BA27)</f>
        <v>15</v>
      </c>
      <c r="BD27" s="105">
        <f t="shared" si="49"/>
        <v>46</v>
      </c>
      <c r="BE27" s="105">
        <f t="shared" si="50"/>
        <v>97</v>
      </c>
      <c r="BF27" s="105" t="str">
        <f t="shared" si="51"/>
        <v/>
      </c>
      <c r="BG27" s="105" t="str">
        <f t="shared" si="52"/>
        <v/>
      </c>
      <c r="BH27" s="105" t="str">
        <f t="shared" si="53"/>
        <v/>
      </c>
      <c r="BI27" s="50" t="str">
        <f t="shared" si="3"/>
        <v/>
      </c>
      <c r="BJ27" s="47" t="str">
        <f t="shared" si="4"/>
        <v/>
      </c>
      <c r="BK27" s="105" t="str">
        <f t="shared" si="54"/>
        <v/>
      </c>
      <c r="BL27" s="105" t="str">
        <f t="shared" si="55"/>
        <v/>
      </c>
      <c r="BM27" s="105" t="str">
        <f>IF(OR(B27="",'Marks Entry'!BY27=""),"",'Marks Entry'!BY27)</f>
        <v/>
      </c>
      <c r="BN27" s="105" t="str">
        <f>IF(OR(B27="",'Marks Entry'!BZ27=""),"",'Marks Entry'!BZ27)</f>
        <v/>
      </c>
      <c r="BO27" s="105">
        <f>IF('Marks Entry'!BC27="","",'Marks Entry'!BC27)</f>
        <v>15</v>
      </c>
      <c r="BP27" s="105">
        <f>IF('Marks Entry'!BD27="","",'Marks Entry'!BD27)</f>
        <v>15</v>
      </c>
      <c r="BQ27" s="105">
        <f>IF(AND('Marks Entry'!BE27="",'Marks Entry'!BF27=""),"",SUM('Marks Entry'!BE27:BF27))</f>
        <v>25</v>
      </c>
      <c r="BR27" s="105">
        <f>IF(AND('Marks Entry'!BG27="",'Marks Entry'!BH27=""),"",SUM('Marks Entry'!BG27:BH27))</f>
        <v>82</v>
      </c>
      <c r="BS27" s="105">
        <f t="shared" si="56"/>
        <v>137</v>
      </c>
      <c r="BT27" s="105" t="str">
        <f t="shared" si="57"/>
        <v/>
      </c>
      <c r="BU27" s="105" t="str">
        <f t="shared" si="58"/>
        <v/>
      </c>
      <c r="BV27" s="105">
        <f>IF('Marks Entry'!BJ27="","",'Marks Entry'!BJ27)</f>
        <v>15</v>
      </c>
      <c r="BW27" s="105">
        <f>IF('Marks Entry'!BK27="","",'Marks Entry'!BK27)</f>
        <v>15</v>
      </c>
      <c r="BX27" s="105">
        <f>IF(AND('Marks Entry'!BL27="",'Marks Entry'!BM27=""),"",SUM('Marks Entry'!BL27:BM27))</f>
        <v>25</v>
      </c>
      <c r="BY27" s="105">
        <f>IF(AND('Marks Entry'!BN27="",'Marks Entry'!BO27=""),"",SUM('Marks Entry'!BN27:BO27))</f>
        <v>82</v>
      </c>
      <c r="BZ27" s="105">
        <f t="shared" si="59"/>
        <v>137</v>
      </c>
      <c r="CA27" s="105" t="str">
        <f t="shared" si="60"/>
        <v/>
      </c>
      <c r="CB27" s="105" t="str">
        <f t="shared" si="61"/>
        <v/>
      </c>
      <c r="CC27" s="105" t="str">
        <f>IF('Marks Entry'!BQ27="","",'Marks Entry'!BQ27)</f>
        <v/>
      </c>
      <c r="CD27" s="105" t="str">
        <f>IF('Marks Entry'!BR27="","",'Marks Entry'!BR27)</f>
        <v/>
      </c>
      <c r="CE27" s="105" t="str">
        <f>IF(AND('Marks Entry'!BS27="",'Marks Entry'!BT27=""),"",SUM('Marks Entry'!BS27:BT27))</f>
        <v/>
      </c>
      <c r="CF27" s="105" t="str">
        <f>IF(AND('Marks Entry'!BU27="",'Marks Entry'!BV27=""),"",SUM('Marks Entry'!BU27:BV27))</f>
        <v/>
      </c>
      <c r="CG27" s="105" t="str">
        <f t="shared" si="62"/>
        <v/>
      </c>
      <c r="CH27" s="105" t="str">
        <f t="shared" si="63"/>
        <v/>
      </c>
      <c r="CI27" s="105" t="str">
        <f t="shared" si="64"/>
        <v/>
      </c>
      <c r="CJ27" s="81"/>
      <c r="CK27" s="50" t="str">
        <f t="shared" si="5"/>
        <v/>
      </c>
      <c r="CM27" s="105" t="str">
        <f t="shared" si="6"/>
        <v/>
      </c>
      <c r="CN27" s="105" t="str">
        <f t="shared" si="7"/>
        <v/>
      </c>
      <c r="CO27" s="105" t="str">
        <f t="shared" si="8"/>
        <v/>
      </c>
      <c r="CP27" s="105" t="str">
        <f t="shared" si="9"/>
        <v/>
      </c>
      <c r="CQ27" s="105" t="str">
        <f t="shared" si="10"/>
        <v/>
      </c>
      <c r="CS27" s="105">
        <f t="shared" si="11"/>
        <v>0</v>
      </c>
      <c r="CT27" s="105">
        <f t="shared" si="12"/>
        <v>0</v>
      </c>
      <c r="CU27" s="105">
        <f t="shared" si="13"/>
        <v>0</v>
      </c>
      <c r="CV27" s="105">
        <f t="shared" si="14"/>
        <v>0</v>
      </c>
      <c r="CW27" s="81"/>
      <c r="CX27" s="105" t="str">
        <f t="shared" si="15"/>
        <v/>
      </c>
      <c r="CY27" s="105" t="str">
        <f t="shared" si="16"/>
        <v/>
      </c>
      <c r="CZ27" s="105" t="str">
        <f t="shared" si="17"/>
        <v/>
      </c>
      <c r="DA27" s="105" t="str">
        <f t="shared" si="18"/>
        <v/>
      </c>
      <c r="DB27" s="105" t="str">
        <f t="shared" si="19"/>
        <v/>
      </c>
      <c r="DD27" s="105" t="str">
        <f t="shared" si="20"/>
        <v/>
      </c>
      <c r="DE27" s="105" t="str">
        <f t="shared" si="21"/>
        <v/>
      </c>
      <c r="DF27" s="105" t="str">
        <f t="shared" si="22"/>
        <v/>
      </c>
      <c r="DG27" s="105" t="str">
        <f t="shared" si="23"/>
        <v/>
      </c>
      <c r="DH27" s="105" t="str">
        <f t="shared" si="24"/>
        <v/>
      </c>
      <c r="DI27" s="105" t="str">
        <f t="shared" si="25"/>
        <v/>
      </c>
      <c r="DJ27" s="105" t="str">
        <f t="shared" si="26"/>
        <v/>
      </c>
      <c r="DK27" s="105" t="str">
        <f t="shared" si="27"/>
        <v/>
      </c>
      <c r="DL27" s="105" t="str">
        <f t="shared" si="28"/>
        <v/>
      </c>
      <c r="DM27" s="105" t="str">
        <f t="shared" si="29"/>
        <v/>
      </c>
      <c r="DN27" s="105" t="str">
        <f t="shared" si="30"/>
        <v/>
      </c>
      <c r="DO27" s="105" t="str">
        <f t="shared" si="31"/>
        <v/>
      </c>
      <c r="DP27" s="105" t="str">
        <f t="shared" si="32"/>
        <v/>
      </c>
      <c r="DR27" s="118" t="str">
        <f t="shared" si="65"/>
        <v xml:space="preserve">    </v>
      </c>
      <c r="DS27" s="75"/>
      <c r="DT27" s="119" t="str">
        <f t="shared" si="66"/>
        <v xml:space="preserve">    </v>
      </c>
      <c r="DU27" s="136"/>
      <c r="DV27" s="119" t="str">
        <f t="shared" si="67"/>
        <v xml:space="preserve">    </v>
      </c>
      <c r="DW27" s="75"/>
      <c r="DX27" s="119" t="str">
        <f t="shared" si="68"/>
        <v xml:space="preserve">     </v>
      </c>
      <c r="DY27" s="75"/>
      <c r="DZ27" s="119" t="str">
        <f t="shared" si="69"/>
        <v xml:space="preserve">    </v>
      </c>
    </row>
    <row r="28" spans="1:130" ht="30" customHeight="1" x14ac:dyDescent="0.25">
      <c r="A28" s="105" t="str">
        <f>IF('Marks Entry'!A28="","",'Marks Entry'!A28)</f>
        <v/>
      </c>
      <c r="B28" s="105" t="str">
        <f>IF('Marks Entry'!B28="","",'Marks Entry'!B28)</f>
        <v/>
      </c>
      <c r="C28" s="105" t="str">
        <f>IF('Marks Entry'!C28="","",'Marks Entry'!C28)</f>
        <v/>
      </c>
      <c r="D28" s="48" t="str">
        <f>IF('Marks Entry'!D28="","",'Marks Entry'!D28)</f>
        <v/>
      </c>
      <c r="E28" s="48" t="str">
        <f>IF('Marks Entry'!E28="","",'Marks Entry'!E28)</f>
        <v/>
      </c>
      <c r="F28" s="48" t="str">
        <f>IF('Marks Entry'!F28="","",'Marks Entry'!F28)</f>
        <v/>
      </c>
      <c r="G28" s="105" t="str">
        <f>IF('Marks Entry'!G28="","",'Marks Entry'!G28)</f>
        <v/>
      </c>
      <c r="H28" s="49" t="str">
        <f>IF('Marks Entry'!H28="","",'Marks Entry'!H28)</f>
        <v/>
      </c>
      <c r="I28" s="105" t="str">
        <f>IF('Marks Entry'!I28="","",'Marks Entry'!I28)</f>
        <v/>
      </c>
      <c r="J28" s="105">
        <f>IF('Marks Entry'!K28="","",'Marks Entry'!K28)</f>
        <v>5</v>
      </c>
      <c r="K28" s="105">
        <f>IF('Marks Entry'!L28="","",'Marks Entry'!L28)</f>
        <v>5</v>
      </c>
      <c r="L28" s="105">
        <f>IF(AND('Marks Entry'!M28="",'Marks Entry'!N28=""),"",SUM('Marks Entry'!M28:N28))</f>
        <v>10</v>
      </c>
      <c r="M28" s="105">
        <f>IF(AND('Marks Entry'!O28="",'Marks Entry'!P28=""),"",SUM('Marks Entry'!O28:P28))</f>
        <v>66</v>
      </c>
      <c r="N28" s="105">
        <f t="shared" si="2"/>
        <v>86</v>
      </c>
      <c r="O28" s="105" t="str">
        <f t="shared" si="33"/>
        <v/>
      </c>
      <c r="P28" s="105" t="str">
        <f t="shared" si="34"/>
        <v/>
      </c>
      <c r="Q28" s="105">
        <f>IF('Marks Entry'!R28="","",'Marks Entry'!R28)</f>
        <v>5</v>
      </c>
      <c r="R28" s="105">
        <f>IF('Marks Entry'!S28="","",'Marks Entry'!S28)</f>
        <v>5</v>
      </c>
      <c r="S28" s="105">
        <f>IF(AND('Marks Entry'!T28="",'Marks Entry'!U28=""),"",SUM('Marks Entry'!T28:U28))</f>
        <v>10</v>
      </c>
      <c r="T28" s="105">
        <f>IF(AND('Marks Entry'!V28="",'Marks Entry'!W28=""),"",SUM('Marks Entry'!V28:W28))</f>
        <v>57</v>
      </c>
      <c r="U28" s="105">
        <f t="shared" si="35"/>
        <v>77</v>
      </c>
      <c r="V28" s="105" t="str">
        <f t="shared" si="36"/>
        <v/>
      </c>
      <c r="W28" s="105" t="str">
        <f t="shared" si="37"/>
        <v/>
      </c>
      <c r="X28" s="47" t="str">
        <f>IF(B28="","",IF('Marks Entry'!Y28="",'Marks Entry'!$Y$4,'Marks Entry'!Y28))</f>
        <v/>
      </c>
      <c r="Y28" s="105">
        <f>IF('Marks Entry'!Z28="","",'Marks Entry'!Z28)</f>
        <v>5</v>
      </c>
      <c r="Z28" s="105">
        <f>IF('Marks Entry'!AA28="","",'Marks Entry'!AA28)</f>
        <v>5</v>
      </c>
      <c r="AA28" s="105">
        <f>IF(AND('Marks Entry'!AB28="",'Marks Entry'!AC28=""),"",SUM('Marks Entry'!AB28:AC28))</f>
        <v>10</v>
      </c>
      <c r="AB28" s="105" t="str">
        <f>IF('Marks Entry'!AD28="","",'Marks Entry'!AD28)</f>
        <v/>
      </c>
      <c r="AC28" s="105">
        <f t="shared" si="38"/>
        <v>10</v>
      </c>
      <c r="AD28" s="105">
        <f>IF(AND('Marks Entry'!AE28="",'Marks Entry'!AF28=""),"",SUM('Marks Entry'!AE28:AF28))</f>
        <v>16</v>
      </c>
      <c r="AE28" s="105" t="str">
        <f>IF('Marks Entry'!AG28="","",'Marks Entry'!AG28)</f>
        <v/>
      </c>
      <c r="AF28" s="105">
        <f t="shared" si="39"/>
        <v>16</v>
      </c>
      <c r="AG28" s="105">
        <f t="shared" si="40"/>
        <v>36</v>
      </c>
      <c r="AH28" s="105" t="str">
        <f t="shared" si="41"/>
        <v/>
      </c>
      <c r="AI28" s="105" t="str">
        <f t="shared" si="42"/>
        <v/>
      </c>
      <c r="AJ28" s="47" t="str">
        <f>IF(B28="","",IF('Marks Entry'!AI28="",'Marks Entry'!$AI$4,'Marks Entry'!AI28))</f>
        <v/>
      </c>
      <c r="AK28" s="105">
        <f>IF('Marks Entry'!AJ28="","",'Marks Entry'!AJ28)</f>
        <v>5</v>
      </c>
      <c r="AL28" s="105">
        <f>IF('Marks Entry'!AK28="","",'Marks Entry'!AK28)</f>
        <v>5</v>
      </c>
      <c r="AM28" s="105">
        <f>IF(AND('Marks Entry'!AL28="",'Marks Entry'!AM28=""),"",SUM('Marks Entry'!AL28:AM28))</f>
        <v>10</v>
      </c>
      <c r="AN28" s="105" t="str">
        <f>IF('Marks Entry'!AN28="","",'Marks Entry'!AN28)</f>
        <v/>
      </c>
      <c r="AO28" s="105">
        <f t="shared" si="43"/>
        <v>10</v>
      </c>
      <c r="AP28" s="105">
        <f>IF(AND('Marks Entry'!AO28="",'Marks Entry'!AP28=""),"",SUM('Marks Entry'!AO28:AP28))</f>
        <v>9</v>
      </c>
      <c r="AQ28" s="105" t="str">
        <f>IF('Marks Entry'!AQ28="","",'Marks Entry'!AQ28)</f>
        <v/>
      </c>
      <c r="AR28" s="105">
        <f t="shared" si="44"/>
        <v>9</v>
      </c>
      <c r="AS28" s="105">
        <f t="shared" si="45"/>
        <v>29</v>
      </c>
      <c r="AT28" s="105" t="str">
        <f t="shared" si="46"/>
        <v/>
      </c>
      <c r="AU28" s="105" t="str">
        <f t="shared" si="47"/>
        <v/>
      </c>
      <c r="AV28" s="47" t="str">
        <f>IF(B28="","",IF('Marks Entry'!AS28="",'Marks Entry'!$AS$4,'Marks Entry'!AS28))</f>
        <v/>
      </c>
      <c r="AW28" s="105">
        <f>IF('Marks Entry'!AT28="","",'Marks Entry'!AT28)</f>
        <v>5</v>
      </c>
      <c r="AX28" s="105">
        <f>IF('Marks Entry'!AU28="","",'Marks Entry'!AU28)</f>
        <v>5</v>
      </c>
      <c r="AY28" s="105">
        <f>IF(AND('Marks Entry'!AV28="",'Marks Entry'!AW28=""),"",SUM('Marks Entry'!AV28:AW28))</f>
        <v>16</v>
      </c>
      <c r="AZ28" s="105">
        <f>IF('Marks Entry'!AX28="","",'Marks Entry'!AX28)</f>
        <v>8</v>
      </c>
      <c r="BA28" s="105">
        <f t="shared" si="48"/>
        <v>24</v>
      </c>
      <c r="BB28" s="105">
        <f>IF(AND('Marks Entry'!AY28="",'Marks Entry'!AZ28=""),"",SUM('Marks Entry'!AY28:AZ28))</f>
        <v>37</v>
      </c>
      <c r="BC28" s="105">
        <f>IF('Marks Entry'!BA28="","",'Marks Entry'!BA28)</f>
        <v>18</v>
      </c>
      <c r="BD28" s="105">
        <f t="shared" si="49"/>
        <v>55</v>
      </c>
      <c r="BE28" s="105">
        <f t="shared" si="50"/>
        <v>89</v>
      </c>
      <c r="BF28" s="105" t="str">
        <f t="shared" si="51"/>
        <v/>
      </c>
      <c r="BG28" s="105" t="str">
        <f t="shared" si="52"/>
        <v/>
      </c>
      <c r="BH28" s="105" t="str">
        <f t="shared" si="53"/>
        <v/>
      </c>
      <c r="BI28" s="50" t="str">
        <f t="shared" si="3"/>
        <v/>
      </c>
      <c r="BJ28" s="47" t="str">
        <f t="shared" si="4"/>
        <v/>
      </c>
      <c r="BK28" s="105" t="str">
        <f t="shared" si="54"/>
        <v/>
      </c>
      <c r="BL28" s="105" t="str">
        <f t="shared" si="55"/>
        <v/>
      </c>
      <c r="BM28" s="105" t="str">
        <f>IF(OR(B28="",'Marks Entry'!BY28=""),"",'Marks Entry'!BY28)</f>
        <v/>
      </c>
      <c r="BN28" s="105" t="str">
        <f>IF(OR(B28="",'Marks Entry'!BZ28=""),"",'Marks Entry'!BZ28)</f>
        <v/>
      </c>
      <c r="BO28" s="105">
        <f>IF('Marks Entry'!BC28="","",'Marks Entry'!BC28)</f>
        <v>15</v>
      </c>
      <c r="BP28" s="105">
        <f>IF('Marks Entry'!BD28="","",'Marks Entry'!BD28)</f>
        <v>15</v>
      </c>
      <c r="BQ28" s="105">
        <f>IF(AND('Marks Entry'!BE28="",'Marks Entry'!BF28=""),"",SUM('Marks Entry'!BE28:BF28))</f>
        <v>25</v>
      </c>
      <c r="BR28" s="105">
        <f>IF(AND('Marks Entry'!BG28="",'Marks Entry'!BH28=""),"",SUM('Marks Entry'!BG28:BH28))</f>
        <v>82</v>
      </c>
      <c r="BS28" s="105">
        <f t="shared" si="56"/>
        <v>137</v>
      </c>
      <c r="BT28" s="105" t="str">
        <f t="shared" si="57"/>
        <v/>
      </c>
      <c r="BU28" s="105" t="str">
        <f t="shared" si="58"/>
        <v/>
      </c>
      <c r="BV28" s="105">
        <f>IF('Marks Entry'!BJ28="","",'Marks Entry'!BJ28)</f>
        <v>15</v>
      </c>
      <c r="BW28" s="105">
        <f>IF('Marks Entry'!BK28="","",'Marks Entry'!BK28)</f>
        <v>15</v>
      </c>
      <c r="BX28" s="105">
        <f>IF(AND('Marks Entry'!BL28="",'Marks Entry'!BM28=""),"",SUM('Marks Entry'!BL28:BM28))</f>
        <v>25</v>
      </c>
      <c r="BY28" s="105">
        <f>IF(AND('Marks Entry'!BN28="",'Marks Entry'!BO28=""),"",SUM('Marks Entry'!BN28:BO28))</f>
        <v>82</v>
      </c>
      <c r="BZ28" s="105">
        <f t="shared" si="59"/>
        <v>137</v>
      </c>
      <c r="CA28" s="105" t="str">
        <f t="shared" si="60"/>
        <v/>
      </c>
      <c r="CB28" s="105" t="str">
        <f t="shared" si="61"/>
        <v/>
      </c>
      <c r="CC28" s="105" t="str">
        <f>IF('Marks Entry'!BQ28="","",'Marks Entry'!BQ28)</f>
        <v/>
      </c>
      <c r="CD28" s="105" t="str">
        <f>IF('Marks Entry'!BR28="","",'Marks Entry'!BR28)</f>
        <v/>
      </c>
      <c r="CE28" s="105" t="str">
        <f>IF(AND('Marks Entry'!BS28="",'Marks Entry'!BT28=""),"",SUM('Marks Entry'!BS28:BT28))</f>
        <v/>
      </c>
      <c r="CF28" s="105" t="str">
        <f>IF(AND('Marks Entry'!BU28="",'Marks Entry'!BV28=""),"",SUM('Marks Entry'!BU28:BV28))</f>
        <v/>
      </c>
      <c r="CG28" s="105" t="str">
        <f t="shared" si="62"/>
        <v/>
      </c>
      <c r="CH28" s="105" t="str">
        <f t="shared" si="63"/>
        <v/>
      </c>
      <c r="CI28" s="105" t="str">
        <f t="shared" si="64"/>
        <v/>
      </c>
      <c r="CJ28" s="81"/>
      <c r="CK28" s="50" t="str">
        <f t="shared" si="5"/>
        <v/>
      </c>
      <c r="CM28" s="105" t="str">
        <f t="shared" si="6"/>
        <v/>
      </c>
      <c r="CN28" s="105" t="str">
        <f t="shared" si="7"/>
        <v/>
      </c>
      <c r="CO28" s="105" t="str">
        <f t="shared" si="8"/>
        <v/>
      </c>
      <c r="CP28" s="105" t="str">
        <f t="shared" si="9"/>
        <v/>
      </c>
      <c r="CQ28" s="105" t="str">
        <f t="shared" si="10"/>
        <v/>
      </c>
      <c r="CS28" s="105">
        <f t="shared" si="11"/>
        <v>0</v>
      </c>
      <c r="CT28" s="105">
        <f t="shared" si="12"/>
        <v>0</v>
      </c>
      <c r="CU28" s="105">
        <f t="shared" si="13"/>
        <v>0</v>
      </c>
      <c r="CV28" s="105">
        <f t="shared" si="14"/>
        <v>0</v>
      </c>
      <c r="CW28" s="81"/>
      <c r="CX28" s="105" t="str">
        <f t="shared" si="15"/>
        <v/>
      </c>
      <c r="CY28" s="105" t="str">
        <f t="shared" si="16"/>
        <v/>
      </c>
      <c r="CZ28" s="105" t="str">
        <f t="shared" si="17"/>
        <v/>
      </c>
      <c r="DA28" s="105" t="str">
        <f t="shared" si="18"/>
        <v/>
      </c>
      <c r="DB28" s="105" t="str">
        <f t="shared" si="19"/>
        <v/>
      </c>
      <c r="DD28" s="105" t="str">
        <f t="shared" si="20"/>
        <v/>
      </c>
      <c r="DE28" s="105" t="str">
        <f t="shared" si="21"/>
        <v/>
      </c>
      <c r="DF28" s="105" t="str">
        <f t="shared" si="22"/>
        <v/>
      </c>
      <c r="DG28" s="105" t="str">
        <f t="shared" si="23"/>
        <v/>
      </c>
      <c r="DH28" s="105" t="str">
        <f t="shared" si="24"/>
        <v/>
      </c>
      <c r="DI28" s="105" t="str">
        <f t="shared" si="25"/>
        <v/>
      </c>
      <c r="DJ28" s="105" t="str">
        <f t="shared" si="26"/>
        <v/>
      </c>
      <c r="DK28" s="105" t="str">
        <f t="shared" si="27"/>
        <v/>
      </c>
      <c r="DL28" s="105" t="str">
        <f t="shared" si="28"/>
        <v/>
      </c>
      <c r="DM28" s="105" t="str">
        <f t="shared" si="29"/>
        <v/>
      </c>
      <c r="DN28" s="105" t="str">
        <f t="shared" si="30"/>
        <v/>
      </c>
      <c r="DO28" s="105" t="str">
        <f t="shared" si="31"/>
        <v/>
      </c>
      <c r="DP28" s="105" t="str">
        <f t="shared" si="32"/>
        <v/>
      </c>
      <c r="DR28" s="118" t="str">
        <f t="shared" si="65"/>
        <v xml:space="preserve">    </v>
      </c>
      <c r="DS28" s="75"/>
      <c r="DT28" s="119" t="str">
        <f t="shared" si="66"/>
        <v xml:space="preserve">    </v>
      </c>
      <c r="DU28" s="136"/>
      <c r="DV28" s="119" t="str">
        <f t="shared" si="67"/>
        <v xml:space="preserve">    </v>
      </c>
      <c r="DW28" s="75"/>
      <c r="DX28" s="119" t="str">
        <f t="shared" si="68"/>
        <v xml:space="preserve">     </v>
      </c>
      <c r="DY28" s="75"/>
      <c r="DZ28" s="119" t="str">
        <f t="shared" si="69"/>
        <v xml:space="preserve">    </v>
      </c>
    </row>
    <row r="29" spans="1:130" ht="30" customHeight="1" x14ac:dyDescent="0.25">
      <c r="A29" s="105" t="str">
        <f>IF('Marks Entry'!A29="","",'Marks Entry'!A29)</f>
        <v/>
      </c>
      <c r="B29" s="105" t="str">
        <f>IF('Marks Entry'!B29="","",'Marks Entry'!B29)</f>
        <v/>
      </c>
      <c r="C29" s="105" t="str">
        <f>IF('Marks Entry'!C29="","",'Marks Entry'!C29)</f>
        <v/>
      </c>
      <c r="D29" s="48" t="str">
        <f>IF('Marks Entry'!D29="","",'Marks Entry'!D29)</f>
        <v/>
      </c>
      <c r="E29" s="48" t="str">
        <f>IF('Marks Entry'!E29="","",'Marks Entry'!E29)</f>
        <v/>
      </c>
      <c r="F29" s="48" t="str">
        <f>IF('Marks Entry'!F29="","",'Marks Entry'!F29)</f>
        <v/>
      </c>
      <c r="G29" s="105" t="str">
        <f>IF('Marks Entry'!G29="","",'Marks Entry'!G29)</f>
        <v/>
      </c>
      <c r="H29" s="49" t="str">
        <f>IF('Marks Entry'!H29="","",'Marks Entry'!H29)</f>
        <v/>
      </c>
      <c r="I29" s="105" t="str">
        <f>IF('Marks Entry'!I29="","",'Marks Entry'!I29)</f>
        <v/>
      </c>
      <c r="J29" s="105">
        <f>IF('Marks Entry'!K29="","",'Marks Entry'!K29)</f>
        <v>10</v>
      </c>
      <c r="K29" s="105">
        <f>IF('Marks Entry'!L29="","",'Marks Entry'!L29)</f>
        <v>9</v>
      </c>
      <c r="L29" s="105">
        <f>IF(AND('Marks Entry'!M29="",'Marks Entry'!N29=""),"",SUM('Marks Entry'!M29:N29))</f>
        <v>10</v>
      </c>
      <c r="M29" s="105">
        <f>IF(AND('Marks Entry'!O29="",'Marks Entry'!P29=""),"",SUM('Marks Entry'!O29:P29))</f>
        <v>67</v>
      </c>
      <c r="N29" s="105">
        <f t="shared" si="2"/>
        <v>96</v>
      </c>
      <c r="O29" s="105" t="str">
        <f t="shared" si="33"/>
        <v/>
      </c>
      <c r="P29" s="105" t="str">
        <f t="shared" si="34"/>
        <v/>
      </c>
      <c r="Q29" s="105">
        <f>IF('Marks Entry'!R29="","",'Marks Entry'!R29)</f>
        <v>10</v>
      </c>
      <c r="R29" s="105">
        <f>IF('Marks Entry'!S29="","",'Marks Entry'!S29)</f>
        <v>10</v>
      </c>
      <c r="S29" s="105">
        <f>IF(AND('Marks Entry'!T29="",'Marks Entry'!U29=""),"",SUM('Marks Entry'!T29:U29))</f>
        <v>40</v>
      </c>
      <c r="T29" s="105">
        <f>IF(AND('Marks Entry'!V29="",'Marks Entry'!W29=""),"",SUM('Marks Entry'!V29:W29))</f>
        <v>58</v>
      </c>
      <c r="U29" s="105">
        <f t="shared" si="35"/>
        <v>118</v>
      </c>
      <c r="V29" s="105" t="str">
        <f t="shared" si="36"/>
        <v/>
      </c>
      <c r="W29" s="105" t="str">
        <f t="shared" si="37"/>
        <v/>
      </c>
      <c r="X29" s="47" t="str">
        <f>IF(B29="","",IF('Marks Entry'!Y29="",'Marks Entry'!$Y$4,'Marks Entry'!Y29))</f>
        <v/>
      </c>
      <c r="Y29" s="105">
        <f>IF('Marks Entry'!Z29="","",'Marks Entry'!Z29)</f>
        <v>18</v>
      </c>
      <c r="Z29" s="105">
        <f>IF('Marks Entry'!AA29="","",'Marks Entry'!AA29)</f>
        <v>18</v>
      </c>
      <c r="AA29" s="105">
        <f>IF(AND('Marks Entry'!AB29="",'Marks Entry'!AC29=""),"",SUM('Marks Entry'!AB29:AC29))</f>
        <v>50</v>
      </c>
      <c r="AB29" s="105" t="str">
        <f>IF('Marks Entry'!AD29="","",'Marks Entry'!AD29)</f>
        <v/>
      </c>
      <c r="AC29" s="105">
        <f t="shared" si="38"/>
        <v>50</v>
      </c>
      <c r="AD29" s="105">
        <f>IF(AND('Marks Entry'!AE29="",'Marks Entry'!AF29=""),"",SUM('Marks Entry'!AE29:AF29))</f>
        <v>76</v>
      </c>
      <c r="AE29" s="105" t="str">
        <f>IF('Marks Entry'!AG29="","",'Marks Entry'!AG29)</f>
        <v/>
      </c>
      <c r="AF29" s="105">
        <f t="shared" si="39"/>
        <v>76</v>
      </c>
      <c r="AG29" s="105">
        <f t="shared" si="40"/>
        <v>162</v>
      </c>
      <c r="AH29" s="105" t="str">
        <f t="shared" si="41"/>
        <v/>
      </c>
      <c r="AI29" s="105" t="str">
        <f t="shared" si="42"/>
        <v/>
      </c>
      <c r="AJ29" s="47" t="str">
        <f>IF(B29="","",IF('Marks Entry'!AI29="",'Marks Entry'!$AI$4,'Marks Entry'!AI29))</f>
        <v/>
      </c>
      <c r="AK29" s="105">
        <f>IF('Marks Entry'!AJ29="","",'Marks Entry'!AJ29)</f>
        <v>5</v>
      </c>
      <c r="AL29" s="105">
        <f>IF('Marks Entry'!AK29="","",'Marks Entry'!AK29)</f>
        <v>5</v>
      </c>
      <c r="AM29" s="105">
        <f>IF(AND('Marks Entry'!AL29="",'Marks Entry'!AM29=""),"",SUM('Marks Entry'!AL29:AM29))</f>
        <v>28</v>
      </c>
      <c r="AN29" s="105" t="str">
        <f>IF('Marks Entry'!AN29="","",'Marks Entry'!AN29)</f>
        <v/>
      </c>
      <c r="AO29" s="105">
        <f t="shared" si="43"/>
        <v>28</v>
      </c>
      <c r="AP29" s="105">
        <f>IF(AND('Marks Entry'!AO29="",'Marks Entry'!AP29=""),"",SUM('Marks Entry'!AO29:AP29))</f>
        <v>45</v>
      </c>
      <c r="AQ29" s="105" t="str">
        <f>IF('Marks Entry'!AQ29="","",'Marks Entry'!AQ29)</f>
        <v/>
      </c>
      <c r="AR29" s="105">
        <f t="shared" si="44"/>
        <v>45</v>
      </c>
      <c r="AS29" s="105">
        <f t="shared" si="45"/>
        <v>83</v>
      </c>
      <c r="AT29" s="105" t="str">
        <f t="shared" si="46"/>
        <v/>
      </c>
      <c r="AU29" s="105" t="str">
        <f t="shared" si="47"/>
        <v/>
      </c>
      <c r="AV29" s="47" t="str">
        <f>IF(B29="","",IF('Marks Entry'!AS29="",'Marks Entry'!$AS$4,'Marks Entry'!AS29))</f>
        <v/>
      </c>
      <c r="AW29" s="105">
        <f>IF('Marks Entry'!AT29="","",'Marks Entry'!AT29)</f>
        <v>10</v>
      </c>
      <c r="AX29" s="105">
        <f>IF('Marks Entry'!AU29="","",'Marks Entry'!AU29)</f>
        <v>10</v>
      </c>
      <c r="AY29" s="105">
        <f>IF(AND('Marks Entry'!AV29="",'Marks Entry'!AW29=""),"",SUM('Marks Entry'!AV29:AW29))</f>
        <v>28</v>
      </c>
      <c r="AZ29" s="105">
        <f>IF('Marks Entry'!AX29="","",'Marks Entry'!AX29)</f>
        <v>10</v>
      </c>
      <c r="BA29" s="105">
        <f t="shared" si="48"/>
        <v>38</v>
      </c>
      <c r="BB29" s="105">
        <f>IF(AND('Marks Entry'!AY29="",'Marks Entry'!AZ29=""),"",SUM('Marks Entry'!AY29:AZ29))</f>
        <v>38</v>
      </c>
      <c r="BC29" s="105">
        <f>IF('Marks Entry'!BA29="","",'Marks Entry'!BA29)</f>
        <v>18</v>
      </c>
      <c r="BD29" s="105">
        <f t="shared" si="49"/>
        <v>56</v>
      </c>
      <c r="BE29" s="105">
        <f t="shared" si="50"/>
        <v>114</v>
      </c>
      <c r="BF29" s="105" t="str">
        <f t="shared" si="51"/>
        <v/>
      </c>
      <c r="BG29" s="105" t="str">
        <f t="shared" si="52"/>
        <v/>
      </c>
      <c r="BH29" s="105" t="str">
        <f t="shared" si="53"/>
        <v/>
      </c>
      <c r="BI29" s="50" t="str">
        <f t="shared" si="3"/>
        <v/>
      </c>
      <c r="BJ29" s="47" t="str">
        <f t="shared" si="4"/>
        <v/>
      </c>
      <c r="BK29" s="105" t="str">
        <f t="shared" si="54"/>
        <v/>
      </c>
      <c r="BL29" s="105" t="str">
        <f t="shared" si="55"/>
        <v/>
      </c>
      <c r="BM29" s="105" t="str">
        <f>IF(OR(B29="",'Marks Entry'!BY29=""),"",'Marks Entry'!BY29)</f>
        <v/>
      </c>
      <c r="BN29" s="105" t="str">
        <f>IF(OR(B29="",'Marks Entry'!BZ29=""),"",'Marks Entry'!BZ29)</f>
        <v/>
      </c>
      <c r="BO29" s="105">
        <f>IF('Marks Entry'!BC29="","",'Marks Entry'!BC29)</f>
        <v>15</v>
      </c>
      <c r="BP29" s="105">
        <f>IF('Marks Entry'!BD29="","",'Marks Entry'!BD29)</f>
        <v>15</v>
      </c>
      <c r="BQ29" s="105">
        <f>IF(AND('Marks Entry'!BE29="",'Marks Entry'!BF29=""),"",SUM('Marks Entry'!BE29:BF29))</f>
        <v>25</v>
      </c>
      <c r="BR29" s="105">
        <f>IF(AND('Marks Entry'!BG29="",'Marks Entry'!BH29=""),"",SUM('Marks Entry'!BG29:BH29))</f>
        <v>82</v>
      </c>
      <c r="BS29" s="105">
        <f t="shared" si="56"/>
        <v>137</v>
      </c>
      <c r="BT29" s="105" t="str">
        <f t="shared" si="57"/>
        <v/>
      </c>
      <c r="BU29" s="105" t="str">
        <f t="shared" si="58"/>
        <v/>
      </c>
      <c r="BV29" s="105">
        <f>IF('Marks Entry'!BJ29="","",'Marks Entry'!BJ29)</f>
        <v>15</v>
      </c>
      <c r="BW29" s="105">
        <f>IF('Marks Entry'!BK29="","",'Marks Entry'!BK29)</f>
        <v>15</v>
      </c>
      <c r="BX29" s="105">
        <f>IF(AND('Marks Entry'!BL29="",'Marks Entry'!BM29=""),"",SUM('Marks Entry'!BL29:BM29))</f>
        <v>25</v>
      </c>
      <c r="BY29" s="105">
        <f>IF(AND('Marks Entry'!BN29="",'Marks Entry'!BO29=""),"",SUM('Marks Entry'!BN29:BO29))</f>
        <v>82</v>
      </c>
      <c r="BZ29" s="105">
        <f t="shared" si="59"/>
        <v>137</v>
      </c>
      <c r="CA29" s="105" t="str">
        <f t="shared" si="60"/>
        <v/>
      </c>
      <c r="CB29" s="105" t="str">
        <f t="shared" si="61"/>
        <v/>
      </c>
      <c r="CC29" s="105" t="str">
        <f>IF('Marks Entry'!BQ29="","",'Marks Entry'!BQ29)</f>
        <v/>
      </c>
      <c r="CD29" s="105" t="str">
        <f>IF('Marks Entry'!BR29="","",'Marks Entry'!BR29)</f>
        <v/>
      </c>
      <c r="CE29" s="105" t="str">
        <f>IF(AND('Marks Entry'!BS29="",'Marks Entry'!BT29=""),"",SUM('Marks Entry'!BS29:BT29))</f>
        <v/>
      </c>
      <c r="CF29" s="105" t="str">
        <f>IF(AND('Marks Entry'!BU29="",'Marks Entry'!BV29=""),"",SUM('Marks Entry'!BU29:BV29))</f>
        <v/>
      </c>
      <c r="CG29" s="105" t="str">
        <f t="shared" si="62"/>
        <v/>
      </c>
      <c r="CH29" s="105" t="str">
        <f t="shared" si="63"/>
        <v/>
      </c>
      <c r="CI29" s="105" t="str">
        <f t="shared" si="64"/>
        <v/>
      </c>
      <c r="CJ29" s="81"/>
      <c r="CK29" s="50" t="str">
        <f t="shared" si="5"/>
        <v/>
      </c>
      <c r="CM29" s="105" t="str">
        <f t="shared" si="6"/>
        <v/>
      </c>
      <c r="CN29" s="105" t="str">
        <f t="shared" si="7"/>
        <v/>
      </c>
      <c r="CO29" s="105" t="str">
        <f t="shared" si="8"/>
        <v/>
      </c>
      <c r="CP29" s="105" t="str">
        <f t="shared" si="9"/>
        <v/>
      </c>
      <c r="CQ29" s="105" t="str">
        <f t="shared" si="10"/>
        <v/>
      </c>
      <c r="CS29" s="105">
        <f t="shared" si="11"/>
        <v>0</v>
      </c>
      <c r="CT29" s="105">
        <f t="shared" si="12"/>
        <v>0</v>
      </c>
      <c r="CU29" s="105">
        <f t="shared" si="13"/>
        <v>0</v>
      </c>
      <c r="CV29" s="105">
        <f t="shared" si="14"/>
        <v>0</v>
      </c>
      <c r="CW29" s="81"/>
      <c r="CX29" s="105" t="str">
        <f t="shared" si="15"/>
        <v/>
      </c>
      <c r="CY29" s="105" t="str">
        <f t="shared" si="16"/>
        <v/>
      </c>
      <c r="CZ29" s="105" t="str">
        <f t="shared" si="17"/>
        <v/>
      </c>
      <c r="DA29" s="105" t="str">
        <f t="shared" si="18"/>
        <v/>
      </c>
      <c r="DB29" s="105" t="str">
        <f t="shared" si="19"/>
        <v/>
      </c>
      <c r="DD29" s="105" t="str">
        <f t="shared" si="20"/>
        <v/>
      </c>
      <c r="DE29" s="105" t="str">
        <f t="shared" si="21"/>
        <v/>
      </c>
      <c r="DF29" s="105" t="str">
        <f t="shared" si="22"/>
        <v/>
      </c>
      <c r="DG29" s="105" t="str">
        <f t="shared" si="23"/>
        <v/>
      </c>
      <c r="DH29" s="105" t="str">
        <f t="shared" si="24"/>
        <v/>
      </c>
      <c r="DI29" s="105" t="str">
        <f t="shared" si="25"/>
        <v/>
      </c>
      <c r="DJ29" s="105" t="str">
        <f t="shared" si="26"/>
        <v/>
      </c>
      <c r="DK29" s="105" t="str">
        <f t="shared" si="27"/>
        <v/>
      </c>
      <c r="DL29" s="105" t="str">
        <f t="shared" si="28"/>
        <v/>
      </c>
      <c r="DM29" s="105" t="str">
        <f t="shared" si="29"/>
        <v/>
      </c>
      <c r="DN29" s="105" t="str">
        <f t="shared" si="30"/>
        <v/>
      </c>
      <c r="DO29" s="105" t="str">
        <f t="shared" si="31"/>
        <v/>
      </c>
      <c r="DP29" s="105" t="str">
        <f t="shared" si="32"/>
        <v/>
      </c>
      <c r="DR29" s="118" t="str">
        <f t="shared" si="65"/>
        <v xml:space="preserve">    </v>
      </c>
      <c r="DS29" s="75"/>
      <c r="DT29" s="119" t="str">
        <f t="shared" si="66"/>
        <v xml:space="preserve">    </v>
      </c>
      <c r="DU29" s="136"/>
      <c r="DV29" s="119" t="str">
        <f t="shared" si="67"/>
        <v xml:space="preserve">    </v>
      </c>
      <c r="DW29" s="75"/>
      <c r="DX29" s="119" t="str">
        <f t="shared" si="68"/>
        <v xml:space="preserve">     </v>
      </c>
      <c r="DY29" s="75"/>
      <c r="DZ29" s="119" t="str">
        <f t="shared" si="69"/>
        <v xml:space="preserve">    </v>
      </c>
    </row>
    <row r="30" spans="1:130" ht="30" customHeight="1" x14ac:dyDescent="0.25">
      <c r="A30" s="105" t="str">
        <f>IF('Marks Entry'!A30="","",'Marks Entry'!A30)</f>
        <v/>
      </c>
      <c r="B30" s="105" t="str">
        <f>IF('Marks Entry'!B30="","",'Marks Entry'!B30)</f>
        <v/>
      </c>
      <c r="C30" s="105" t="str">
        <f>IF('Marks Entry'!C30="","",'Marks Entry'!C30)</f>
        <v/>
      </c>
      <c r="D30" s="48" t="str">
        <f>IF('Marks Entry'!D30="","",'Marks Entry'!D30)</f>
        <v/>
      </c>
      <c r="E30" s="48" t="str">
        <f>IF('Marks Entry'!E30="","",'Marks Entry'!E30)</f>
        <v/>
      </c>
      <c r="F30" s="48" t="str">
        <f>IF('Marks Entry'!F30="","",'Marks Entry'!F30)</f>
        <v/>
      </c>
      <c r="G30" s="105" t="str">
        <f>IF('Marks Entry'!G30="","",'Marks Entry'!G30)</f>
        <v/>
      </c>
      <c r="H30" s="49" t="str">
        <f>IF('Marks Entry'!H30="","",'Marks Entry'!H30)</f>
        <v/>
      </c>
      <c r="I30" s="105" t="str">
        <f>IF('Marks Entry'!I30="","",'Marks Entry'!I30)</f>
        <v/>
      </c>
      <c r="J30" s="105">
        <f>IF('Marks Entry'!K30="","",'Marks Entry'!K30)</f>
        <v>10</v>
      </c>
      <c r="K30" s="105">
        <f>IF('Marks Entry'!L30="","",'Marks Entry'!L30)</f>
        <v>20</v>
      </c>
      <c r="L30" s="105">
        <f>IF(AND('Marks Entry'!M30="",'Marks Entry'!N30=""),"",SUM('Marks Entry'!M30:N30))</f>
        <v>15</v>
      </c>
      <c r="M30" s="105">
        <f>IF(AND('Marks Entry'!O30="",'Marks Entry'!P30=""),"",SUM('Marks Entry'!O30:P30))</f>
        <v>68</v>
      </c>
      <c r="N30" s="105">
        <f t="shared" si="2"/>
        <v>113</v>
      </c>
      <c r="O30" s="105" t="str">
        <f t="shared" si="33"/>
        <v/>
      </c>
      <c r="P30" s="105" t="str">
        <f t="shared" si="34"/>
        <v/>
      </c>
      <c r="Q30" s="105">
        <f>IF('Marks Entry'!R30="","",'Marks Entry'!R30)</f>
        <v>10</v>
      </c>
      <c r="R30" s="105">
        <f>IF('Marks Entry'!S30="","",'Marks Entry'!S30)</f>
        <v>10</v>
      </c>
      <c r="S30" s="105">
        <f>IF(AND('Marks Entry'!T30="",'Marks Entry'!U30=""),"",SUM('Marks Entry'!T30:U30))</f>
        <v>40</v>
      </c>
      <c r="T30" s="105">
        <f>IF(AND('Marks Entry'!V30="",'Marks Entry'!W30=""),"",SUM('Marks Entry'!V30:W30))</f>
        <v>59</v>
      </c>
      <c r="U30" s="105">
        <f t="shared" si="35"/>
        <v>119</v>
      </c>
      <c r="V30" s="105" t="str">
        <f t="shared" si="36"/>
        <v/>
      </c>
      <c r="W30" s="105" t="str">
        <f t="shared" si="37"/>
        <v/>
      </c>
      <c r="X30" s="47" t="str">
        <f>IF(B30="","",IF('Marks Entry'!Y30="",'Marks Entry'!$Y$4,'Marks Entry'!Y30))</f>
        <v/>
      </c>
      <c r="Y30" s="105">
        <f>IF('Marks Entry'!Z30="","",'Marks Entry'!Z30)</f>
        <v>10</v>
      </c>
      <c r="Z30" s="105">
        <f>IF('Marks Entry'!AA30="","",'Marks Entry'!AA30)</f>
        <v>10</v>
      </c>
      <c r="AA30" s="105">
        <f>IF(AND('Marks Entry'!AB30="",'Marks Entry'!AC30=""),"",SUM('Marks Entry'!AB30:AC30))</f>
        <v>40</v>
      </c>
      <c r="AB30" s="105" t="str">
        <f>IF('Marks Entry'!AD30="","",'Marks Entry'!AD30)</f>
        <v/>
      </c>
      <c r="AC30" s="105">
        <f t="shared" si="38"/>
        <v>40</v>
      </c>
      <c r="AD30" s="105">
        <f>IF(AND('Marks Entry'!AE30="",'Marks Entry'!AF30=""),"",SUM('Marks Entry'!AE30:AF30))</f>
        <v>41</v>
      </c>
      <c r="AE30" s="105" t="str">
        <f>IF('Marks Entry'!AG30="","",'Marks Entry'!AG30)</f>
        <v/>
      </c>
      <c r="AF30" s="105">
        <f t="shared" si="39"/>
        <v>41</v>
      </c>
      <c r="AG30" s="105">
        <f t="shared" si="40"/>
        <v>101</v>
      </c>
      <c r="AH30" s="105" t="str">
        <f t="shared" si="41"/>
        <v/>
      </c>
      <c r="AI30" s="105" t="str">
        <f t="shared" si="42"/>
        <v/>
      </c>
      <c r="AJ30" s="47" t="str">
        <f>IF(B30="","",IF('Marks Entry'!AI30="",'Marks Entry'!$AI$4,'Marks Entry'!AI30))</f>
        <v/>
      </c>
      <c r="AK30" s="105">
        <f>IF('Marks Entry'!AJ30="","",'Marks Entry'!AJ30)</f>
        <v>10</v>
      </c>
      <c r="AL30" s="105">
        <f>IF('Marks Entry'!AK30="","",'Marks Entry'!AK30)</f>
        <v>10</v>
      </c>
      <c r="AM30" s="105">
        <f>IF(AND('Marks Entry'!AL30="",'Marks Entry'!AM30=""),"",SUM('Marks Entry'!AL30:AM30))</f>
        <v>40</v>
      </c>
      <c r="AN30" s="105" t="str">
        <f>IF('Marks Entry'!AN30="","",'Marks Entry'!AN30)</f>
        <v/>
      </c>
      <c r="AO30" s="105">
        <f t="shared" si="43"/>
        <v>40</v>
      </c>
      <c r="AP30" s="105">
        <f>IF(AND('Marks Entry'!AO30="",'Marks Entry'!AP30=""),"",SUM('Marks Entry'!AO30:AP30))</f>
        <v>60</v>
      </c>
      <c r="AQ30" s="105" t="str">
        <f>IF('Marks Entry'!AQ30="","",'Marks Entry'!AQ30)</f>
        <v/>
      </c>
      <c r="AR30" s="105">
        <f t="shared" si="44"/>
        <v>60</v>
      </c>
      <c r="AS30" s="105">
        <f t="shared" si="45"/>
        <v>120</v>
      </c>
      <c r="AT30" s="105" t="str">
        <f t="shared" si="46"/>
        <v/>
      </c>
      <c r="AU30" s="105" t="str">
        <f t="shared" si="47"/>
        <v/>
      </c>
      <c r="AV30" s="47" t="str">
        <f>IF(B30="","",IF('Marks Entry'!AS30="",'Marks Entry'!$AS$4,'Marks Entry'!AS30))</f>
        <v/>
      </c>
      <c r="AW30" s="105">
        <f>IF('Marks Entry'!AT30="","",'Marks Entry'!AT30)</f>
        <v>10</v>
      </c>
      <c r="AX30" s="105">
        <f>IF('Marks Entry'!AU30="","",'Marks Entry'!AU30)</f>
        <v>10</v>
      </c>
      <c r="AY30" s="105">
        <f>IF(AND('Marks Entry'!AV30="",'Marks Entry'!AW30=""),"",SUM('Marks Entry'!AV30:AW30))</f>
        <v>18</v>
      </c>
      <c r="AZ30" s="105">
        <f>IF('Marks Entry'!AX30="","",'Marks Entry'!AX30)</f>
        <v>12</v>
      </c>
      <c r="BA30" s="105">
        <f t="shared" si="48"/>
        <v>30</v>
      </c>
      <c r="BB30" s="105">
        <f>IF(AND('Marks Entry'!AY30="",'Marks Entry'!AZ30=""),"",SUM('Marks Entry'!AY30:AZ30))</f>
        <v>40</v>
      </c>
      <c r="BC30" s="105">
        <f>IF('Marks Entry'!BA30="","",'Marks Entry'!BA30)</f>
        <v>15</v>
      </c>
      <c r="BD30" s="105">
        <f t="shared" si="49"/>
        <v>55</v>
      </c>
      <c r="BE30" s="105">
        <f t="shared" si="50"/>
        <v>105</v>
      </c>
      <c r="BF30" s="105" t="str">
        <f t="shared" si="51"/>
        <v/>
      </c>
      <c r="BG30" s="105" t="str">
        <f t="shared" si="52"/>
        <v/>
      </c>
      <c r="BH30" s="105" t="str">
        <f t="shared" si="53"/>
        <v/>
      </c>
      <c r="BI30" s="50" t="str">
        <f t="shared" si="3"/>
        <v/>
      </c>
      <c r="BJ30" s="47" t="str">
        <f t="shared" si="4"/>
        <v/>
      </c>
      <c r="BK30" s="105" t="str">
        <f t="shared" si="54"/>
        <v/>
      </c>
      <c r="BL30" s="105" t="str">
        <f t="shared" si="55"/>
        <v/>
      </c>
      <c r="BM30" s="105" t="str">
        <f>IF(OR(B30="",'Marks Entry'!BY30=""),"",'Marks Entry'!BY30)</f>
        <v/>
      </c>
      <c r="BN30" s="105" t="str">
        <f>IF(OR(B30="",'Marks Entry'!BZ30=""),"",'Marks Entry'!BZ30)</f>
        <v/>
      </c>
      <c r="BO30" s="105">
        <f>IF('Marks Entry'!BC30="","",'Marks Entry'!BC30)</f>
        <v>15</v>
      </c>
      <c r="BP30" s="105">
        <f>IF('Marks Entry'!BD30="","",'Marks Entry'!BD30)</f>
        <v>15</v>
      </c>
      <c r="BQ30" s="105">
        <f>IF(AND('Marks Entry'!BE30="",'Marks Entry'!BF30=""),"",SUM('Marks Entry'!BE30:BF30))</f>
        <v>25</v>
      </c>
      <c r="BR30" s="105">
        <f>IF(AND('Marks Entry'!BG30="",'Marks Entry'!BH30=""),"",SUM('Marks Entry'!BG30:BH30))</f>
        <v>82</v>
      </c>
      <c r="BS30" s="105">
        <f t="shared" si="56"/>
        <v>137</v>
      </c>
      <c r="BT30" s="105" t="str">
        <f t="shared" si="57"/>
        <v/>
      </c>
      <c r="BU30" s="105" t="str">
        <f t="shared" si="58"/>
        <v/>
      </c>
      <c r="BV30" s="105">
        <f>IF('Marks Entry'!BJ30="","",'Marks Entry'!BJ30)</f>
        <v>15</v>
      </c>
      <c r="BW30" s="105">
        <f>IF('Marks Entry'!BK30="","",'Marks Entry'!BK30)</f>
        <v>15</v>
      </c>
      <c r="BX30" s="105">
        <f>IF(AND('Marks Entry'!BL30="",'Marks Entry'!BM30=""),"",SUM('Marks Entry'!BL30:BM30))</f>
        <v>25</v>
      </c>
      <c r="BY30" s="105">
        <f>IF(AND('Marks Entry'!BN30="",'Marks Entry'!BO30=""),"",SUM('Marks Entry'!BN30:BO30))</f>
        <v>82</v>
      </c>
      <c r="BZ30" s="105">
        <f t="shared" si="59"/>
        <v>137</v>
      </c>
      <c r="CA30" s="105" t="str">
        <f t="shared" si="60"/>
        <v/>
      </c>
      <c r="CB30" s="105" t="str">
        <f t="shared" si="61"/>
        <v/>
      </c>
      <c r="CC30" s="105" t="str">
        <f>IF('Marks Entry'!BQ30="","",'Marks Entry'!BQ30)</f>
        <v/>
      </c>
      <c r="CD30" s="105" t="str">
        <f>IF('Marks Entry'!BR30="","",'Marks Entry'!BR30)</f>
        <v/>
      </c>
      <c r="CE30" s="105" t="str">
        <f>IF(AND('Marks Entry'!BS30="",'Marks Entry'!BT30=""),"",SUM('Marks Entry'!BS30:BT30))</f>
        <v/>
      </c>
      <c r="CF30" s="105" t="str">
        <f>IF(AND('Marks Entry'!BU30="",'Marks Entry'!BV30=""),"",SUM('Marks Entry'!BU30:BV30))</f>
        <v/>
      </c>
      <c r="CG30" s="105" t="str">
        <f t="shared" si="62"/>
        <v/>
      </c>
      <c r="CH30" s="105" t="str">
        <f t="shared" si="63"/>
        <v/>
      </c>
      <c r="CI30" s="105" t="str">
        <f t="shared" si="64"/>
        <v/>
      </c>
      <c r="CJ30" s="81"/>
      <c r="CK30" s="50" t="str">
        <f t="shared" si="5"/>
        <v/>
      </c>
      <c r="CM30" s="105" t="str">
        <f t="shared" si="6"/>
        <v/>
      </c>
      <c r="CN30" s="105" t="str">
        <f t="shared" si="7"/>
        <v/>
      </c>
      <c r="CO30" s="105" t="str">
        <f t="shared" si="8"/>
        <v/>
      </c>
      <c r="CP30" s="105" t="str">
        <f t="shared" si="9"/>
        <v/>
      </c>
      <c r="CQ30" s="105" t="str">
        <f t="shared" si="10"/>
        <v/>
      </c>
      <c r="CS30" s="105">
        <f t="shared" si="11"/>
        <v>0</v>
      </c>
      <c r="CT30" s="105">
        <f t="shared" si="12"/>
        <v>0</v>
      </c>
      <c r="CU30" s="105">
        <f t="shared" si="13"/>
        <v>0</v>
      </c>
      <c r="CV30" s="105">
        <f t="shared" si="14"/>
        <v>0</v>
      </c>
      <c r="CW30" s="81"/>
      <c r="CX30" s="105" t="str">
        <f t="shared" si="15"/>
        <v/>
      </c>
      <c r="CY30" s="105" t="str">
        <f t="shared" si="16"/>
        <v/>
      </c>
      <c r="CZ30" s="105" t="str">
        <f t="shared" si="17"/>
        <v/>
      </c>
      <c r="DA30" s="105" t="str">
        <f t="shared" si="18"/>
        <v/>
      </c>
      <c r="DB30" s="105" t="str">
        <f t="shared" si="19"/>
        <v/>
      </c>
      <c r="DD30" s="105" t="str">
        <f t="shared" si="20"/>
        <v/>
      </c>
      <c r="DE30" s="105" t="str">
        <f t="shared" si="21"/>
        <v/>
      </c>
      <c r="DF30" s="105" t="str">
        <f t="shared" si="22"/>
        <v/>
      </c>
      <c r="DG30" s="105" t="str">
        <f t="shared" si="23"/>
        <v/>
      </c>
      <c r="DH30" s="105" t="str">
        <f t="shared" si="24"/>
        <v/>
      </c>
      <c r="DI30" s="105" t="str">
        <f t="shared" si="25"/>
        <v/>
      </c>
      <c r="DJ30" s="105" t="str">
        <f t="shared" si="26"/>
        <v/>
      </c>
      <c r="DK30" s="105" t="str">
        <f t="shared" si="27"/>
        <v/>
      </c>
      <c r="DL30" s="105" t="str">
        <f t="shared" si="28"/>
        <v/>
      </c>
      <c r="DM30" s="105" t="str">
        <f t="shared" si="29"/>
        <v/>
      </c>
      <c r="DN30" s="105" t="str">
        <f t="shared" si="30"/>
        <v/>
      </c>
      <c r="DO30" s="105" t="str">
        <f t="shared" si="31"/>
        <v/>
      </c>
      <c r="DP30" s="105" t="str">
        <f t="shared" si="32"/>
        <v/>
      </c>
      <c r="DR30" s="118" t="str">
        <f t="shared" si="65"/>
        <v xml:space="preserve">    </v>
      </c>
      <c r="DS30" s="75"/>
      <c r="DT30" s="119" t="str">
        <f t="shared" si="66"/>
        <v xml:space="preserve">    </v>
      </c>
      <c r="DU30" s="136"/>
      <c r="DV30" s="119" t="str">
        <f t="shared" si="67"/>
        <v xml:space="preserve">    </v>
      </c>
      <c r="DW30" s="75"/>
      <c r="DX30" s="119" t="str">
        <f t="shared" si="68"/>
        <v xml:space="preserve">     </v>
      </c>
      <c r="DY30" s="75"/>
      <c r="DZ30" s="119" t="str">
        <f t="shared" si="69"/>
        <v xml:space="preserve">    </v>
      </c>
    </row>
    <row r="31" spans="1:130" ht="30" customHeight="1" x14ac:dyDescent="0.25">
      <c r="A31" s="105" t="str">
        <f>IF('Marks Entry'!A31="","",'Marks Entry'!A31)</f>
        <v/>
      </c>
      <c r="B31" s="105" t="str">
        <f>IF('Marks Entry'!B31="","",'Marks Entry'!B31)</f>
        <v/>
      </c>
      <c r="C31" s="105" t="str">
        <f>IF('Marks Entry'!C31="","",'Marks Entry'!C31)</f>
        <v/>
      </c>
      <c r="D31" s="48" t="str">
        <f>IF('Marks Entry'!D31="","",'Marks Entry'!D31)</f>
        <v/>
      </c>
      <c r="E31" s="48" t="str">
        <f>IF('Marks Entry'!E31="","",'Marks Entry'!E31)</f>
        <v/>
      </c>
      <c r="F31" s="48" t="str">
        <f>IF('Marks Entry'!F31="","",'Marks Entry'!F31)</f>
        <v/>
      </c>
      <c r="G31" s="105" t="str">
        <f>IF('Marks Entry'!G31="","",'Marks Entry'!G31)</f>
        <v/>
      </c>
      <c r="H31" s="49" t="str">
        <f>IF('Marks Entry'!H31="","",'Marks Entry'!H31)</f>
        <v/>
      </c>
      <c r="I31" s="105" t="str">
        <f>IF('Marks Entry'!I31="","",'Marks Entry'!I31)</f>
        <v/>
      </c>
      <c r="J31" s="105">
        <f>IF('Marks Entry'!K31="","",'Marks Entry'!K31)</f>
        <v>10</v>
      </c>
      <c r="K31" s="105">
        <f>IF('Marks Entry'!L31="","",'Marks Entry'!L31)</f>
        <v>20</v>
      </c>
      <c r="L31" s="105">
        <f>IF(AND('Marks Entry'!M31="",'Marks Entry'!N31=""),"",SUM('Marks Entry'!M31:N31))</f>
        <v>15</v>
      </c>
      <c r="M31" s="105">
        <f>IF(AND('Marks Entry'!O31="",'Marks Entry'!P31=""),"",SUM('Marks Entry'!O31:P31))</f>
        <v>69</v>
      </c>
      <c r="N31" s="105">
        <f t="shared" si="2"/>
        <v>114</v>
      </c>
      <c r="O31" s="105" t="str">
        <f t="shared" si="33"/>
        <v/>
      </c>
      <c r="P31" s="105" t="str">
        <f t="shared" si="34"/>
        <v/>
      </c>
      <c r="Q31" s="105">
        <f>IF('Marks Entry'!R31="","",'Marks Entry'!R31)</f>
        <v>10</v>
      </c>
      <c r="R31" s="105">
        <f>IF('Marks Entry'!S31="","",'Marks Entry'!S31)</f>
        <v>10</v>
      </c>
      <c r="S31" s="105">
        <f>IF(AND('Marks Entry'!T31="",'Marks Entry'!U31=""),"",SUM('Marks Entry'!T31:U31))</f>
        <v>40</v>
      </c>
      <c r="T31" s="105">
        <f>IF(AND('Marks Entry'!V31="",'Marks Entry'!W31=""),"",SUM('Marks Entry'!V31:W31))</f>
        <v>60</v>
      </c>
      <c r="U31" s="105">
        <f t="shared" si="35"/>
        <v>120</v>
      </c>
      <c r="V31" s="105" t="str">
        <f t="shared" si="36"/>
        <v/>
      </c>
      <c r="W31" s="105" t="str">
        <f t="shared" si="37"/>
        <v/>
      </c>
      <c r="X31" s="47" t="str">
        <f>IF(B31="","",IF('Marks Entry'!Y31="",'Marks Entry'!$Y$4,'Marks Entry'!Y31))</f>
        <v/>
      </c>
      <c r="Y31" s="105">
        <f>IF('Marks Entry'!Z31="","",'Marks Entry'!Z31)</f>
        <v>10</v>
      </c>
      <c r="Z31" s="105">
        <f>IF('Marks Entry'!AA31="","",'Marks Entry'!AA31)</f>
        <v>10</v>
      </c>
      <c r="AA31" s="105">
        <f>IF(AND('Marks Entry'!AB31="",'Marks Entry'!AC31=""),"",SUM('Marks Entry'!AB31:AC31))</f>
        <v>40</v>
      </c>
      <c r="AB31" s="105" t="str">
        <f>IF('Marks Entry'!AD31="","",'Marks Entry'!AD31)</f>
        <v/>
      </c>
      <c r="AC31" s="105">
        <f t="shared" si="38"/>
        <v>40</v>
      </c>
      <c r="AD31" s="105">
        <f>IF(AND('Marks Entry'!AE31="",'Marks Entry'!AF31=""),"",SUM('Marks Entry'!AE31:AF31))</f>
        <v>41</v>
      </c>
      <c r="AE31" s="105" t="str">
        <f>IF('Marks Entry'!AG31="","",'Marks Entry'!AG31)</f>
        <v/>
      </c>
      <c r="AF31" s="105">
        <f t="shared" si="39"/>
        <v>41</v>
      </c>
      <c r="AG31" s="105">
        <f t="shared" si="40"/>
        <v>101</v>
      </c>
      <c r="AH31" s="105" t="str">
        <f t="shared" si="41"/>
        <v/>
      </c>
      <c r="AI31" s="105" t="str">
        <f t="shared" si="42"/>
        <v/>
      </c>
      <c r="AJ31" s="47" t="str">
        <f>IF(B31="","",IF('Marks Entry'!AI31="",'Marks Entry'!$AI$4,'Marks Entry'!AI31))</f>
        <v/>
      </c>
      <c r="AK31" s="105">
        <f>IF('Marks Entry'!AJ31="","",'Marks Entry'!AJ31)</f>
        <v>10</v>
      </c>
      <c r="AL31" s="105">
        <f>IF('Marks Entry'!AK31="","",'Marks Entry'!AK31)</f>
        <v>10</v>
      </c>
      <c r="AM31" s="105">
        <f>IF(AND('Marks Entry'!AL31="",'Marks Entry'!AM31=""),"",SUM('Marks Entry'!AL31:AM31))</f>
        <v>40</v>
      </c>
      <c r="AN31" s="105" t="str">
        <f>IF('Marks Entry'!AN31="","",'Marks Entry'!AN31)</f>
        <v/>
      </c>
      <c r="AO31" s="105">
        <f t="shared" si="43"/>
        <v>40</v>
      </c>
      <c r="AP31" s="105">
        <f>IF(AND('Marks Entry'!AO31="",'Marks Entry'!AP31=""),"",SUM('Marks Entry'!AO31:AP31))</f>
        <v>59</v>
      </c>
      <c r="AQ31" s="105" t="str">
        <f>IF('Marks Entry'!AQ31="","",'Marks Entry'!AQ31)</f>
        <v/>
      </c>
      <c r="AR31" s="105">
        <f t="shared" si="44"/>
        <v>59</v>
      </c>
      <c r="AS31" s="105">
        <f t="shared" si="45"/>
        <v>119</v>
      </c>
      <c r="AT31" s="105" t="str">
        <f t="shared" si="46"/>
        <v/>
      </c>
      <c r="AU31" s="105" t="str">
        <f t="shared" si="47"/>
        <v/>
      </c>
      <c r="AV31" s="47" t="str">
        <f>IF(B31="","",IF('Marks Entry'!AS31="",'Marks Entry'!$AS$4,'Marks Entry'!AS31))</f>
        <v/>
      </c>
      <c r="AW31" s="105">
        <f>IF('Marks Entry'!AT31="","",'Marks Entry'!AT31)</f>
        <v>10</v>
      </c>
      <c r="AX31" s="105">
        <f>IF('Marks Entry'!AU31="","",'Marks Entry'!AU31)</f>
        <v>10</v>
      </c>
      <c r="AY31" s="105">
        <f>IF(AND('Marks Entry'!AV31="",'Marks Entry'!AW31=""),"",SUM('Marks Entry'!AV31:AW31))</f>
        <v>24</v>
      </c>
      <c r="AZ31" s="105">
        <f>IF('Marks Entry'!AX31="","",'Marks Entry'!AX31)</f>
        <v>10</v>
      </c>
      <c r="BA31" s="105">
        <f t="shared" si="48"/>
        <v>34</v>
      </c>
      <c r="BB31" s="105">
        <f>IF(AND('Marks Entry'!AY31="",'Marks Entry'!AZ31=""),"",SUM('Marks Entry'!AY31:AZ31))</f>
        <v>25</v>
      </c>
      <c r="BC31" s="105">
        <f>IF('Marks Entry'!BA31="","",'Marks Entry'!BA31)</f>
        <v>16</v>
      </c>
      <c r="BD31" s="105">
        <f t="shared" si="49"/>
        <v>41</v>
      </c>
      <c r="BE31" s="105">
        <f t="shared" si="50"/>
        <v>95</v>
      </c>
      <c r="BF31" s="105" t="str">
        <f t="shared" si="51"/>
        <v/>
      </c>
      <c r="BG31" s="105" t="str">
        <f t="shared" si="52"/>
        <v/>
      </c>
      <c r="BH31" s="105" t="str">
        <f t="shared" si="53"/>
        <v/>
      </c>
      <c r="BI31" s="50" t="str">
        <f t="shared" si="3"/>
        <v/>
      </c>
      <c r="BJ31" s="47" t="str">
        <f t="shared" si="4"/>
        <v/>
      </c>
      <c r="BK31" s="105" t="str">
        <f t="shared" si="54"/>
        <v/>
      </c>
      <c r="BL31" s="105" t="str">
        <f t="shared" si="55"/>
        <v/>
      </c>
      <c r="BM31" s="105" t="str">
        <f>IF(OR(B31="",'Marks Entry'!BY31=""),"",'Marks Entry'!BY31)</f>
        <v/>
      </c>
      <c r="BN31" s="105" t="str">
        <f>IF(OR(B31="",'Marks Entry'!BZ31=""),"",'Marks Entry'!BZ31)</f>
        <v/>
      </c>
      <c r="BO31" s="105">
        <f>IF('Marks Entry'!BC31="","",'Marks Entry'!BC31)</f>
        <v>15</v>
      </c>
      <c r="BP31" s="105">
        <f>IF('Marks Entry'!BD31="","",'Marks Entry'!BD31)</f>
        <v>15</v>
      </c>
      <c r="BQ31" s="105">
        <f>IF(AND('Marks Entry'!BE31="",'Marks Entry'!BF31=""),"",SUM('Marks Entry'!BE31:BF31))</f>
        <v>25</v>
      </c>
      <c r="BR31" s="105">
        <f>IF(AND('Marks Entry'!BG31="",'Marks Entry'!BH31=""),"",SUM('Marks Entry'!BG31:BH31))</f>
        <v>82</v>
      </c>
      <c r="BS31" s="105">
        <f t="shared" si="56"/>
        <v>137</v>
      </c>
      <c r="BT31" s="105" t="str">
        <f t="shared" si="57"/>
        <v/>
      </c>
      <c r="BU31" s="105" t="str">
        <f t="shared" si="58"/>
        <v/>
      </c>
      <c r="BV31" s="105">
        <f>IF('Marks Entry'!BJ31="","",'Marks Entry'!BJ31)</f>
        <v>15</v>
      </c>
      <c r="BW31" s="105">
        <f>IF('Marks Entry'!BK31="","",'Marks Entry'!BK31)</f>
        <v>15</v>
      </c>
      <c r="BX31" s="105">
        <f>IF(AND('Marks Entry'!BL31="",'Marks Entry'!BM31=""),"",SUM('Marks Entry'!BL31:BM31))</f>
        <v>25</v>
      </c>
      <c r="BY31" s="105">
        <f>IF(AND('Marks Entry'!BN31="",'Marks Entry'!BO31=""),"",SUM('Marks Entry'!BN31:BO31))</f>
        <v>82</v>
      </c>
      <c r="BZ31" s="105">
        <f t="shared" si="59"/>
        <v>137</v>
      </c>
      <c r="CA31" s="105" t="str">
        <f t="shared" si="60"/>
        <v/>
      </c>
      <c r="CB31" s="105" t="str">
        <f t="shared" si="61"/>
        <v/>
      </c>
      <c r="CC31" s="105" t="str">
        <f>IF('Marks Entry'!BQ31="","",'Marks Entry'!BQ31)</f>
        <v/>
      </c>
      <c r="CD31" s="105" t="str">
        <f>IF('Marks Entry'!BR31="","",'Marks Entry'!BR31)</f>
        <v/>
      </c>
      <c r="CE31" s="105" t="str">
        <f>IF(AND('Marks Entry'!BS31="",'Marks Entry'!BT31=""),"",SUM('Marks Entry'!BS31:BT31))</f>
        <v/>
      </c>
      <c r="CF31" s="105" t="str">
        <f>IF(AND('Marks Entry'!BU31="",'Marks Entry'!BV31=""),"",SUM('Marks Entry'!BU31:BV31))</f>
        <v/>
      </c>
      <c r="CG31" s="105" t="str">
        <f t="shared" si="62"/>
        <v/>
      </c>
      <c r="CH31" s="105" t="str">
        <f t="shared" si="63"/>
        <v/>
      </c>
      <c r="CI31" s="105" t="str">
        <f t="shared" si="64"/>
        <v/>
      </c>
      <c r="CJ31" s="81"/>
      <c r="CK31" s="50" t="str">
        <f t="shared" si="5"/>
        <v/>
      </c>
      <c r="CM31" s="105" t="str">
        <f t="shared" si="6"/>
        <v/>
      </c>
      <c r="CN31" s="105" t="str">
        <f t="shared" si="7"/>
        <v/>
      </c>
      <c r="CO31" s="105" t="str">
        <f t="shared" si="8"/>
        <v/>
      </c>
      <c r="CP31" s="105" t="str">
        <f t="shared" si="9"/>
        <v/>
      </c>
      <c r="CQ31" s="105" t="str">
        <f t="shared" si="10"/>
        <v/>
      </c>
      <c r="CS31" s="105">
        <f t="shared" si="11"/>
        <v>0</v>
      </c>
      <c r="CT31" s="105">
        <f t="shared" si="12"/>
        <v>0</v>
      </c>
      <c r="CU31" s="105">
        <f t="shared" si="13"/>
        <v>0</v>
      </c>
      <c r="CV31" s="105">
        <f t="shared" si="14"/>
        <v>0</v>
      </c>
      <c r="CW31" s="81"/>
      <c r="CX31" s="105" t="str">
        <f t="shared" si="15"/>
        <v/>
      </c>
      <c r="CY31" s="105" t="str">
        <f t="shared" si="16"/>
        <v/>
      </c>
      <c r="CZ31" s="105" t="str">
        <f t="shared" si="17"/>
        <v/>
      </c>
      <c r="DA31" s="105" t="str">
        <f t="shared" si="18"/>
        <v/>
      </c>
      <c r="DB31" s="105" t="str">
        <f t="shared" si="19"/>
        <v/>
      </c>
      <c r="DD31" s="105" t="str">
        <f t="shared" si="20"/>
        <v/>
      </c>
      <c r="DE31" s="105" t="str">
        <f t="shared" si="21"/>
        <v/>
      </c>
      <c r="DF31" s="105" t="str">
        <f t="shared" si="22"/>
        <v/>
      </c>
      <c r="DG31" s="105" t="str">
        <f t="shared" si="23"/>
        <v/>
      </c>
      <c r="DH31" s="105" t="str">
        <f t="shared" si="24"/>
        <v/>
      </c>
      <c r="DI31" s="105" t="str">
        <f t="shared" si="25"/>
        <v/>
      </c>
      <c r="DJ31" s="105" t="str">
        <f t="shared" si="26"/>
        <v/>
      </c>
      <c r="DK31" s="105" t="str">
        <f t="shared" si="27"/>
        <v/>
      </c>
      <c r="DL31" s="105" t="str">
        <f t="shared" si="28"/>
        <v/>
      </c>
      <c r="DM31" s="105" t="str">
        <f t="shared" si="29"/>
        <v/>
      </c>
      <c r="DN31" s="105" t="str">
        <f t="shared" si="30"/>
        <v/>
      </c>
      <c r="DO31" s="105" t="str">
        <f t="shared" si="31"/>
        <v/>
      </c>
      <c r="DP31" s="105" t="str">
        <f t="shared" si="32"/>
        <v/>
      </c>
      <c r="DR31" s="118" t="str">
        <f t="shared" si="65"/>
        <v xml:space="preserve">    </v>
      </c>
      <c r="DS31" s="75"/>
      <c r="DT31" s="119" t="str">
        <f t="shared" si="66"/>
        <v xml:space="preserve">    </v>
      </c>
      <c r="DU31" s="136"/>
      <c r="DV31" s="119" t="str">
        <f t="shared" si="67"/>
        <v xml:space="preserve">    </v>
      </c>
      <c r="DW31" s="75"/>
      <c r="DX31" s="119" t="str">
        <f t="shared" si="68"/>
        <v xml:space="preserve">     </v>
      </c>
      <c r="DY31" s="75"/>
      <c r="DZ31" s="119" t="str">
        <f t="shared" si="69"/>
        <v xml:space="preserve">    </v>
      </c>
    </row>
    <row r="32" spans="1:130" ht="30" customHeight="1" x14ac:dyDescent="0.25">
      <c r="A32" s="105" t="str">
        <f>IF('Marks Entry'!A32="","",'Marks Entry'!A32)</f>
        <v/>
      </c>
      <c r="B32" s="105" t="str">
        <f>IF('Marks Entry'!B32="","",'Marks Entry'!B32)</f>
        <v/>
      </c>
      <c r="C32" s="105" t="str">
        <f>IF('Marks Entry'!C32="","",'Marks Entry'!C32)</f>
        <v/>
      </c>
      <c r="D32" s="48" t="str">
        <f>IF('Marks Entry'!D32="","",'Marks Entry'!D32)</f>
        <v/>
      </c>
      <c r="E32" s="48" t="str">
        <f>IF('Marks Entry'!E32="","",'Marks Entry'!E32)</f>
        <v/>
      </c>
      <c r="F32" s="48" t="str">
        <f>IF('Marks Entry'!F32="","",'Marks Entry'!F32)</f>
        <v/>
      </c>
      <c r="G32" s="105" t="str">
        <f>IF('Marks Entry'!G32="","",'Marks Entry'!G32)</f>
        <v/>
      </c>
      <c r="H32" s="49" t="str">
        <f>IF('Marks Entry'!H32="","",'Marks Entry'!H32)</f>
        <v/>
      </c>
      <c r="I32" s="105" t="str">
        <f>IF('Marks Entry'!I32="","",'Marks Entry'!I32)</f>
        <v/>
      </c>
      <c r="J32" s="105">
        <f>IF('Marks Entry'!K32="","",'Marks Entry'!K32)</f>
        <v>10</v>
      </c>
      <c r="K32" s="105">
        <f>IF('Marks Entry'!L32="","",'Marks Entry'!L32)</f>
        <v>20</v>
      </c>
      <c r="L32" s="105">
        <f>IF(AND('Marks Entry'!M32="",'Marks Entry'!N32=""),"",SUM('Marks Entry'!M32:N32))</f>
        <v>15</v>
      </c>
      <c r="M32" s="105">
        <f>IF(AND('Marks Entry'!O32="",'Marks Entry'!P32=""),"",SUM('Marks Entry'!O32:P32))</f>
        <v>70</v>
      </c>
      <c r="N32" s="105">
        <f t="shared" si="2"/>
        <v>115</v>
      </c>
      <c r="O32" s="105" t="str">
        <f t="shared" si="33"/>
        <v/>
      </c>
      <c r="P32" s="105" t="str">
        <f t="shared" si="34"/>
        <v/>
      </c>
      <c r="Q32" s="105">
        <f>IF('Marks Entry'!R32="","",'Marks Entry'!R32)</f>
        <v>10</v>
      </c>
      <c r="R32" s="105">
        <f>IF('Marks Entry'!S32="","",'Marks Entry'!S32)</f>
        <v>10</v>
      </c>
      <c r="S32" s="105">
        <f>IF(AND('Marks Entry'!T32="",'Marks Entry'!U32=""),"",SUM('Marks Entry'!T32:U32))</f>
        <v>40</v>
      </c>
      <c r="T32" s="105">
        <f>IF(AND('Marks Entry'!V32="",'Marks Entry'!W32=""),"",SUM('Marks Entry'!V32:W32))</f>
        <v>61</v>
      </c>
      <c r="U32" s="105">
        <f t="shared" si="35"/>
        <v>121</v>
      </c>
      <c r="V32" s="105" t="str">
        <f t="shared" si="36"/>
        <v/>
      </c>
      <c r="W32" s="105" t="str">
        <f t="shared" si="37"/>
        <v/>
      </c>
      <c r="X32" s="47" t="str">
        <f>IF(B32="","",IF('Marks Entry'!Y32="",'Marks Entry'!$Y$4,'Marks Entry'!Y32))</f>
        <v/>
      </c>
      <c r="Y32" s="105">
        <f>IF('Marks Entry'!Z32="","",'Marks Entry'!Z32)</f>
        <v>10</v>
      </c>
      <c r="Z32" s="105">
        <f>IF('Marks Entry'!AA32="","",'Marks Entry'!AA32)</f>
        <v>10</v>
      </c>
      <c r="AA32" s="105">
        <f>IF(AND('Marks Entry'!AB32="",'Marks Entry'!AC32=""),"",SUM('Marks Entry'!AB32:AC32))</f>
        <v>40</v>
      </c>
      <c r="AB32" s="105" t="str">
        <f>IF('Marks Entry'!AD32="","",'Marks Entry'!AD32)</f>
        <v/>
      </c>
      <c r="AC32" s="105">
        <f t="shared" si="38"/>
        <v>40</v>
      </c>
      <c r="AD32" s="105">
        <f>IF(AND('Marks Entry'!AE32="",'Marks Entry'!AF32=""),"",SUM('Marks Entry'!AE32:AF32))</f>
        <v>41</v>
      </c>
      <c r="AE32" s="105" t="str">
        <f>IF('Marks Entry'!AG32="","",'Marks Entry'!AG32)</f>
        <v/>
      </c>
      <c r="AF32" s="105">
        <f t="shared" si="39"/>
        <v>41</v>
      </c>
      <c r="AG32" s="105">
        <f t="shared" si="40"/>
        <v>101</v>
      </c>
      <c r="AH32" s="105" t="str">
        <f t="shared" si="41"/>
        <v/>
      </c>
      <c r="AI32" s="105" t="str">
        <f t="shared" si="42"/>
        <v/>
      </c>
      <c r="AJ32" s="47" t="str">
        <f>IF(B32="","",IF('Marks Entry'!AI32="",'Marks Entry'!$AI$4,'Marks Entry'!AI32))</f>
        <v/>
      </c>
      <c r="AK32" s="105">
        <f>IF('Marks Entry'!AJ32="","",'Marks Entry'!AJ32)</f>
        <v>10</v>
      </c>
      <c r="AL32" s="105">
        <f>IF('Marks Entry'!AK32="","",'Marks Entry'!AK32)</f>
        <v>10</v>
      </c>
      <c r="AM32" s="105">
        <f>IF(AND('Marks Entry'!AL32="",'Marks Entry'!AM32=""),"",SUM('Marks Entry'!AL32:AM32))</f>
        <v>40</v>
      </c>
      <c r="AN32" s="105" t="str">
        <f>IF('Marks Entry'!AN32="","",'Marks Entry'!AN32)</f>
        <v/>
      </c>
      <c r="AO32" s="105">
        <f t="shared" si="43"/>
        <v>40</v>
      </c>
      <c r="AP32" s="105">
        <f>IF(AND('Marks Entry'!AO32="",'Marks Entry'!AP32=""),"",SUM('Marks Entry'!AO32:AP32))</f>
        <v>58</v>
      </c>
      <c r="AQ32" s="105" t="str">
        <f>IF('Marks Entry'!AQ32="","",'Marks Entry'!AQ32)</f>
        <v/>
      </c>
      <c r="AR32" s="105">
        <f t="shared" si="44"/>
        <v>58</v>
      </c>
      <c r="AS32" s="105">
        <f t="shared" si="45"/>
        <v>118</v>
      </c>
      <c r="AT32" s="105" t="str">
        <f t="shared" si="46"/>
        <v/>
      </c>
      <c r="AU32" s="105" t="str">
        <f t="shared" si="47"/>
        <v/>
      </c>
      <c r="AV32" s="47" t="str">
        <f>IF(B32="","",IF('Marks Entry'!AS32="",'Marks Entry'!$AS$4,'Marks Entry'!AS32))</f>
        <v/>
      </c>
      <c r="AW32" s="105">
        <f>IF('Marks Entry'!AT32="","",'Marks Entry'!AT32)</f>
        <v>10</v>
      </c>
      <c r="AX32" s="105">
        <f>IF('Marks Entry'!AU32="","",'Marks Entry'!AU32)</f>
        <v>10</v>
      </c>
      <c r="AY32" s="105">
        <f>IF(AND('Marks Entry'!AV32="",'Marks Entry'!AW32=""),"",SUM('Marks Entry'!AV32:AW32))</f>
        <v>20</v>
      </c>
      <c r="AZ32" s="105">
        <f>IF('Marks Entry'!AX32="","",'Marks Entry'!AX32)</f>
        <v>4</v>
      </c>
      <c r="BA32" s="105">
        <f t="shared" si="48"/>
        <v>24</v>
      </c>
      <c r="BB32" s="105">
        <f>IF(AND('Marks Entry'!AY32="",'Marks Entry'!AZ32=""),"",SUM('Marks Entry'!AY32:AZ32))</f>
        <v>28</v>
      </c>
      <c r="BC32" s="105">
        <f>IF('Marks Entry'!BA32="","",'Marks Entry'!BA32)</f>
        <v>14</v>
      </c>
      <c r="BD32" s="105">
        <f t="shared" si="49"/>
        <v>42</v>
      </c>
      <c r="BE32" s="105">
        <f t="shared" si="50"/>
        <v>86</v>
      </c>
      <c r="BF32" s="105" t="str">
        <f t="shared" si="51"/>
        <v/>
      </c>
      <c r="BG32" s="105" t="str">
        <f t="shared" si="52"/>
        <v/>
      </c>
      <c r="BH32" s="105" t="str">
        <f t="shared" si="53"/>
        <v/>
      </c>
      <c r="BI32" s="50" t="str">
        <f t="shared" si="3"/>
        <v/>
      </c>
      <c r="BJ32" s="47" t="str">
        <f t="shared" si="4"/>
        <v/>
      </c>
      <c r="BK32" s="105" t="str">
        <f t="shared" si="54"/>
        <v/>
      </c>
      <c r="BL32" s="105" t="str">
        <f t="shared" si="55"/>
        <v/>
      </c>
      <c r="BM32" s="105" t="str">
        <f>IF(OR(B32="",'Marks Entry'!BY32=""),"",'Marks Entry'!BY32)</f>
        <v/>
      </c>
      <c r="BN32" s="105" t="str">
        <f>IF(OR(B32="",'Marks Entry'!BZ32=""),"",'Marks Entry'!BZ32)</f>
        <v/>
      </c>
      <c r="BO32" s="105">
        <f>IF('Marks Entry'!BC32="","",'Marks Entry'!BC32)</f>
        <v>15</v>
      </c>
      <c r="BP32" s="105">
        <f>IF('Marks Entry'!BD32="","",'Marks Entry'!BD32)</f>
        <v>15</v>
      </c>
      <c r="BQ32" s="105">
        <f>IF(AND('Marks Entry'!BE32="",'Marks Entry'!BF32=""),"",SUM('Marks Entry'!BE32:BF32))</f>
        <v>25</v>
      </c>
      <c r="BR32" s="105">
        <f>IF(AND('Marks Entry'!BG32="",'Marks Entry'!BH32=""),"",SUM('Marks Entry'!BG32:BH32))</f>
        <v>82</v>
      </c>
      <c r="BS32" s="105">
        <f t="shared" si="56"/>
        <v>137</v>
      </c>
      <c r="BT32" s="105" t="str">
        <f t="shared" si="57"/>
        <v/>
      </c>
      <c r="BU32" s="105" t="str">
        <f t="shared" si="58"/>
        <v/>
      </c>
      <c r="BV32" s="105">
        <f>IF('Marks Entry'!BJ32="","",'Marks Entry'!BJ32)</f>
        <v>15</v>
      </c>
      <c r="BW32" s="105">
        <f>IF('Marks Entry'!BK32="","",'Marks Entry'!BK32)</f>
        <v>15</v>
      </c>
      <c r="BX32" s="105">
        <f>IF(AND('Marks Entry'!BL32="",'Marks Entry'!BM32=""),"",SUM('Marks Entry'!BL32:BM32))</f>
        <v>25</v>
      </c>
      <c r="BY32" s="105">
        <f>IF(AND('Marks Entry'!BN32="",'Marks Entry'!BO32=""),"",SUM('Marks Entry'!BN32:BO32))</f>
        <v>82</v>
      </c>
      <c r="BZ32" s="105">
        <f t="shared" si="59"/>
        <v>137</v>
      </c>
      <c r="CA32" s="105" t="str">
        <f t="shared" si="60"/>
        <v/>
      </c>
      <c r="CB32" s="105" t="str">
        <f t="shared" si="61"/>
        <v/>
      </c>
      <c r="CC32" s="105" t="str">
        <f>IF('Marks Entry'!BQ32="","",'Marks Entry'!BQ32)</f>
        <v/>
      </c>
      <c r="CD32" s="105" t="str">
        <f>IF('Marks Entry'!BR32="","",'Marks Entry'!BR32)</f>
        <v/>
      </c>
      <c r="CE32" s="105" t="str">
        <f>IF(AND('Marks Entry'!BS32="",'Marks Entry'!BT32=""),"",SUM('Marks Entry'!BS32:BT32))</f>
        <v/>
      </c>
      <c r="CF32" s="105" t="str">
        <f>IF(AND('Marks Entry'!BU32="",'Marks Entry'!BV32=""),"",SUM('Marks Entry'!BU32:BV32))</f>
        <v/>
      </c>
      <c r="CG32" s="105" t="str">
        <f t="shared" si="62"/>
        <v/>
      </c>
      <c r="CH32" s="105" t="str">
        <f t="shared" si="63"/>
        <v/>
      </c>
      <c r="CI32" s="105" t="str">
        <f t="shared" si="64"/>
        <v/>
      </c>
      <c r="CJ32" s="81"/>
      <c r="CK32" s="50" t="str">
        <f t="shared" si="5"/>
        <v/>
      </c>
      <c r="CM32" s="105" t="str">
        <f t="shared" si="6"/>
        <v/>
      </c>
      <c r="CN32" s="105" t="str">
        <f t="shared" si="7"/>
        <v/>
      </c>
      <c r="CO32" s="105" t="str">
        <f t="shared" si="8"/>
        <v/>
      </c>
      <c r="CP32" s="105" t="str">
        <f t="shared" si="9"/>
        <v/>
      </c>
      <c r="CQ32" s="105" t="str">
        <f t="shared" si="10"/>
        <v/>
      </c>
      <c r="CS32" s="105">
        <f t="shared" si="11"/>
        <v>0</v>
      </c>
      <c r="CT32" s="105">
        <f t="shared" si="12"/>
        <v>0</v>
      </c>
      <c r="CU32" s="105">
        <f t="shared" si="13"/>
        <v>0</v>
      </c>
      <c r="CV32" s="105">
        <f t="shared" si="14"/>
        <v>0</v>
      </c>
      <c r="CW32" s="81"/>
      <c r="CX32" s="105" t="str">
        <f t="shared" si="15"/>
        <v/>
      </c>
      <c r="CY32" s="105" t="str">
        <f t="shared" si="16"/>
        <v/>
      </c>
      <c r="CZ32" s="105" t="str">
        <f t="shared" si="17"/>
        <v/>
      </c>
      <c r="DA32" s="105" t="str">
        <f t="shared" si="18"/>
        <v/>
      </c>
      <c r="DB32" s="105" t="str">
        <f t="shared" si="19"/>
        <v/>
      </c>
      <c r="DD32" s="105" t="str">
        <f t="shared" si="20"/>
        <v/>
      </c>
      <c r="DE32" s="105" t="str">
        <f t="shared" si="21"/>
        <v/>
      </c>
      <c r="DF32" s="105" t="str">
        <f t="shared" si="22"/>
        <v/>
      </c>
      <c r="DG32" s="105" t="str">
        <f t="shared" si="23"/>
        <v/>
      </c>
      <c r="DH32" s="105" t="str">
        <f t="shared" si="24"/>
        <v/>
      </c>
      <c r="DI32" s="105" t="str">
        <f t="shared" si="25"/>
        <v/>
      </c>
      <c r="DJ32" s="105" t="str">
        <f t="shared" si="26"/>
        <v/>
      </c>
      <c r="DK32" s="105" t="str">
        <f t="shared" si="27"/>
        <v/>
      </c>
      <c r="DL32" s="105" t="str">
        <f t="shared" si="28"/>
        <v/>
      </c>
      <c r="DM32" s="105" t="str">
        <f t="shared" si="29"/>
        <v/>
      </c>
      <c r="DN32" s="105" t="str">
        <f t="shared" si="30"/>
        <v/>
      </c>
      <c r="DO32" s="105" t="str">
        <f t="shared" si="31"/>
        <v/>
      </c>
      <c r="DP32" s="105" t="str">
        <f t="shared" si="32"/>
        <v/>
      </c>
      <c r="DR32" s="118" t="str">
        <f t="shared" si="65"/>
        <v xml:space="preserve">    </v>
      </c>
      <c r="DS32" s="75"/>
      <c r="DT32" s="119" t="str">
        <f t="shared" si="66"/>
        <v xml:space="preserve">    </v>
      </c>
      <c r="DU32" s="136"/>
      <c r="DV32" s="119" t="str">
        <f t="shared" si="67"/>
        <v xml:space="preserve">    </v>
      </c>
      <c r="DW32" s="75"/>
      <c r="DX32" s="119" t="str">
        <f t="shared" si="68"/>
        <v xml:space="preserve">     </v>
      </c>
      <c r="DY32" s="75"/>
      <c r="DZ32" s="119" t="str">
        <f t="shared" si="69"/>
        <v xml:space="preserve">    </v>
      </c>
    </row>
    <row r="33" spans="1:130" ht="30" customHeight="1" x14ac:dyDescent="0.25">
      <c r="A33" s="105" t="str">
        <f>IF('Marks Entry'!A33="","",'Marks Entry'!A33)</f>
        <v/>
      </c>
      <c r="B33" s="105" t="str">
        <f>IF('Marks Entry'!B33="","",'Marks Entry'!B33)</f>
        <v/>
      </c>
      <c r="C33" s="105" t="str">
        <f>IF('Marks Entry'!C33="","",'Marks Entry'!C33)</f>
        <v/>
      </c>
      <c r="D33" s="48" t="str">
        <f>IF('Marks Entry'!D33="","",'Marks Entry'!D33)</f>
        <v/>
      </c>
      <c r="E33" s="48" t="str">
        <f>IF('Marks Entry'!E33="","",'Marks Entry'!E33)</f>
        <v/>
      </c>
      <c r="F33" s="48" t="str">
        <f>IF('Marks Entry'!F33="","",'Marks Entry'!F33)</f>
        <v/>
      </c>
      <c r="G33" s="105" t="str">
        <f>IF('Marks Entry'!G33="","",'Marks Entry'!G33)</f>
        <v/>
      </c>
      <c r="H33" s="49" t="str">
        <f>IF('Marks Entry'!H33="","",'Marks Entry'!H33)</f>
        <v/>
      </c>
      <c r="I33" s="105" t="str">
        <f>IF('Marks Entry'!I33="","",'Marks Entry'!I33)</f>
        <v/>
      </c>
      <c r="J33" s="105">
        <f>IF('Marks Entry'!K33="","",'Marks Entry'!K33)</f>
        <v>10</v>
      </c>
      <c r="K33" s="105">
        <f>IF('Marks Entry'!L33="","",'Marks Entry'!L33)</f>
        <v>10</v>
      </c>
      <c r="L33" s="105">
        <f>IF(AND('Marks Entry'!M33="",'Marks Entry'!N33=""),"",SUM('Marks Entry'!M33:N33))</f>
        <v>40</v>
      </c>
      <c r="M33" s="105">
        <f>IF(AND('Marks Entry'!O33="",'Marks Entry'!P33=""),"",SUM('Marks Entry'!O33:P33))</f>
        <v>71</v>
      </c>
      <c r="N33" s="105">
        <f t="shared" si="2"/>
        <v>131</v>
      </c>
      <c r="O33" s="105" t="str">
        <f t="shared" si="33"/>
        <v/>
      </c>
      <c r="P33" s="105" t="str">
        <f t="shared" si="34"/>
        <v/>
      </c>
      <c r="Q33" s="105">
        <f>IF('Marks Entry'!R33="","",'Marks Entry'!R33)</f>
        <v>15</v>
      </c>
      <c r="R33" s="105">
        <f>IF('Marks Entry'!S33="","",'Marks Entry'!S33)</f>
        <v>15</v>
      </c>
      <c r="S33" s="105">
        <f>IF(AND('Marks Entry'!T33="",'Marks Entry'!U33=""),"",SUM('Marks Entry'!T33:U33))</f>
        <v>40</v>
      </c>
      <c r="T33" s="105">
        <f>IF(AND('Marks Entry'!V33="",'Marks Entry'!W33=""),"",SUM('Marks Entry'!V33:W33))</f>
        <v>62</v>
      </c>
      <c r="U33" s="105">
        <f t="shared" si="35"/>
        <v>132</v>
      </c>
      <c r="V33" s="105" t="str">
        <f t="shared" si="36"/>
        <v/>
      </c>
      <c r="W33" s="105" t="str">
        <f t="shared" si="37"/>
        <v/>
      </c>
      <c r="X33" s="47" t="str">
        <f>IF(B33="","",IF('Marks Entry'!Y33="",'Marks Entry'!$Y$4,'Marks Entry'!Y33))</f>
        <v/>
      </c>
      <c r="Y33" s="105">
        <f>IF('Marks Entry'!Z33="","",'Marks Entry'!Z33)</f>
        <v>15</v>
      </c>
      <c r="Z33" s="105">
        <f>IF('Marks Entry'!AA33="","",'Marks Entry'!AA33)</f>
        <v>15</v>
      </c>
      <c r="AA33" s="105">
        <f>IF(AND('Marks Entry'!AB33="",'Marks Entry'!AC33=""),"",SUM('Marks Entry'!AB33:AC33))</f>
        <v>40</v>
      </c>
      <c r="AB33" s="105" t="str">
        <f>IF('Marks Entry'!AD33="","",'Marks Entry'!AD33)</f>
        <v/>
      </c>
      <c r="AC33" s="105">
        <f t="shared" si="38"/>
        <v>40</v>
      </c>
      <c r="AD33" s="105">
        <f>IF(AND('Marks Entry'!AE33="",'Marks Entry'!AF33=""),"",SUM('Marks Entry'!AE33:AF33))</f>
        <v>71</v>
      </c>
      <c r="AE33" s="105" t="str">
        <f>IF('Marks Entry'!AG33="","",'Marks Entry'!AG33)</f>
        <v/>
      </c>
      <c r="AF33" s="105">
        <f t="shared" si="39"/>
        <v>71</v>
      </c>
      <c r="AG33" s="105">
        <f t="shared" si="40"/>
        <v>141</v>
      </c>
      <c r="AH33" s="105" t="str">
        <f t="shared" si="41"/>
        <v/>
      </c>
      <c r="AI33" s="105" t="str">
        <f t="shared" si="42"/>
        <v/>
      </c>
      <c r="AJ33" s="47" t="str">
        <f>IF(B33="","",IF('Marks Entry'!AI33="",'Marks Entry'!$AI$4,'Marks Entry'!AI33))</f>
        <v/>
      </c>
      <c r="AK33" s="105">
        <f>IF('Marks Entry'!AJ33="","",'Marks Entry'!AJ33)</f>
        <v>15</v>
      </c>
      <c r="AL33" s="105">
        <f>IF('Marks Entry'!AK33="","",'Marks Entry'!AK33)</f>
        <v>15</v>
      </c>
      <c r="AM33" s="105">
        <f>IF(AND('Marks Entry'!AL33="",'Marks Entry'!AM33=""),"",SUM('Marks Entry'!AL33:AM33))</f>
        <v>40</v>
      </c>
      <c r="AN33" s="105" t="str">
        <f>IF('Marks Entry'!AN33="","",'Marks Entry'!AN33)</f>
        <v/>
      </c>
      <c r="AO33" s="105">
        <f t="shared" si="43"/>
        <v>40</v>
      </c>
      <c r="AP33" s="105">
        <f>IF(AND('Marks Entry'!AO33="",'Marks Entry'!AP33=""),"",SUM('Marks Entry'!AO33:AP33))</f>
        <v>70</v>
      </c>
      <c r="AQ33" s="105" t="str">
        <f>IF('Marks Entry'!AQ33="","",'Marks Entry'!AQ33)</f>
        <v/>
      </c>
      <c r="AR33" s="105">
        <f t="shared" si="44"/>
        <v>70</v>
      </c>
      <c r="AS33" s="105">
        <f t="shared" si="45"/>
        <v>140</v>
      </c>
      <c r="AT33" s="105" t="str">
        <f t="shared" si="46"/>
        <v/>
      </c>
      <c r="AU33" s="105" t="str">
        <f t="shared" si="47"/>
        <v/>
      </c>
      <c r="AV33" s="47" t="str">
        <f>IF(B33="","",IF('Marks Entry'!AS33="",'Marks Entry'!$AS$4,'Marks Entry'!AS33))</f>
        <v/>
      </c>
      <c r="AW33" s="105">
        <f>IF('Marks Entry'!AT33="","",'Marks Entry'!AT33)</f>
        <v>15</v>
      </c>
      <c r="AX33" s="105">
        <f>IF('Marks Entry'!AU33="","",'Marks Entry'!AU33)</f>
        <v>15</v>
      </c>
      <c r="AY33" s="105">
        <f>IF(AND('Marks Entry'!AV33="",'Marks Entry'!AW33=""),"",SUM('Marks Entry'!AV33:AW33))</f>
        <v>19</v>
      </c>
      <c r="AZ33" s="105">
        <f>IF('Marks Entry'!AX33="","",'Marks Entry'!AX33)</f>
        <v>10</v>
      </c>
      <c r="BA33" s="105">
        <f t="shared" si="48"/>
        <v>29</v>
      </c>
      <c r="BB33" s="105">
        <f>IF(AND('Marks Entry'!AY33="",'Marks Entry'!AZ33=""),"",SUM('Marks Entry'!AY33:AZ33))</f>
        <v>38</v>
      </c>
      <c r="BC33" s="105">
        <f>IF('Marks Entry'!BA33="","",'Marks Entry'!BA33)</f>
        <v>12</v>
      </c>
      <c r="BD33" s="105">
        <f t="shared" si="49"/>
        <v>50</v>
      </c>
      <c r="BE33" s="105">
        <f t="shared" si="50"/>
        <v>109</v>
      </c>
      <c r="BF33" s="105" t="str">
        <f t="shared" si="51"/>
        <v/>
      </c>
      <c r="BG33" s="105" t="str">
        <f t="shared" si="52"/>
        <v/>
      </c>
      <c r="BH33" s="105" t="str">
        <f t="shared" si="53"/>
        <v/>
      </c>
      <c r="BI33" s="50" t="str">
        <f t="shared" si="3"/>
        <v/>
      </c>
      <c r="BJ33" s="47" t="str">
        <f t="shared" si="4"/>
        <v/>
      </c>
      <c r="BK33" s="105" t="str">
        <f t="shared" si="54"/>
        <v/>
      </c>
      <c r="BL33" s="105" t="str">
        <f t="shared" si="55"/>
        <v/>
      </c>
      <c r="BM33" s="105" t="str">
        <f>IF(OR(B33="",'Marks Entry'!BY33=""),"",'Marks Entry'!BY33)</f>
        <v/>
      </c>
      <c r="BN33" s="105" t="str">
        <f>IF(OR(B33="",'Marks Entry'!BZ33=""),"",'Marks Entry'!BZ33)</f>
        <v/>
      </c>
      <c r="BO33" s="105">
        <f>IF('Marks Entry'!BC33="","",'Marks Entry'!BC33)</f>
        <v>15</v>
      </c>
      <c r="BP33" s="105">
        <f>IF('Marks Entry'!BD33="","",'Marks Entry'!BD33)</f>
        <v>15</v>
      </c>
      <c r="BQ33" s="105">
        <f>IF(AND('Marks Entry'!BE33="",'Marks Entry'!BF33=""),"",SUM('Marks Entry'!BE33:BF33))</f>
        <v>25</v>
      </c>
      <c r="BR33" s="105">
        <f>IF(AND('Marks Entry'!BG33="",'Marks Entry'!BH33=""),"",SUM('Marks Entry'!BG33:BH33))</f>
        <v>82</v>
      </c>
      <c r="BS33" s="105">
        <f t="shared" si="56"/>
        <v>137</v>
      </c>
      <c r="BT33" s="105" t="str">
        <f t="shared" si="57"/>
        <v/>
      </c>
      <c r="BU33" s="105" t="str">
        <f t="shared" si="58"/>
        <v/>
      </c>
      <c r="BV33" s="105">
        <f>IF('Marks Entry'!BJ33="","",'Marks Entry'!BJ33)</f>
        <v>15</v>
      </c>
      <c r="BW33" s="105">
        <f>IF('Marks Entry'!BK33="","",'Marks Entry'!BK33)</f>
        <v>15</v>
      </c>
      <c r="BX33" s="105">
        <f>IF(AND('Marks Entry'!BL33="",'Marks Entry'!BM33=""),"",SUM('Marks Entry'!BL33:BM33))</f>
        <v>25</v>
      </c>
      <c r="BY33" s="105">
        <f>IF(AND('Marks Entry'!BN33="",'Marks Entry'!BO33=""),"",SUM('Marks Entry'!BN33:BO33))</f>
        <v>82</v>
      </c>
      <c r="BZ33" s="105">
        <f t="shared" si="59"/>
        <v>137</v>
      </c>
      <c r="CA33" s="105" t="str">
        <f t="shared" si="60"/>
        <v/>
      </c>
      <c r="CB33" s="105" t="str">
        <f t="shared" si="61"/>
        <v/>
      </c>
      <c r="CC33" s="105" t="str">
        <f>IF('Marks Entry'!BQ33="","",'Marks Entry'!BQ33)</f>
        <v/>
      </c>
      <c r="CD33" s="105" t="str">
        <f>IF('Marks Entry'!BR33="","",'Marks Entry'!BR33)</f>
        <v/>
      </c>
      <c r="CE33" s="105" t="str">
        <f>IF(AND('Marks Entry'!BS33="",'Marks Entry'!BT33=""),"",SUM('Marks Entry'!BS33:BT33))</f>
        <v/>
      </c>
      <c r="CF33" s="105" t="str">
        <f>IF(AND('Marks Entry'!BU33="",'Marks Entry'!BV33=""),"",SUM('Marks Entry'!BU33:BV33))</f>
        <v/>
      </c>
      <c r="CG33" s="105" t="str">
        <f t="shared" si="62"/>
        <v/>
      </c>
      <c r="CH33" s="105" t="str">
        <f t="shared" si="63"/>
        <v/>
      </c>
      <c r="CI33" s="105" t="str">
        <f t="shared" si="64"/>
        <v/>
      </c>
      <c r="CJ33" s="81"/>
      <c r="CK33" s="50" t="str">
        <f t="shared" si="5"/>
        <v/>
      </c>
      <c r="CM33" s="105" t="str">
        <f t="shared" si="6"/>
        <v/>
      </c>
      <c r="CN33" s="105" t="str">
        <f t="shared" si="7"/>
        <v/>
      </c>
      <c r="CO33" s="105" t="str">
        <f t="shared" si="8"/>
        <v/>
      </c>
      <c r="CP33" s="105" t="str">
        <f t="shared" si="9"/>
        <v/>
      </c>
      <c r="CQ33" s="105" t="str">
        <f t="shared" si="10"/>
        <v/>
      </c>
      <c r="CS33" s="105">
        <f t="shared" si="11"/>
        <v>0</v>
      </c>
      <c r="CT33" s="105">
        <f t="shared" si="12"/>
        <v>0</v>
      </c>
      <c r="CU33" s="105">
        <f t="shared" si="13"/>
        <v>0</v>
      </c>
      <c r="CV33" s="105">
        <f t="shared" si="14"/>
        <v>0</v>
      </c>
      <c r="CW33" s="81"/>
      <c r="CX33" s="105" t="str">
        <f t="shared" si="15"/>
        <v/>
      </c>
      <c r="CY33" s="105" t="str">
        <f t="shared" si="16"/>
        <v/>
      </c>
      <c r="CZ33" s="105" t="str">
        <f t="shared" si="17"/>
        <v/>
      </c>
      <c r="DA33" s="105" t="str">
        <f t="shared" si="18"/>
        <v/>
      </c>
      <c r="DB33" s="105" t="str">
        <f t="shared" si="19"/>
        <v/>
      </c>
      <c r="DD33" s="105" t="str">
        <f t="shared" si="20"/>
        <v/>
      </c>
      <c r="DE33" s="105" t="str">
        <f t="shared" si="21"/>
        <v/>
      </c>
      <c r="DF33" s="105" t="str">
        <f t="shared" si="22"/>
        <v/>
      </c>
      <c r="DG33" s="105" t="str">
        <f t="shared" si="23"/>
        <v/>
      </c>
      <c r="DH33" s="105" t="str">
        <f t="shared" si="24"/>
        <v/>
      </c>
      <c r="DI33" s="105" t="str">
        <f t="shared" si="25"/>
        <v/>
      </c>
      <c r="DJ33" s="105" t="str">
        <f t="shared" si="26"/>
        <v/>
      </c>
      <c r="DK33" s="105" t="str">
        <f t="shared" si="27"/>
        <v/>
      </c>
      <c r="DL33" s="105" t="str">
        <f t="shared" si="28"/>
        <v/>
      </c>
      <c r="DM33" s="105" t="str">
        <f t="shared" si="29"/>
        <v/>
      </c>
      <c r="DN33" s="105" t="str">
        <f t="shared" si="30"/>
        <v/>
      </c>
      <c r="DO33" s="105" t="str">
        <f t="shared" si="31"/>
        <v/>
      </c>
      <c r="DP33" s="105" t="str">
        <f t="shared" si="32"/>
        <v/>
      </c>
      <c r="DR33" s="118" t="str">
        <f t="shared" si="65"/>
        <v xml:space="preserve">    </v>
      </c>
      <c r="DS33" s="75"/>
      <c r="DT33" s="119" t="str">
        <f t="shared" si="66"/>
        <v xml:space="preserve">    </v>
      </c>
      <c r="DU33" s="136"/>
      <c r="DV33" s="119" t="str">
        <f t="shared" si="67"/>
        <v xml:space="preserve">    </v>
      </c>
      <c r="DW33" s="75"/>
      <c r="DX33" s="119" t="str">
        <f t="shared" si="68"/>
        <v xml:space="preserve">     </v>
      </c>
      <c r="DY33" s="75"/>
      <c r="DZ33" s="119" t="str">
        <f t="shared" si="69"/>
        <v xml:space="preserve">    </v>
      </c>
    </row>
    <row r="34" spans="1:130" ht="30" customHeight="1" x14ac:dyDescent="0.25">
      <c r="A34" s="105" t="str">
        <f>IF('Marks Entry'!A34="","",'Marks Entry'!A34)</f>
        <v/>
      </c>
      <c r="B34" s="105" t="str">
        <f>IF('Marks Entry'!B34="","",'Marks Entry'!B34)</f>
        <v/>
      </c>
      <c r="C34" s="105" t="str">
        <f>IF('Marks Entry'!C34="","",'Marks Entry'!C34)</f>
        <v/>
      </c>
      <c r="D34" s="48" t="str">
        <f>IF('Marks Entry'!D34="","",'Marks Entry'!D34)</f>
        <v/>
      </c>
      <c r="E34" s="48" t="str">
        <f>IF('Marks Entry'!E34="","",'Marks Entry'!E34)</f>
        <v/>
      </c>
      <c r="F34" s="48" t="str">
        <f>IF('Marks Entry'!F34="","",'Marks Entry'!F34)</f>
        <v/>
      </c>
      <c r="G34" s="105" t="str">
        <f>IF('Marks Entry'!G34="","",'Marks Entry'!G34)</f>
        <v/>
      </c>
      <c r="H34" s="49" t="str">
        <f>IF('Marks Entry'!H34="","",'Marks Entry'!H34)</f>
        <v/>
      </c>
      <c r="I34" s="105" t="str">
        <f>IF('Marks Entry'!I34="","",'Marks Entry'!I34)</f>
        <v/>
      </c>
      <c r="J34" s="105">
        <f>IF('Marks Entry'!K34="","",'Marks Entry'!K34)</f>
        <v>10</v>
      </c>
      <c r="K34" s="105">
        <f>IF('Marks Entry'!L34="","",'Marks Entry'!L34)</f>
        <v>10</v>
      </c>
      <c r="L34" s="105">
        <f>IF(AND('Marks Entry'!M34="",'Marks Entry'!N34=""),"",SUM('Marks Entry'!M34:N34))</f>
        <v>16</v>
      </c>
      <c r="M34" s="105">
        <f>IF(AND('Marks Entry'!O34="",'Marks Entry'!P34=""),"",SUM('Marks Entry'!O34:P34))</f>
        <v>72</v>
      </c>
      <c r="N34" s="105">
        <f t="shared" si="2"/>
        <v>108</v>
      </c>
      <c r="O34" s="105" t="str">
        <f t="shared" si="33"/>
        <v/>
      </c>
      <c r="P34" s="105" t="str">
        <f t="shared" si="34"/>
        <v/>
      </c>
      <c r="Q34" s="105">
        <f>IF('Marks Entry'!R34="","",'Marks Entry'!R34)</f>
        <v>5</v>
      </c>
      <c r="R34" s="105">
        <f>IF('Marks Entry'!S34="","",'Marks Entry'!S34)</f>
        <v>10</v>
      </c>
      <c r="S34" s="105">
        <f>IF(AND('Marks Entry'!T34="",'Marks Entry'!U34=""),"",SUM('Marks Entry'!T34:U34))</f>
        <v>16</v>
      </c>
      <c r="T34" s="105">
        <f>IF(AND('Marks Entry'!V34="",'Marks Entry'!W34=""),"",SUM('Marks Entry'!V34:W34))</f>
        <v>63</v>
      </c>
      <c r="U34" s="105">
        <f t="shared" si="35"/>
        <v>94</v>
      </c>
      <c r="V34" s="105" t="str">
        <f t="shared" si="36"/>
        <v/>
      </c>
      <c r="W34" s="105" t="str">
        <f t="shared" si="37"/>
        <v/>
      </c>
      <c r="X34" s="47" t="str">
        <f>IF(B34="","",IF('Marks Entry'!Y34="",'Marks Entry'!$Y$4,'Marks Entry'!Y34))</f>
        <v/>
      </c>
      <c r="Y34" s="105">
        <f>IF('Marks Entry'!Z34="","",'Marks Entry'!Z34)</f>
        <v>12</v>
      </c>
      <c r="Z34" s="105">
        <f>IF('Marks Entry'!AA34="","",'Marks Entry'!AA34)</f>
        <v>10</v>
      </c>
      <c r="AA34" s="105">
        <f>IF(AND('Marks Entry'!AB34="",'Marks Entry'!AC34=""),"",SUM('Marks Entry'!AB34:AC34))</f>
        <v>16</v>
      </c>
      <c r="AB34" s="105" t="str">
        <f>IF('Marks Entry'!AD34="","",'Marks Entry'!AD34)</f>
        <v/>
      </c>
      <c r="AC34" s="105">
        <f t="shared" si="38"/>
        <v>16</v>
      </c>
      <c r="AD34" s="105">
        <f>IF(AND('Marks Entry'!AE34="",'Marks Entry'!AF34=""),"",SUM('Marks Entry'!AE34:AF34))</f>
        <v>51</v>
      </c>
      <c r="AE34" s="105" t="str">
        <f>IF('Marks Entry'!AG34="","",'Marks Entry'!AG34)</f>
        <v/>
      </c>
      <c r="AF34" s="105">
        <f t="shared" si="39"/>
        <v>51</v>
      </c>
      <c r="AG34" s="105">
        <f t="shared" si="40"/>
        <v>89</v>
      </c>
      <c r="AH34" s="105" t="str">
        <f t="shared" si="41"/>
        <v/>
      </c>
      <c r="AI34" s="105" t="str">
        <f t="shared" si="42"/>
        <v/>
      </c>
      <c r="AJ34" s="47" t="str">
        <f>IF(B34="","",IF('Marks Entry'!AI34="",'Marks Entry'!$AI$4,'Marks Entry'!AI34))</f>
        <v/>
      </c>
      <c r="AK34" s="105">
        <f>IF('Marks Entry'!AJ34="","",'Marks Entry'!AJ34)</f>
        <v>6</v>
      </c>
      <c r="AL34" s="105">
        <f>IF('Marks Entry'!AK34="","",'Marks Entry'!AK34)</f>
        <v>10</v>
      </c>
      <c r="AM34" s="105">
        <f>IF(AND('Marks Entry'!AL34="",'Marks Entry'!AM34=""),"",SUM('Marks Entry'!AL34:AM34))</f>
        <v>16</v>
      </c>
      <c r="AN34" s="105" t="str">
        <f>IF('Marks Entry'!AN34="","",'Marks Entry'!AN34)</f>
        <v/>
      </c>
      <c r="AO34" s="105">
        <f t="shared" si="43"/>
        <v>16</v>
      </c>
      <c r="AP34" s="105">
        <f>IF(AND('Marks Entry'!AO34="",'Marks Entry'!AP34=""),"",SUM('Marks Entry'!AO34:AP34))</f>
        <v>52</v>
      </c>
      <c r="AQ34" s="105" t="str">
        <f>IF('Marks Entry'!AQ34="","",'Marks Entry'!AQ34)</f>
        <v/>
      </c>
      <c r="AR34" s="105">
        <f t="shared" si="44"/>
        <v>52</v>
      </c>
      <c r="AS34" s="105">
        <f t="shared" si="45"/>
        <v>84</v>
      </c>
      <c r="AT34" s="105" t="str">
        <f t="shared" si="46"/>
        <v/>
      </c>
      <c r="AU34" s="105" t="str">
        <f t="shared" si="47"/>
        <v/>
      </c>
      <c r="AV34" s="47" t="str">
        <f>IF(B34="","",IF('Marks Entry'!AS34="",'Marks Entry'!$AS$4,'Marks Entry'!AS34))</f>
        <v/>
      </c>
      <c r="AW34" s="105">
        <f>IF('Marks Entry'!AT34="","",'Marks Entry'!AT34)</f>
        <v>15</v>
      </c>
      <c r="AX34" s="105">
        <f>IF('Marks Entry'!AU34="","",'Marks Entry'!AU34)</f>
        <v>10</v>
      </c>
      <c r="AY34" s="105">
        <f>IF(AND('Marks Entry'!AV34="",'Marks Entry'!AW34=""),"",SUM('Marks Entry'!AV34:AW34))</f>
        <v>23</v>
      </c>
      <c r="AZ34" s="105">
        <f>IF('Marks Entry'!AX34="","",'Marks Entry'!AX34)</f>
        <v>15</v>
      </c>
      <c r="BA34" s="105">
        <f t="shared" si="48"/>
        <v>38</v>
      </c>
      <c r="BB34" s="105">
        <f>IF(AND('Marks Entry'!AY34="",'Marks Entry'!AZ34=""),"",SUM('Marks Entry'!AY34:AZ34))</f>
        <v>34</v>
      </c>
      <c r="BC34" s="105">
        <f>IF('Marks Entry'!BA34="","",'Marks Entry'!BA34)</f>
        <v>13</v>
      </c>
      <c r="BD34" s="105">
        <f t="shared" si="49"/>
        <v>47</v>
      </c>
      <c r="BE34" s="105">
        <f t="shared" si="50"/>
        <v>110</v>
      </c>
      <c r="BF34" s="105" t="str">
        <f t="shared" si="51"/>
        <v/>
      </c>
      <c r="BG34" s="105" t="str">
        <f t="shared" si="52"/>
        <v/>
      </c>
      <c r="BH34" s="105" t="str">
        <f t="shared" si="53"/>
        <v/>
      </c>
      <c r="BI34" s="50" t="str">
        <f t="shared" si="3"/>
        <v/>
      </c>
      <c r="BJ34" s="47" t="str">
        <f t="shared" si="4"/>
        <v/>
      </c>
      <c r="BK34" s="105" t="str">
        <f t="shared" si="54"/>
        <v/>
      </c>
      <c r="BL34" s="105" t="str">
        <f t="shared" si="55"/>
        <v/>
      </c>
      <c r="BM34" s="105" t="str">
        <f>IF(OR(B34="",'Marks Entry'!BY34=""),"",'Marks Entry'!BY34)</f>
        <v/>
      </c>
      <c r="BN34" s="105" t="str">
        <f>IF(OR(B34="",'Marks Entry'!BZ34=""),"",'Marks Entry'!BZ34)</f>
        <v/>
      </c>
      <c r="BO34" s="105">
        <f>IF('Marks Entry'!BC34="","",'Marks Entry'!BC34)</f>
        <v>15</v>
      </c>
      <c r="BP34" s="105">
        <f>IF('Marks Entry'!BD34="","",'Marks Entry'!BD34)</f>
        <v>15</v>
      </c>
      <c r="BQ34" s="105">
        <f>IF(AND('Marks Entry'!BE34="",'Marks Entry'!BF34=""),"",SUM('Marks Entry'!BE34:BF34))</f>
        <v>25</v>
      </c>
      <c r="BR34" s="105">
        <f>IF(AND('Marks Entry'!BG34="",'Marks Entry'!BH34=""),"",SUM('Marks Entry'!BG34:BH34))</f>
        <v>82</v>
      </c>
      <c r="BS34" s="105">
        <f t="shared" si="56"/>
        <v>137</v>
      </c>
      <c r="BT34" s="105" t="str">
        <f t="shared" si="57"/>
        <v/>
      </c>
      <c r="BU34" s="105" t="str">
        <f t="shared" si="58"/>
        <v/>
      </c>
      <c r="BV34" s="105">
        <f>IF('Marks Entry'!BJ34="","",'Marks Entry'!BJ34)</f>
        <v>15</v>
      </c>
      <c r="BW34" s="105">
        <f>IF('Marks Entry'!BK34="","",'Marks Entry'!BK34)</f>
        <v>15</v>
      </c>
      <c r="BX34" s="105">
        <f>IF(AND('Marks Entry'!BL34="",'Marks Entry'!BM34=""),"",SUM('Marks Entry'!BL34:BM34))</f>
        <v>25</v>
      </c>
      <c r="BY34" s="105">
        <f>IF(AND('Marks Entry'!BN34="",'Marks Entry'!BO34=""),"",SUM('Marks Entry'!BN34:BO34))</f>
        <v>82</v>
      </c>
      <c r="BZ34" s="105">
        <f t="shared" si="59"/>
        <v>137</v>
      </c>
      <c r="CA34" s="105" t="str">
        <f t="shared" si="60"/>
        <v/>
      </c>
      <c r="CB34" s="105" t="str">
        <f t="shared" si="61"/>
        <v/>
      </c>
      <c r="CC34" s="105" t="str">
        <f>IF('Marks Entry'!BQ34="","",'Marks Entry'!BQ34)</f>
        <v/>
      </c>
      <c r="CD34" s="105" t="str">
        <f>IF('Marks Entry'!BR34="","",'Marks Entry'!BR34)</f>
        <v/>
      </c>
      <c r="CE34" s="105" t="str">
        <f>IF(AND('Marks Entry'!BS34="",'Marks Entry'!BT34=""),"",SUM('Marks Entry'!BS34:BT34))</f>
        <v/>
      </c>
      <c r="CF34" s="105" t="str">
        <f>IF(AND('Marks Entry'!BU34="",'Marks Entry'!BV34=""),"",SUM('Marks Entry'!BU34:BV34))</f>
        <v/>
      </c>
      <c r="CG34" s="105" t="str">
        <f t="shared" si="62"/>
        <v/>
      </c>
      <c r="CH34" s="105" t="str">
        <f t="shared" si="63"/>
        <v/>
      </c>
      <c r="CI34" s="105" t="str">
        <f t="shared" si="64"/>
        <v/>
      </c>
      <c r="CJ34" s="81"/>
      <c r="CK34" s="50" t="str">
        <f t="shared" si="5"/>
        <v/>
      </c>
      <c r="CM34" s="105" t="str">
        <f t="shared" si="6"/>
        <v/>
      </c>
      <c r="CN34" s="105" t="str">
        <f t="shared" si="7"/>
        <v/>
      </c>
      <c r="CO34" s="105" t="str">
        <f t="shared" si="8"/>
        <v/>
      </c>
      <c r="CP34" s="105" t="str">
        <f t="shared" si="9"/>
        <v/>
      </c>
      <c r="CQ34" s="105" t="str">
        <f t="shared" si="10"/>
        <v/>
      </c>
      <c r="CS34" s="105">
        <f t="shared" si="11"/>
        <v>0</v>
      </c>
      <c r="CT34" s="105">
        <f t="shared" si="12"/>
        <v>0</v>
      </c>
      <c r="CU34" s="105">
        <f t="shared" si="13"/>
        <v>0</v>
      </c>
      <c r="CV34" s="105">
        <f t="shared" si="14"/>
        <v>0</v>
      </c>
      <c r="CW34" s="81"/>
      <c r="CX34" s="105" t="str">
        <f t="shared" si="15"/>
        <v/>
      </c>
      <c r="CY34" s="105" t="str">
        <f t="shared" si="16"/>
        <v/>
      </c>
      <c r="CZ34" s="105" t="str">
        <f t="shared" si="17"/>
        <v/>
      </c>
      <c r="DA34" s="105" t="str">
        <f t="shared" si="18"/>
        <v/>
      </c>
      <c r="DB34" s="105" t="str">
        <f t="shared" si="19"/>
        <v/>
      </c>
      <c r="DD34" s="105" t="str">
        <f t="shared" si="20"/>
        <v/>
      </c>
      <c r="DE34" s="105" t="str">
        <f t="shared" si="21"/>
        <v/>
      </c>
      <c r="DF34" s="105" t="str">
        <f t="shared" si="22"/>
        <v/>
      </c>
      <c r="DG34" s="105" t="str">
        <f t="shared" si="23"/>
        <v/>
      </c>
      <c r="DH34" s="105" t="str">
        <f t="shared" si="24"/>
        <v/>
      </c>
      <c r="DI34" s="105" t="str">
        <f t="shared" si="25"/>
        <v/>
      </c>
      <c r="DJ34" s="105" t="str">
        <f t="shared" si="26"/>
        <v/>
      </c>
      <c r="DK34" s="105" t="str">
        <f t="shared" si="27"/>
        <v/>
      </c>
      <c r="DL34" s="105" t="str">
        <f t="shared" si="28"/>
        <v/>
      </c>
      <c r="DM34" s="105" t="str">
        <f t="shared" si="29"/>
        <v/>
      </c>
      <c r="DN34" s="105" t="str">
        <f t="shared" si="30"/>
        <v/>
      </c>
      <c r="DO34" s="105" t="str">
        <f t="shared" si="31"/>
        <v/>
      </c>
      <c r="DP34" s="105" t="str">
        <f t="shared" si="32"/>
        <v/>
      </c>
      <c r="DR34" s="118" t="str">
        <f t="shared" si="65"/>
        <v xml:space="preserve">    </v>
      </c>
      <c r="DS34" s="75"/>
      <c r="DT34" s="119" t="str">
        <f t="shared" si="66"/>
        <v xml:space="preserve">    </v>
      </c>
      <c r="DU34" s="136"/>
      <c r="DV34" s="119" t="str">
        <f t="shared" si="67"/>
        <v xml:space="preserve">    </v>
      </c>
      <c r="DW34" s="75"/>
      <c r="DX34" s="119" t="str">
        <f t="shared" si="68"/>
        <v xml:space="preserve">     </v>
      </c>
      <c r="DY34" s="75"/>
      <c r="DZ34" s="119" t="str">
        <f t="shared" si="69"/>
        <v xml:space="preserve">    </v>
      </c>
    </row>
    <row r="35" spans="1:130" ht="30" customHeight="1" x14ac:dyDescent="0.25">
      <c r="A35" s="105" t="str">
        <f>IF('Marks Entry'!A35="","",'Marks Entry'!A35)</f>
        <v/>
      </c>
      <c r="B35" s="105" t="str">
        <f>IF('Marks Entry'!B35="","",'Marks Entry'!B35)</f>
        <v/>
      </c>
      <c r="C35" s="105" t="str">
        <f>IF('Marks Entry'!C35="","",'Marks Entry'!C35)</f>
        <v/>
      </c>
      <c r="D35" s="48" t="str">
        <f>IF('Marks Entry'!D35="","",'Marks Entry'!D35)</f>
        <v/>
      </c>
      <c r="E35" s="48" t="str">
        <f>IF('Marks Entry'!E35="","",'Marks Entry'!E35)</f>
        <v/>
      </c>
      <c r="F35" s="48" t="str">
        <f>IF('Marks Entry'!F35="","",'Marks Entry'!F35)</f>
        <v/>
      </c>
      <c r="G35" s="105" t="str">
        <f>IF('Marks Entry'!G35="","",'Marks Entry'!G35)</f>
        <v/>
      </c>
      <c r="H35" s="49" t="str">
        <f>IF('Marks Entry'!H35="","",'Marks Entry'!H35)</f>
        <v/>
      </c>
      <c r="I35" s="105" t="str">
        <f>IF('Marks Entry'!I35="","",'Marks Entry'!I35)</f>
        <v/>
      </c>
      <c r="J35" s="105">
        <f>IF('Marks Entry'!K35="","",'Marks Entry'!K35)</f>
        <v>15</v>
      </c>
      <c r="K35" s="105">
        <f>IF('Marks Entry'!L35="","",'Marks Entry'!L35)</f>
        <v>15</v>
      </c>
      <c r="L35" s="105">
        <f>IF(AND('Marks Entry'!M35="",'Marks Entry'!N35=""),"",SUM('Marks Entry'!M35:N35))</f>
        <v>30</v>
      </c>
      <c r="M35" s="105">
        <f>IF(AND('Marks Entry'!O35="",'Marks Entry'!P35=""),"",SUM('Marks Entry'!O35:P35))</f>
        <v>73</v>
      </c>
      <c r="N35" s="105">
        <f t="shared" si="2"/>
        <v>133</v>
      </c>
      <c r="O35" s="105" t="str">
        <f t="shared" si="33"/>
        <v/>
      </c>
      <c r="P35" s="105" t="str">
        <f t="shared" si="34"/>
        <v/>
      </c>
      <c r="Q35" s="105">
        <f>IF('Marks Entry'!R35="","",'Marks Entry'!R35)</f>
        <v>10</v>
      </c>
      <c r="R35" s="105">
        <f>IF('Marks Entry'!S35="","",'Marks Entry'!S35)</f>
        <v>10</v>
      </c>
      <c r="S35" s="105">
        <f>IF(AND('Marks Entry'!T35="",'Marks Entry'!U35=""),"",SUM('Marks Entry'!T35:U35))</f>
        <v>20</v>
      </c>
      <c r="T35" s="105">
        <f>IF(AND('Marks Entry'!V35="",'Marks Entry'!W35=""),"",SUM('Marks Entry'!V35:W35))</f>
        <v>64</v>
      </c>
      <c r="U35" s="105">
        <f t="shared" si="35"/>
        <v>104</v>
      </c>
      <c r="V35" s="105" t="str">
        <f t="shared" si="36"/>
        <v/>
      </c>
      <c r="W35" s="105" t="str">
        <f t="shared" si="37"/>
        <v/>
      </c>
      <c r="X35" s="47" t="str">
        <f>IF(B35="","",IF('Marks Entry'!Y35="",'Marks Entry'!$Y$4,'Marks Entry'!Y35))</f>
        <v/>
      </c>
      <c r="Y35" s="105">
        <f>IF('Marks Entry'!Z35="","",'Marks Entry'!Z35)</f>
        <v>10</v>
      </c>
      <c r="Z35" s="105">
        <f>IF('Marks Entry'!AA35="","",'Marks Entry'!AA35)</f>
        <v>10</v>
      </c>
      <c r="AA35" s="105">
        <f>IF(AND('Marks Entry'!AB35="",'Marks Entry'!AC35=""),"",SUM('Marks Entry'!AB35:AC35))</f>
        <v>40</v>
      </c>
      <c r="AB35" s="105" t="str">
        <f>IF('Marks Entry'!AD35="","",'Marks Entry'!AD35)</f>
        <v/>
      </c>
      <c r="AC35" s="105">
        <f t="shared" si="38"/>
        <v>40</v>
      </c>
      <c r="AD35" s="105">
        <f>IF(AND('Marks Entry'!AE35="",'Marks Entry'!AF35=""),"",SUM('Marks Entry'!AE35:AF35))</f>
        <v>41</v>
      </c>
      <c r="AE35" s="105" t="str">
        <f>IF('Marks Entry'!AG35="","",'Marks Entry'!AG35)</f>
        <v/>
      </c>
      <c r="AF35" s="105">
        <f t="shared" si="39"/>
        <v>41</v>
      </c>
      <c r="AG35" s="105">
        <f t="shared" si="40"/>
        <v>101</v>
      </c>
      <c r="AH35" s="105" t="str">
        <f t="shared" si="41"/>
        <v/>
      </c>
      <c r="AI35" s="105" t="str">
        <f t="shared" si="42"/>
        <v/>
      </c>
      <c r="AJ35" s="47" t="str">
        <f>IF(B35="","",IF('Marks Entry'!AI35="",'Marks Entry'!$AI$4,'Marks Entry'!AI35))</f>
        <v/>
      </c>
      <c r="AK35" s="105">
        <f>IF('Marks Entry'!AJ35="","",'Marks Entry'!AJ35)</f>
        <v>10</v>
      </c>
      <c r="AL35" s="105">
        <f>IF('Marks Entry'!AK35="","",'Marks Entry'!AK35)</f>
        <v>10</v>
      </c>
      <c r="AM35" s="105">
        <f>IF(AND('Marks Entry'!AL35="",'Marks Entry'!AM35=""),"",SUM('Marks Entry'!AL35:AM35))</f>
        <v>40</v>
      </c>
      <c r="AN35" s="105" t="str">
        <f>IF('Marks Entry'!AN35="","",'Marks Entry'!AN35)</f>
        <v/>
      </c>
      <c r="AO35" s="105">
        <f t="shared" si="43"/>
        <v>40</v>
      </c>
      <c r="AP35" s="105">
        <f>IF(AND('Marks Entry'!AO35="",'Marks Entry'!AP35=""),"",SUM('Marks Entry'!AO35:AP35))</f>
        <v>65</v>
      </c>
      <c r="AQ35" s="105" t="str">
        <f>IF('Marks Entry'!AQ35="","",'Marks Entry'!AQ35)</f>
        <v/>
      </c>
      <c r="AR35" s="105">
        <f t="shared" si="44"/>
        <v>65</v>
      </c>
      <c r="AS35" s="105">
        <f t="shared" si="45"/>
        <v>125</v>
      </c>
      <c r="AT35" s="105" t="str">
        <f t="shared" si="46"/>
        <v/>
      </c>
      <c r="AU35" s="105" t="str">
        <f t="shared" si="47"/>
        <v/>
      </c>
      <c r="AV35" s="47" t="str">
        <f>IF(B35="","",IF('Marks Entry'!AS35="",'Marks Entry'!$AS$4,'Marks Entry'!AS35))</f>
        <v/>
      </c>
      <c r="AW35" s="105">
        <f>IF('Marks Entry'!AT35="","",'Marks Entry'!AT35)</f>
        <v>10</v>
      </c>
      <c r="AX35" s="105">
        <f>IF('Marks Entry'!AU35="","",'Marks Entry'!AU35)</f>
        <v>10</v>
      </c>
      <c r="AY35" s="105">
        <f>IF(AND('Marks Entry'!AV35="",'Marks Entry'!AW35=""),"",SUM('Marks Entry'!AV35:AW35))</f>
        <v>19</v>
      </c>
      <c r="AZ35" s="105">
        <f>IF('Marks Entry'!AX35="","",'Marks Entry'!AX35)</f>
        <v>10</v>
      </c>
      <c r="BA35" s="105">
        <f t="shared" si="48"/>
        <v>29</v>
      </c>
      <c r="BB35" s="105">
        <f>IF(AND('Marks Entry'!AY35="",'Marks Entry'!AZ35=""),"",SUM('Marks Entry'!AY35:AZ35))</f>
        <v>41</v>
      </c>
      <c r="BC35" s="105">
        <f>IF('Marks Entry'!BA35="","",'Marks Entry'!BA35)</f>
        <v>14</v>
      </c>
      <c r="BD35" s="105">
        <f t="shared" si="49"/>
        <v>55</v>
      </c>
      <c r="BE35" s="105">
        <f t="shared" si="50"/>
        <v>104</v>
      </c>
      <c r="BF35" s="105" t="str">
        <f t="shared" si="51"/>
        <v/>
      </c>
      <c r="BG35" s="105" t="str">
        <f t="shared" si="52"/>
        <v/>
      </c>
      <c r="BH35" s="105" t="str">
        <f t="shared" si="53"/>
        <v/>
      </c>
      <c r="BI35" s="50" t="str">
        <f t="shared" si="3"/>
        <v/>
      </c>
      <c r="BJ35" s="47" t="str">
        <f t="shared" si="4"/>
        <v/>
      </c>
      <c r="BK35" s="105" t="str">
        <f t="shared" si="54"/>
        <v/>
      </c>
      <c r="BL35" s="105" t="str">
        <f t="shared" si="55"/>
        <v/>
      </c>
      <c r="BM35" s="105" t="str">
        <f>IF(OR(B35="",'Marks Entry'!BY35=""),"",'Marks Entry'!BY35)</f>
        <v/>
      </c>
      <c r="BN35" s="105" t="str">
        <f>IF(OR(B35="",'Marks Entry'!BZ35=""),"",'Marks Entry'!BZ35)</f>
        <v/>
      </c>
      <c r="BO35" s="105">
        <f>IF('Marks Entry'!BC35="","",'Marks Entry'!BC35)</f>
        <v>15</v>
      </c>
      <c r="BP35" s="105">
        <f>IF('Marks Entry'!BD35="","",'Marks Entry'!BD35)</f>
        <v>15</v>
      </c>
      <c r="BQ35" s="105">
        <f>IF(AND('Marks Entry'!BE35="",'Marks Entry'!BF35=""),"",SUM('Marks Entry'!BE35:BF35))</f>
        <v>25</v>
      </c>
      <c r="BR35" s="105">
        <f>IF(AND('Marks Entry'!BG35="",'Marks Entry'!BH35=""),"",SUM('Marks Entry'!BG35:BH35))</f>
        <v>82</v>
      </c>
      <c r="BS35" s="105">
        <f t="shared" si="56"/>
        <v>137</v>
      </c>
      <c r="BT35" s="105" t="str">
        <f t="shared" si="57"/>
        <v/>
      </c>
      <c r="BU35" s="105" t="str">
        <f t="shared" si="58"/>
        <v/>
      </c>
      <c r="BV35" s="105">
        <f>IF('Marks Entry'!BJ35="","",'Marks Entry'!BJ35)</f>
        <v>15</v>
      </c>
      <c r="BW35" s="105">
        <f>IF('Marks Entry'!BK35="","",'Marks Entry'!BK35)</f>
        <v>15</v>
      </c>
      <c r="BX35" s="105">
        <f>IF(AND('Marks Entry'!BL35="",'Marks Entry'!BM35=""),"",SUM('Marks Entry'!BL35:BM35))</f>
        <v>25</v>
      </c>
      <c r="BY35" s="105">
        <f>IF(AND('Marks Entry'!BN35="",'Marks Entry'!BO35=""),"",SUM('Marks Entry'!BN35:BO35))</f>
        <v>82</v>
      </c>
      <c r="BZ35" s="105">
        <f t="shared" si="59"/>
        <v>137</v>
      </c>
      <c r="CA35" s="105" t="str">
        <f t="shared" si="60"/>
        <v/>
      </c>
      <c r="CB35" s="105" t="str">
        <f t="shared" si="61"/>
        <v/>
      </c>
      <c r="CC35" s="105" t="str">
        <f>IF('Marks Entry'!BQ35="","",'Marks Entry'!BQ35)</f>
        <v/>
      </c>
      <c r="CD35" s="105" t="str">
        <f>IF('Marks Entry'!BR35="","",'Marks Entry'!BR35)</f>
        <v/>
      </c>
      <c r="CE35" s="105" t="str">
        <f>IF(AND('Marks Entry'!BS35="",'Marks Entry'!BT35=""),"",SUM('Marks Entry'!BS35:BT35))</f>
        <v/>
      </c>
      <c r="CF35" s="105" t="str">
        <f>IF(AND('Marks Entry'!BU35="",'Marks Entry'!BV35=""),"",SUM('Marks Entry'!BU35:BV35))</f>
        <v/>
      </c>
      <c r="CG35" s="105" t="str">
        <f t="shared" si="62"/>
        <v/>
      </c>
      <c r="CH35" s="105" t="str">
        <f t="shared" si="63"/>
        <v/>
      </c>
      <c r="CI35" s="105" t="str">
        <f t="shared" si="64"/>
        <v/>
      </c>
      <c r="CJ35" s="81"/>
      <c r="CK35" s="50" t="str">
        <f t="shared" si="5"/>
        <v/>
      </c>
      <c r="CM35" s="105" t="str">
        <f t="shared" si="6"/>
        <v/>
      </c>
      <c r="CN35" s="105" t="str">
        <f t="shared" si="7"/>
        <v/>
      </c>
      <c r="CO35" s="105" t="str">
        <f t="shared" si="8"/>
        <v/>
      </c>
      <c r="CP35" s="105" t="str">
        <f t="shared" si="9"/>
        <v/>
      </c>
      <c r="CQ35" s="105" t="str">
        <f t="shared" si="10"/>
        <v/>
      </c>
      <c r="CS35" s="105">
        <f t="shared" si="11"/>
        <v>0</v>
      </c>
      <c r="CT35" s="105">
        <f t="shared" si="12"/>
        <v>0</v>
      </c>
      <c r="CU35" s="105">
        <f t="shared" si="13"/>
        <v>0</v>
      </c>
      <c r="CV35" s="105">
        <f t="shared" si="14"/>
        <v>0</v>
      </c>
      <c r="CW35" s="81"/>
      <c r="CX35" s="105" t="str">
        <f t="shared" si="15"/>
        <v/>
      </c>
      <c r="CY35" s="105" t="str">
        <f t="shared" si="16"/>
        <v/>
      </c>
      <c r="CZ35" s="105" t="str">
        <f t="shared" si="17"/>
        <v/>
      </c>
      <c r="DA35" s="105" t="str">
        <f t="shared" si="18"/>
        <v/>
      </c>
      <c r="DB35" s="105" t="str">
        <f t="shared" si="19"/>
        <v/>
      </c>
      <c r="DD35" s="105" t="str">
        <f t="shared" si="20"/>
        <v/>
      </c>
      <c r="DE35" s="105" t="str">
        <f t="shared" si="21"/>
        <v/>
      </c>
      <c r="DF35" s="105" t="str">
        <f t="shared" si="22"/>
        <v/>
      </c>
      <c r="DG35" s="105" t="str">
        <f t="shared" si="23"/>
        <v/>
      </c>
      <c r="DH35" s="105" t="str">
        <f t="shared" si="24"/>
        <v/>
      </c>
      <c r="DI35" s="105" t="str">
        <f t="shared" si="25"/>
        <v/>
      </c>
      <c r="DJ35" s="105" t="str">
        <f t="shared" si="26"/>
        <v/>
      </c>
      <c r="DK35" s="105" t="str">
        <f t="shared" si="27"/>
        <v/>
      </c>
      <c r="DL35" s="105" t="str">
        <f t="shared" si="28"/>
        <v/>
      </c>
      <c r="DM35" s="105" t="str">
        <f t="shared" si="29"/>
        <v/>
      </c>
      <c r="DN35" s="105" t="str">
        <f t="shared" si="30"/>
        <v/>
      </c>
      <c r="DO35" s="105" t="str">
        <f t="shared" si="31"/>
        <v/>
      </c>
      <c r="DP35" s="105" t="str">
        <f t="shared" si="32"/>
        <v/>
      </c>
      <c r="DR35" s="118" t="str">
        <f t="shared" si="65"/>
        <v xml:space="preserve">    </v>
      </c>
      <c r="DS35" s="75"/>
      <c r="DT35" s="119" t="str">
        <f t="shared" si="66"/>
        <v xml:space="preserve">    </v>
      </c>
      <c r="DU35" s="136"/>
      <c r="DV35" s="119" t="str">
        <f t="shared" si="67"/>
        <v xml:space="preserve">    </v>
      </c>
      <c r="DW35" s="75"/>
      <c r="DX35" s="119" t="str">
        <f t="shared" si="68"/>
        <v xml:space="preserve">     </v>
      </c>
      <c r="DY35" s="75"/>
      <c r="DZ35" s="119" t="str">
        <f t="shared" si="69"/>
        <v xml:space="preserve">    </v>
      </c>
    </row>
    <row r="36" spans="1:130" ht="30" customHeight="1" x14ac:dyDescent="0.25">
      <c r="A36" s="105" t="str">
        <f>IF('Marks Entry'!A36="","",'Marks Entry'!A36)</f>
        <v/>
      </c>
      <c r="B36" s="105" t="str">
        <f>IF('Marks Entry'!B36="","",'Marks Entry'!B36)</f>
        <v/>
      </c>
      <c r="C36" s="105" t="str">
        <f>IF('Marks Entry'!C36="","",'Marks Entry'!C36)</f>
        <v/>
      </c>
      <c r="D36" s="48" t="str">
        <f>IF('Marks Entry'!D36="","",'Marks Entry'!D36)</f>
        <v/>
      </c>
      <c r="E36" s="48" t="str">
        <f>IF('Marks Entry'!E36="","",'Marks Entry'!E36)</f>
        <v/>
      </c>
      <c r="F36" s="48" t="str">
        <f>IF('Marks Entry'!F36="","",'Marks Entry'!F36)</f>
        <v/>
      </c>
      <c r="G36" s="105" t="str">
        <f>IF('Marks Entry'!G36="","",'Marks Entry'!G36)</f>
        <v/>
      </c>
      <c r="H36" s="49" t="str">
        <f>IF('Marks Entry'!H36="","",'Marks Entry'!H36)</f>
        <v/>
      </c>
      <c r="I36" s="105" t="str">
        <f>IF('Marks Entry'!I36="","",'Marks Entry'!I36)</f>
        <v/>
      </c>
      <c r="J36" s="105">
        <f>IF('Marks Entry'!K36="","",'Marks Entry'!K36)</f>
        <v>5</v>
      </c>
      <c r="K36" s="105">
        <f>IF('Marks Entry'!L36="","",'Marks Entry'!L36)</f>
        <v>5</v>
      </c>
      <c r="L36" s="105">
        <f>IF(AND('Marks Entry'!M36="",'Marks Entry'!N36=""),"",SUM('Marks Entry'!M36:N36))</f>
        <v>10</v>
      </c>
      <c r="M36" s="105">
        <f>IF(AND('Marks Entry'!O36="",'Marks Entry'!P36=""),"",SUM('Marks Entry'!O36:P36))</f>
        <v>74</v>
      </c>
      <c r="N36" s="105">
        <f t="shared" si="2"/>
        <v>94</v>
      </c>
      <c r="O36" s="105" t="str">
        <f t="shared" si="33"/>
        <v/>
      </c>
      <c r="P36" s="105" t="str">
        <f t="shared" si="34"/>
        <v/>
      </c>
      <c r="Q36" s="105">
        <f>IF('Marks Entry'!R36="","",'Marks Entry'!R36)</f>
        <v>5</v>
      </c>
      <c r="R36" s="105">
        <f>IF('Marks Entry'!S36="","",'Marks Entry'!S36)</f>
        <v>5</v>
      </c>
      <c r="S36" s="105">
        <f>IF(AND('Marks Entry'!T36="",'Marks Entry'!U36=""),"",SUM('Marks Entry'!T36:U36))</f>
        <v>10</v>
      </c>
      <c r="T36" s="105">
        <f>IF(AND('Marks Entry'!V36="",'Marks Entry'!W36=""),"",SUM('Marks Entry'!V36:W36))</f>
        <v>65</v>
      </c>
      <c r="U36" s="105">
        <f t="shared" si="35"/>
        <v>85</v>
      </c>
      <c r="V36" s="105" t="str">
        <f t="shared" si="36"/>
        <v/>
      </c>
      <c r="W36" s="105" t="str">
        <f t="shared" si="37"/>
        <v/>
      </c>
      <c r="X36" s="47" t="str">
        <f>IF(B36="","",IF('Marks Entry'!Y36="",'Marks Entry'!$Y$4,'Marks Entry'!Y36))</f>
        <v/>
      </c>
      <c r="Y36" s="105">
        <f>IF('Marks Entry'!Z36="","",'Marks Entry'!Z36)</f>
        <v>5</v>
      </c>
      <c r="Z36" s="105">
        <f>IF('Marks Entry'!AA36="","",'Marks Entry'!AA36)</f>
        <v>5</v>
      </c>
      <c r="AA36" s="105">
        <f>IF(AND('Marks Entry'!AB36="",'Marks Entry'!AC36=""),"",SUM('Marks Entry'!AB36:AC36))</f>
        <v>10</v>
      </c>
      <c r="AB36" s="105" t="str">
        <f>IF('Marks Entry'!AD36="","",'Marks Entry'!AD36)</f>
        <v/>
      </c>
      <c r="AC36" s="105">
        <f t="shared" si="38"/>
        <v>10</v>
      </c>
      <c r="AD36" s="105">
        <f>IF(AND('Marks Entry'!AE36="",'Marks Entry'!AF36=""),"",SUM('Marks Entry'!AE36:AF36))</f>
        <v>16</v>
      </c>
      <c r="AE36" s="105" t="str">
        <f>IF('Marks Entry'!AG36="","",'Marks Entry'!AG36)</f>
        <v/>
      </c>
      <c r="AF36" s="105">
        <f t="shared" si="39"/>
        <v>16</v>
      </c>
      <c r="AG36" s="105">
        <f t="shared" si="40"/>
        <v>36</v>
      </c>
      <c r="AH36" s="105" t="str">
        <f t="shared" si="41"/>
        <v/>
      </c>
      <c r="AI36" s="105" t="str">
        <f t="shared" si="42"/>
        <v/>
      </c>
      <c r="AJ36" s="47" t="str">
        <f>IF(B36="","",IF('Marks Entry'!AI36="",'Marks Entry'!$AI$4,'Marks Entry'!AI36))</f>
        <v/>
      </c>
      <c r="AK36" s="105">
        <f>IF('Marks Entry'!AJ36="","",'Marks Entry'!AJ36)</f>
        <v>5</v>
      </c>
      <c r="AL36" s="105">
        <f>IF('Marks Entry'!AK36="","",'Marks Entry'!AK36)</f>
        <v>5</v>
      </c>
      <c r="AM36" s="105">
        <f>IF(AND('Marks Entry'!AL36="",'Marks Entry'!AM36=""),"",SUM('Marks Entry'!AL36:AM36))</f>
        <v>10</v>
      </c>
      <c r="AN36" s="105" t="str">
        <f>IF('Marks Entry'!AN36="","",'Marks Entry'!AN36)</f>
        <v/>
      </c>
      <c r="AO36" s="105">
        <f t="shared" si="43"/>
        <v>10</v>
      </c>
      <c r="AP36" s="105">
        <f>IF(AND('Marks Entry'!AO36="",'Marks Entry'!AP36=""),"",SUM('Marks Entry'!AO36:AP36))</f>
        <v>15</v>
      </c>
      <c r="AQ36" s="105" t="str">
        <f>IF('Marks Entry'!AQ36="","",'Marks Entry'!AQ36)</f>
        <v/>
      </c>
      <c r="AR36" s="105">
        <f t="shared" si="44"/>
        <v>15</v>
      </c>
      <c r="AS36" s="105">
        <f t="shared" si="45"/>
        <v>35</v>
      </c>
      <c r="AT36" s="105" t="str">
        <f t="shared" si="46"/>
        <v/>
      </c>
      <c r="AU36" s="105" t="str">
        <f t="shared" si="47"/>
        <v/>
      </c>
      <c r="AV36" s="47" t="str">
        <f>IF(B36="","",IF('Marks Entry'!AS36="",'Marks Entry'!$AS$4,'Marks Entry'!AS36))</f>
        <v/>
      </c>
      <c r="AW36" s="105">
        <f>IF('Marks Entry'!AT36="","",'Marks Entry'!AT36)</f>
        <v>5</v>
      </c>
      <c r="AX36" s="105">
        <f>IF('Marks Entry'!AU36="","",'Marks Entry'!AU36)</f>
        <v>5</v>
      </c>
      <c r="AY36" s="105">
        <f>IF(AND('Marks Entry'!AV36="",'Marks Entry'!AW36=""),"",SUM('Marks Entry'!AV36:AW36))</f>
        <v>22</v>
      </c>
      <c r="AZ36" s="105">
        <f>IF('Marks Entry'!AX36="","",'Marks Entry'!AX36)</f>
        <v>11</v>
      </c>
      <c r="BA36" s="105">
        <f t="shared" si="48"/>
        <v>33</v>
      </c>
      <c r="BB36" s="105">
        <f>IF(AND('Marks Entry'!AY36="",'Marks Entry'!AZ36=""),"",SUM('Marks Entry'!AY36:AZ36))</f>
        <v>40</v>
      </c>
      <c r="BC36" s="105">
        <f>IF('Marks Entry'!BA36="","",'Marks Entry'!BA36)</f>
        <v>15</v>
      </c>
      <c r="BD36" s="105">
        <f t="shared" si="49"/>
        <v>55</v>
      </c>
      <c r="BE36" s="105">
        <f t="shared" si="50"/>
        <v>98</v>
      </c>
      <c r="BF36" s="105" t="str">
        <f t="shared" si="51"/>
        <v/>
      </c>
      <c r="BG36" s="105" t="str">
        <f t="shared" si="52"/>
        <v/>
      </c>
      <c r="BH36" s="105" t="str">
        <f t="shared" si="53"/>
        <v/>
      </c>
      <c r="BI36" s="50" t="str">
        <f t="shared" si="3"/>
        <v/>
      </c>
      <c r="BJ36" s="47" t="str">
        <f t="shared" si="4"/>
        <v/>
      </c>
      <c r="BK36" s="105" t="str">
        <f t="shared" si="54"/>
        <v/>
      </c>
      <c r="BL36" s="105" t="str">
        <f t="shared" si="55"/>
        <v/>
      </c>
      <c r="BM36" s="105" t="str">
        <f>IF(OR(B36="",'Marks Entry'!BY36=""),"",'Marks Entry'!BY36)</f>
        <v/>
      </c>
      <c r="BN36" s="105" t="str">
        <f>IF(OR(B36="",'Marks Entry'!BZ36=""),"",'Marks Entry'!BZ36)</f>
        <v/>
      </c>
      <c r="BO36" s="105">
        <f>IF('Marks Entry'!BC36="","",'Marks Entry'!BC36)</f>
        <v>15</v>
      </c>
      <c r="BP36" s="105">
        <f>IF('Marks Entry'!BD36="","",'Marks Entry'!BD36)</f>
        <v>15</v>
      </c>
      <c r="BQ36" s="105">
        <f>IF(AND('Marks Entry'!BE36="",'Marks Entry'!BF36=""),"",SUM('Marks Entry'!BE36:BF36))</f>
        <v>25</v>
      </c>
      <c r="BR36" s="105">
        <f>IF(AND('Marks Entry'!BG36="",'Marks Entry'!BH36=""),"",SUM('Marks Entry'!BG36:BH36))</f>
        <v>82</v>
      </c>
      <c r="BS36" s="105">
        <f t="shared" si="56"/>
        <v>137</v>
      </c>
      <c r="BT36" s="105" t="str">
        <f t="shared" si="57"/>
        <v/>
      </c>
      <c r="BU36" s="105" t="str">
        <f t="shared" si="58"/>
        <v/>
      </c>
      <c r="BV36" s="105">
        <f>IF('Marks Entry'!BJ36="","",'Marks Entry'!BJ36)</f>
        <v>15</v>
      </c>
      <c r="BW36" s="105">
        <f>IF('Marks Entry'!BK36="","",'Marks Entry'!BK36)</f>
        <v>15</v>
      </c>
      <c r="BX36" s="105">
        <f>IF(AND('Marks Entry'!BL36="",'Marks Entry'!BM36=""),"",SUM('Marks Entry'!BL36:BM36))</f>
        <v>25</v>
      </c>
      <c r="BY36" s="105">
        <f>IF(AND('Marks Entry'!BN36="",'Marks Entry'!BO36=""),"",SUM('Marks Entry'!BN36:BO36))</f>
        <v>82</v>
      </c>
      <c r="BZ36" s="105">
        <f t="shared" si="59"/>
        <v>137</v>
      </c>
      <c r="CA36" s="105" t="str">
        <f t="shared" si="60"/>
        <v/>
      </c>
      <c r="CB36" s="105" t="str">
        <f t="shared" si="61"/>
        <v/>
      </c>
      <c r="CC36" s="105" t="str">
        <f>IF('Marks Entry'!BQ36="","",'Marks Entry'!BQ36)</f>
        <v/>
      </c>
      <c r="CD36" s="105" t="str">
        <f>IF('Marks Entry'!BR36="","",'Marks Entry'!BR36)</f>
        <v/>
      </c>
      <c r="CE36" s="105" t="str">
        <f>IF(AND('Marks Entry'!BS36="",'Marks Entry'!BT36=""),"",SUM('Marks Entry'!BS36:BT36))</f>
        <v/>
      </c>
      <c r="CF36" s="105" t="str">
        <f>IF(AND('Marks Entry'!BU36="",'Marks Entry'!BV36=""),"",SUM('Marks Entry'!BU36:BV36))</f>
        <v/>
      </c>
      <c r="CG36" s="105" t="str">
        <f t="shared" si="62"/>
        <v/>
      </c>
      <c r="CH36" s="105" t="str">
        <f t="shared" si="63"/>
        <v/>
      </c>
      <c r="CI36" s="105" t="str">
        <f t="shared" si="64"/>
        <v/>
      </c>
      <c r="CJ36" s="81"/>
      <c r="CK36" s="50" t="str">
        <f t="shared" si="5"/>
        <v/>
      </c>
      <c r="CM36" s="105" t="str">
        <f t="shared" si="6"/>
        <v/>
      </c>
      <c r="CN36" s="105" t="str">
        <f t="shared" si="7"/>
        <v/>
      </c>
      <c r="CO36" s="105" t="str">
        <f t="shared" si="8"/>
        <v/>
      </c>
      <c r="CP36" s="105" t="str">
        <f t="shared" si="9"/>
        <v/>
      </c>
      <c r="CQ36" s="105" t="str">
        <f t="shared" si="10"/>
        <v/>
      </c>
      <c r="CS36" s="105">
        <f t="shared" si="11"/>
        <v>0</v>
      </c>
      <c r="CT36" s="105">
        <f t="shared" si="12"/>
        <v>0</v>
      </c>
      <c r="CU36" s="105">
        <f t="shared" si="13"/>
        <v>0</v>
      </c>
      <c r="CV36" s="105">
        <f t="shared" si="14"/>
        <v>0</v>
      </c>
      <c r="CW36" s="81"/>
      <c r="CX36" s="105" t="str">
        <f t="shared" si="15"/>
        <v/>
      </c>
      <c r="CY36" s="105" t="str">
        <f t="shared" si="16"/>
        <v/>
      </c>
      <c r="CZ36" s="105" t="str">
        <f t="shared" si="17"/>
        <v/>
      </c>
      <c r="DA36" s="105" t="str">
        <f t="shared" si="18"/>
        <v/>
      </c>
      <c r="DB36" s="105" t="str">
        <f t="shared" si="19"/>
        <v/>
      </c>
      <c r="DD36" s="105" t="str">
        <f t="shared" si="20"/>
        <v/>
      </c>
      <c r="DE36" s="105" t="str">
        <f t="shared" si="21"/>
        <v/>
      </c>
      <c r="DF36" s="105" t="str">
        <f t="shared" si="22"/>
        <v/>
      </c>
      <c r="DG36" s="105" t="str">
        <f t="shared" si="23"/>
        <v/>
      </c>
      <c r="DH36" s="105" t="str">
        <f t="shared" si="24"/>
        <v/>
      </c>
      <c r="DI36" s="105" t="str">
        <f t="shared" si="25"/>
        <v/>
      </c>
      <c r="DJ36" s="105" t="str">
        <f t="shared" si="26"/>
        <v/>
      </c>
      <c r="DK36" s="105" t="str">
        <f t="shared" si="27"/>
        <v/>
      </c>
      <c r="DL36" s="105" t="str">
        <f t="shared" si="28"/>
        <v/>
      </c>
      <c r="DM36" s="105" t="str">
        <f t="shared" si="29"/>
        <v/>
      </c>
      <c r="DN36" s="105" t="str">
        <f t="shared" si="30"/>
        <v/>
      </c>
      <c r="DO36" s="105" t="str">
        <f t="shared" si="31"/>
        <v/>
      </c>
      <c r="DP36" s="105" t="str">
        <f t="shared" si="32"/>
        <v/>
      </c>
      <c r="DR36" s="118" t="str">
        <f t="shared" si="65"/>
        <v xml:space="preserve">    </v>
      </c>
      <c r="DS36" s="75"/>
      <c r="DT36" s="119" t="str">
        <f t="shared" si="66"/>
        <v xml:space="preserve">    </v>
      </c>
      <c r="DU36" s="136"/>
      <c r="DV36" s="119" t="str">
        <f t="shared" si="67"/>
        <v xml:space="preserve">    </v>
      </c>
      <c r="DW36" s="75"/>
      <c r="DX36" s="119" t="str">
        <f t="shared" si="68"/>
        <v xml:space="preserve">     </v>
      </c>
      <c r="DY36" s="75"/>
      <c r="DZ36" s="119" t="str">
        <f t="shared" si="69"/>
        <v xml:space="preserve">    </v>
      </c>
    </row>
    <row r="37" spans="1:130" ht="30" customHeight="1" x14ac:dyDescent="0.25">
      <c r="A37" s="105" t="str">
        <f>IF('Marks Entry'!A37="","",'Marks Entry'!A37)</f>
        <v/>
      </c>
      <c r="B37" s="105" t="str">
        <f>IF('Marks Entry'!B37="","",'Marks Entry'!B37)</f>
        <v/>
      </c>
      <c r="C37" s="105" t="str">
        <f>IF('Marks Entry'!C37="","",'Marks Entry'!C37)</f>
        <v/>
      </c>
      <c r="D37" s="48" t="str">
        <f>IF('Marks Entry'!D37="","",'Marks Entry'!D37)</f>
        <v/>
      </c>
      <c r="E37" s="48" t="str">
        <f>IF('Marks Entry'!E37="","",'Marks Entry'!E37)</f>
        <v/>
      </c>
      <c r="F37" s="48" t="str">
        <f>IF('Marks Entry'!F37="","",'Marks Entry'!F37)</f>
        <v/>
      </c>
      <c r="G37" s="105" t="str">
        <f>IF('Marks Entry'!G37="","",'Marks Entry'!G37)</f>
        <v/>
      </c>
      <c r="H37" s="49" t="str">
        <f>IF('Marks Entry'!H37="","",'Marks Entry'!H37)</f>
        <v/>
      </c>
      <c r="I37" s="105" t="str">
        <f>IF('Marks Entry'!I37="","",'Marks Entry'!I37)</f>
        <v/>
      </c>
      <c r="J37" s="105">
        <f>IF('Marks Entry'!K37="","",'Marks Entry'!K37)</f>
        <v>10</v>
      </c>
      <c r="K37" s="105">
        <f>IF('Marks Entry'!L37="","",'Marks Entry'!L37)</f>
        <v>9</v>
      </c>
      <c r="L37" s="105">
        <f>IF(AND('Marks Entry'!M37="",'Marks Entry'!N37=""),"",SUM('Marks Entry'!M37:N37))</f>
        <v>10</v>
      </c>
      <c r="M37" s="105">
        <f>IF(AND('Marks Entry'!O37="",'Marks Entry'!P37=""),"",SUM('Marks Entry'!O37:P37))</f>
        <v>75</v>
      </c>
      <c r="N37" s="105">
        <f t="shared" si="2"/>
        <v>104</v>
      </c>
      <c r="O37" s="105" t="str">
        <f t="shared" si="33"/>
        <v/>
      </c>
      <c r="P37" s="105" t="str">
        <f t="shared" si="34"/>
        <v/>
      </c>
      <c r="Q37" s="105">
        <f>IF('Marks Entry'!R37="","",'Marks Entry'!R37)</f>
        <v>10</v>
      </c>
      <c r="R37" s="105">
        <f>IF('Marks Entry'!S37="","",'Marks Entry'!S37)</f>
        <v>10</v>
      </c>
      <c r="S37" s="105">
        <f>IF(AND('Marks Entry'!T37="",'Marks Entry'!U37=""),"",SUM('Marks Entry'!T37:U37))</f>
        <v>40</v>
      </c>
      <c r="T37" s="105">
        <f>IF(AND('Marks Entry'!V37="",'Marks Entry'!W37=""),"",SUM('Marks Entry'!V37:W37))</f>
        <v>66</v>
      </c>
      <c r="U37" s="105">
        <f t="shared" si="35"/>
        <v>126</v>
      </c>
      <c r="V37" s="105" t="str">
        <f t="shared" si="36"/>
        <v/>
      </c>
      <c r="W37" s="105" t="str">
        <f t="shared" si="37"/>
        <v/>
      </c>
      <c r="X37" s="47" t="str">
        <f>IF(B37="","",IF('Marks Entry'!Y37="",'Marks Entry'!$Y$4,'Marks Entry'!Y37))</f>
        <v/>
      </c>
      <c r="Y37" s="105">
        <f>IF('Marks Entry'!Z37="","",'Marks Entry'!Z37)</f>
        <v>18</v>
      </c>
      <c r="Z37" s="105">
        <f>IF('Marks Entry'!AA37="","",'Marks Entry'!AA37)</f>
        <v>18</v>
      </c>
      <c r="AA37" s="105">
        <f>IF(AND('Marks Entry'!AB37="",'Marks Entry'!AC37=""),"",SUM('Marks Entry'!AB37:AC37))</f>
        <v>50</v>
      </c>
      <c r="AB37" s="105" t="str">
        <f>IF('Marks Entry'!AD37="","",'Marks Entry'!AD37)</f>
        <v/>
      </c>
      <c r="AC37" s="105">
        <f t="shared" si="38"/>
        <v>50</v>
      </c>
      <c r="AD37" s="105">
        <f>IF(AND('Marks Entry'!AE37="",'Marks Entry'!AF37=""),"",SUM('Marks Entry'!AE37:AF37))</f>
        <v>76</v>
      </c>
      <c r="AE37" s="105" t="str">
        <f>IF('Marks Entry'!AG37="","",'Marks Entry'!AG37)</f>
        <v/>
      </c>
      <c r="AF37" s="105">
        <f t="shared" si="39"/>
        <v>76</v>
      </c>
      <c r="AG37" s="105">
        <f t="shared" si="40"/>
        <v>162</v>
      </c>
      <c r="AH37" s="105" t="str">
        <f t="shared" si="41"/>
        <v/>
      </c>
      <c r="AI37" s="105" t="str">
        <f t="shared" si="42"/>
        <v/>
      </c>
      <c r="AJ37" s="47" t="str">
        <f>IF(B37="","",IF('Marks Entry'!AI37="",'Marks Entry'!$AI$4,'Marks Entry'!AI37))</f>
        <v/>
      </c>
      <c r="AK37" s="105">
        <f>IF('Marks Entry'!AJ37="","",'Marks Entry'!AJ37)</f>
        <v>5</v>
      </c>
      <c r="AL37" s="105">
        <f>IF('Marks Entry'!AK37="","",'Marks Entry'!AK37)</f>
        <v>5</v>
      </c>
      <c r="AM37" s="105">
        <f>IF(AND('Marks Entry'!AL37="",'Marks Entry'!AM37=""),"",SUM('Marks Entry'!AL37:AM37))</f>
        <v>28</v>
      </c>
      <c r="AN37" s="105" t="str">
        <f>IF('Marks Entry'!AN37="","",'Marks Entry'!AN37)</f>
        <v/>
      </c>
      <c r="AO37" s="105">
        <f t="shared" si="43"/>
        <v>28</v>
      </c>
      <c r="AP37" s="105">
        <f>IF(AND('Marks Entry'!AO37="",'Marks Entry'!AP37=""),"",SUM('Marks Entry'!AO37:AP37))</f>
        <v>35</v>
      </c>
      <c r="AQ37" s="105" t="str">
        <f>IF('Marks Entry'!AQ37="","",'Marks Entry'!AQ37)</f>
        <v/>
      </c>
      <c r="AR37" s="105">
        <f t="shared" si="44"/>
        <v>35</v>
      </c>
      <c r="AS37" s="105">
        <f t="shared" si="45"/>
        <v>73</v>
      </c>
      <c r="AT37" s="105" t="str">
        <f t="shared" si="46"/>
        <v/>
      </c>
      <c r="AU37" s="105" t="str">
        <f t="shared" si="47"/>
        <v/>
      </c>
      <c r="AV37" s="47" t="str">
        <f>IF(B37="","",IF('Marks Entry'!AS37="",'Marks Entry'!$AS$4,'Marks Entry'!AS37))</f>
        <v/>
      </c>
      <c r="AW37" s="105">
        <f>IF('Marks Entry'!AT37="","",'Marks Entry'!AT37)</f>
        <v>10</v>
      </c>
      <c r="AX37" s="105">
        <f>IF('Marks Entry'!AU37="","",'Marks Entry'!AU37)</f>
        <v>10</v>
      </c>
      <c r="AY37" s="105">
        <f>IF(AND('Marks Entry'!AV37="",'Marks Entry'!AW37=""),"",SUM('Marks Entry'!AV37:AW37))</f>
        <v>23</v>
      </c>
      <c r="AZ37" s="105">
        <f>IF('Marks Entry'!AX37="","",'Marks Entry'!AX37)</f>
        <v>10</v>
      </c>
      <c r="BA37" s="105">
        <f t="shared" si="48"/>
        <v>33</v>
      </c>
      <c r="BB37" s="105">
        <f>IF(AND('Marks Entry'!AY37="",'Marks Entry'!AZ37=""),"",SUM('Marks Entry'!AY37:AZ37))</f>
        <v>40</v>
      </c>
      <c r="BC37" s="105">
        <f>IF('Marks Entry'!BA37="","",'Marks Entry'!BA37)</f>
        <v>16</v>
      </c>
      <c r="BD37" s="105">
        <f t="shared" si="49"/>
        <v>56</v>
      </c>
      <c r="BE37" s="105">
        <f t="shared" si="50"/>
        <v>109</v>
      </c>
      <c r="BF37" s="105" t="str">
        <f t="shared" si="51"/>
        <v/>
      </c>
      <c r="BG37" s="105" t="str">
        <f t="shared" si="52"/>
        <v/>
      </c>
      <c r="BH37" s="105" t="str">
        <f t="shared" si="53"/>
        <v/>
      </c>
      <c r="BI37" s="50" t="str">
        <f t="shared" si="3"/>
        <v/>
      </c>
      <c r="BJ37" s="47" t="str">
        <f t="shared" si="4"/>
        <v/>
      </c>
      <c r="BK37" s="105" t="str">
        <f t="shared" si="54"/>
        <v/>
      </c>
      <c r="BL37" s="105" t="str">
        <f t="shared" si="55"/>
        <v/>
      </c>
      <c r="BM37" s="105" t="str">
        <f>IF(OR(B37="",'Marks Entry'!BY37=""),"",'Marks Entry'!BY37)</f>
        <v/>
      </c>
      <c r="BN37" s="105" t="str">
        <f>IF(OR(B37="",'Marks Entry'!BZ37=""),"",'Marks Entry'!BZ37)</f>
        <v/>
      </c>
      <c r="BO37" s="105">
        <f>IF('Marks Entry'!BC37="","",'Marks Entry'!BC37)</f>
        <v>15</v>
      </c>
      <c r="BP37" s="105">
        <f>IF('Marks Entry'!BD37="","",'Marks Entry'!BD37)</f>
        <v>15</v>
      </c>
      <c r="BQ37" s="105">
        <f>IF(AND('Marks Entry'!BE37="",'Marks Entry'!BF37=""),"",SUM('Marks Entry'!BE37:BF37))</f>
        <v>25</v>
      </c>
      <c r="BR37" s="105">
        <f>IF(AND('Marks Entry'!BG37="",'Marks Entry'!BH37=""),"",SUM('Marks Entry'!BG37:BH37))</f>
        <v>82</v>
      </c>
      <c r="BS37" s="105">
        <f t="shared" si="56"/>
        <v>137</v>
      </c>
      <c r="BT37" s="105" t="str">
        <f t="shared" si="57"/>
        <v/>
      </c>
      <c r="BU37" s="105" t="str">
        <f t="shared" si="58"/>
        <v/>
      </c>
      <c r="BV37" s="105">
        <f>IF('Marks Entry'!BJ37="","",'Marks Entry'!BJ37)</f>
        <v>15</v>
      </c>
      <c r="BW37" s="105">
        <f>IF('Marks Entry'!BK37="","",'Marks Entry'!BK37)</f>
        <v>15</v>
      </c>
      <c r="BX37" s="105">
        <f>IF(AND('Marks Entry'!BL37="",'Marks Entry'!BM37=""),"",SUM('Marks Entry'!BL37:BM37))</f>
        <v>25</v>
      </c>
      <c r="BY37" s="105">
        <f>IF(AND('Marks Entry'!BN37="",'Marks Entry'!BO37=""),"",SUM('Marks Entry'!BN37:BO37))</f>
        <v>82</v>
      </c>
      <c r="BZ37" s="105">
        <f t="shared" si="59"/>
        <v>137</v>
      </c>
      <c r="CA37" s="105" t="str">
        <f t="shared" si="60"/>
        <v/>
      </c>
      <c r="CB37" s="105" t="str">
        <f t="shared" si="61"/>
        <v/>
      </c>
      <c r="CC37" s="105" t="str">
        <f>IF('Marks Entry'!BQ37="","",'Marks Entry'!BQ37)</f>
        <v/>
      </c>
      <c r="CD37" s="105" t="str">
        <f>IF('Marks Entry'!BR37="","",'Marks Entry'!BR37)</f>
        <v/>
      </c>
      <c r="CE37" s="105" t="str">
        <f>IF(AND('Marks Entry'!BS37="",'Marks Entry'!BT37=""),"",SUM('Marks Entry'!BS37:BT37))</f>
        <v/>
      </c>
      <c r="CF37" s="105" t="str">
        <f>IF(AND('Marks Entry'!BU37="",'Marks Entry'!BV37=""),"",SUM('Marks Entry'!BU37:BV37))</f>
        <v/>
      </c>
      <c r="CG37" s="105" t="str">
        <f t="shared" si="62"/>
        <v/>
      </c>
      <c r="CH37" s="105" t="str">
        <f t="shared" si="63"/>
        <v/>
      </c>
      <c r="CI37" s="105" t="str">
        <f t="shared" si="64"/>
        <v/>
      </c>
      <c r="CJ37" s="81"/>
      <c r="CK37" s="50" t="str">
        <f t="shared" si="5"/>
        <v/>
      </c>
      <c r="CM37" s="105" t="str">
        <f t="shared" si="6"/>
        <v/>
      </c>
      <c r="CN37" s="105" t="str">
        <f t="shared" si="7"/>
        <v/>
      </c>
      <c r="CO37" s="105" t="str">
        <f t="shared" si="8"/>
        <v/>
      </c>
      <c r="CP37" s="105" t="str">
        <f t="shared" si="9"/>
        <v/>
      </c>
      <c r="CQ37" s="105" t="str">
        <f t="shared" si="10"/>
        <v/>
      </c>
      <c r="CS37" s="105">
        <f t="shared" si="11"/>
        <v>0</v>
      </c>
      <c r="CT37" s="105">
        <f t="shared" si="12"/>
        <v>0</v>
      </c>
      <c r="CU37" s="105">
        <f t="shared" si="13"/>
        <v>0</v>
      </c>
      <c r="CV37" s="105">
        <f t="shared" si="14"/>
        <v>0</v>
      </c>
      <c r="CW37" s="81"/>
      <c r="CX37" s="105" t="str">
        <f t="shared" si="15"/>
        <v/>
      </c>
      <c r="CY37" s="105" t="str">
        <f t="shared" si="16"/>
        <v/>
      </c>
      <c r="CZ37" s="105" t="str">
        <f t="shared" si="17"/>
        <v/>
      </c>
      <c r="DA37" s="105" t="str">
        <f t="shared" si="18"/>
        <v/>
      </c>
      <c r="DB37" s="105" t="str">
        <f t="shared" si="19"/>
        <v/>
      </c>
      <c r="DD37" s="105" t="str">
        <f t="shared" si="20"/>
        <v/>
      </c>
      <c r="DE37" s="105" t="str">
        <f t="shared" si="21"/>
        <v/>
      </c>
      <c r="DF37" s="105" t="str">
        <f t="shared" si="22"/>
        <v/>
      </c>
      <c r="DG37" s="105" t="str">
        <f t="shared" si="23"/>
        <v/>
      </c>
      <c r="DH37" s="105" t="str">
        <f t="shared" si="24"/>
        <v/>
      </c>
      <c r="DI37" s="105" t="str">
        <f t="shared" si="25"/>
        <v/>
      </c>
      <c r="DJ37" s="105" t="str">
        <f t="shared" si="26"/>
        <v/>
      </c>
      <c r="DK37" s="105" t="str">
        <f t="shared" si="27"/>
        <v/>
      </c>
      <c r="DL37" s="105" t="str">
        <f t="shared" si="28"/>
        <v/>
      </c>
      <c r="DM37" s="105" t="str">
        <f t="shared" si="29"/>
        <v/>
      </c>
      <c r="DN37" s="105" t="str">
        <f t="shared" si="30"/>
        <v/>
      </c>
      <c r="DO37" s="105" t="str">
        <f t="shared" si="31"/>
        <v/>
      </c>
      <c r="DP37" s="105" t="str">
        <f t="shared" si="32"/>
        <v/>
      </c>
      <c r="DR37" s="118" t="str">
        <f t="shared" si="65"/>
        <v xml:space="preserve">    </v>
      </c>
      <c r="DS37" s="75"/>
      <c r="DT37" s="119" t="str">
        <f t="shared" si="66"/>
        <v xml:space="preserve">    </v>
      </c>
      <c r="DU37" s="136"/>
      <c r="DV37" s="119" t="str">
        <f t="shared" si="67"/>
        <v xml:space="preserve">    </v>
      </c>
      <c r="DW37" s="75"/>
      <c r="DX37" s="119" t="str">
        <f t="shared" si="68"/>
        <v xml:space="preserve">     </v>
      </c>
      <c r="DY37" s="75"/>
      <c r="DZ37" s="119" t="str">
        <f t="shared" si="69"/>
        <v xml:space="preserve">    </v>
      </c>
    </row>
    <row r="38" spans="1:130" ht="30" customHeight="1" x14ac:dyDescent="0.25">
      <c r="A38" s="105" t="str">
        <f>IF('Marks Entry'!A38="","",'Marks Entry'!A38)</f>
        <v/>
      </c>
      <c r="B38" s="105" t="str">
        <f>IF('Marks Entry'!B38="","",'Marks Entry'!B38)</f>
        <v/>
      </c>
      <c r="C38" s="105" t="str">
        <f>IF('Marks Entry'!C38="","",'Marks Entry'!C38)</f>
        <v/>
      </c>
      <c r="D38" s="48" t="str">
        <f>IF('Marks Entry'!D38="","",'Marks Entry'!D38)</f>
        <v/>
      </c>
      <c r="E38" s="48" t="str">
        <f>IF('Marks Entry'!E38="","",'Marks Entry'!E38)</f>
        <v/>
      </c>
      <c r="F38" s="48" t="str">
        <f>IF('Marks Entry'!F38="","",'Marks Entry'!F38)</f>
        <v/>
      </c>
      <c r="G38" s="105" t="str">
        <f>IF('Marks Entry'!G38="","",'Marks Entry'!G38)</f>
        <v/>
      </c>
      <c r="H38" s="49" t="str">
        <f>IF('Marks Entry'!H38="","",'Marks Entry'!H38)</f>
        <v/>
      </c>
      <c r="I38" s="105" t="str">
        <f>IF('Marks Entry'!I38="","",'Marks Entry'!I38)</f>
        <v/>
      </c>
      <c r="J38" s="105">
        <f>IF('Marks Entry'!K38="","",'Marks Entry'!K38)</f>
        <v>10</v>
      </c>
      <c r="K38" s="105">
        <f>IF('Marks Entry'!L38="","",'Marks Entry'!L38)</f>
        <v>20</v>
      </c>
      <c r="L38" s="105">
        <f>IF(AND('Marks Entry'!M38="",'Marks Entry'!N38=""),"",SUM('Marks Entry'!M38:N38))</f>
        <v>15</v>
      </c>
      <c r="M38" s="105">
        <f>IF(AND('Marks Entry'!O38="",'Marks Entry'!P38=""),"",SUM('Marks Entry'!O38:P38))</f>
        <v>76</v>
      </c>
      <c r="N38" s="105">
        <f t="shared" si="2"/>
        <v>121</v>
      </c>
      <c r="O38" s="105" t="str">
        <f t="shared" si="33"/>
        <v/>
      </c>
      <c r="P38" s="105" t="str">
        <f t="shared" si="34"/>
        <v/>
      </c>
      <c r="Q38" s="105">
        <f>IF('Marks Entry'!R38="","",'Marks Entry'!R38)</f>
        <v>10</v>
      </c>
      <c r="R38" s="105">
        <f>IF('Marks Entry'!S38="","",'Marks Entry'!S38)</f>
        <v>10</v>
      </c>
      <c r="S38" s="105">
        <f>IF(AND('Marks Entry'!T38="",'Marks Entry'!U38=""),"",SUM('Marks Entry'!T38:U38))</f>
        <v>40</v>
      </c>
      <c r="T38" s="105">
        <f>IF(AND('Marks Entry'!V38="",'Marks Entry'!W38=""),"",SUM('Marks Entry'!V38:W38))</f>
        <v>67</v>
      </c>
      <c r="U38" s="105">
        <f t="shared" si="35"/>
        <v>127</v>
      </c>
      <c r="V38" s="105" t="str">
        <f t="shared" si="36"/>
        <v/>
      </c>
      <c r="W38" s="105" t="str">
        <f t="shared" si="37"/>
        <v/>
      </c>
      <c r="X38" s="47" t="str">
        <f>IF(B38="","",IF('Marks Entry'!Y38="",'Marks Entry'!$Y$4,'Marks Entry'!Y38))</f>
        <v/>
      </c>
      <c r="Y38" s="105">
        <f>IF('Marks Entry'!Z38="","",'Marks Entry'!Z38)</f>
        <v>10</v>
      </c>
      <c r="Z38" s="105">
        <f>IF('Marks Entry'!AA38="","",'Marks Entry'!AA38)</f>
        <v>10</v>
      </c>
      <c r="AA38" s="105">
        <f>IF(AND('Marks Entry'!AB38="",'Marks Entry'!AC38=""),"",SUM('Marks Entry'!AB38:AC38))</f>
        <v>40</v>
      </c>
      <c r="AB38" s="105" t="str">
        <f>IF('Marks Entry'!AD38="","",'Marks Entry'!AD38)</f>
        <v/>
      </c>
      <c r="AC38" s="105">
        <f t="shared" si="38"/>
        <v>40</v>
      </c>
      <c r="AD38" s="105">
        <f>IF(AND('Marks Entry'!AE38="",'Marks Entry'!AF38=""),"",SUM('Marks Entry'!AE38:AF38))</f>
        <v>41</v>
      </c>
      <c r="AE38" s="105" t="str">
        <f>IF('Marks Entry'!AG38="","",'Marks Entry'!AG38)</f>
        <v/>
      </c>
      <c r="AF38" s="105">
        <f t="shared" si="39"/>
        <v>41</v>
      </c>
      <c r="AG38" s="105">
        <f t="shared" si="40"/>
        <v>101</v>
      </c>
      <c r="AH38" s="105" t="str">
        <f t="shared" si="41"/>
        <v/>
      </c>
      <c r="AI38" s="105" t="str">
        <f t="shared" si="42"/>
        <v/>
      </c>
      <c r="AJ38" s="47" t="str">
        <f>IF(B38="","",IF('Marks Entry'!AI38="",'Marks Entry'!$AI$4,'Marks Entry'!AI38))</f>
        <v/>
      </c>
      <c r="AK38" s="105">
        <f>IF('Marks Entry'!AJ38="","",'Marks Entry'!AJ38)</f>
        <v>10</v>
      </c>
      <c r="AL38" s="105">
        <f>IF('Marks Entry'!AK38="","",'Marks Entry'!AK38)</f>
        <v>10</v>
      </c>
      <c r="AM38" s="105">
        <f>IF(AND('Marks Entry'!AL38="",'Marks Entry'!AM38=""),"",SUM('Marks Entry'!AL38:AM38))</f>
        <v>40</v>
      </c>
      <c r="AN38" s="105" t="str">
        <f>IF('Marks Entry'!AN38="","",'Marks Entry'!AN38)</f>
        <v/>
      </c>
      <c r="AO38" s="105">
        <f t="shared" si="43"/>
        <v>40</v>
      </c>
      <c r="AP38" s="105">
        <f>IF(AND('Marks Entry'!AO38="",'Marks Entry'!AP38=""),"",SUM('Marks Entry'!AO38:AP38))</f>
        <v>54</v>
      </c>
      <c r="AQ38" s="105" t="str">
        <f>IF('Marks Entry'!AQ38="","",'Marks Entry'!AQ38)</f>
        <v/>
      </c>
      <c r="AR38" s="105">
        <f t="shared" si="44"/>
        <v>54</v>
      </c>
      <c r="AS38" s="105">
        <f t="shared" si="45"/>
        <v>114</v>
      </c>
      <c r="AT38" s="105" t="str">
        <f t="shared" si="46"/>
        <v/>
      </c>
      <c r="AU38" s="105" t="str">
        <f t="shared" si="47"/>
        <v/>
      </c>
      <c r="AV38" s="47" t="str">
        <f>IF(B38="","",IF('Marks Entry'!AS38="",'Marks Entry'!$AS$4,'Marks Entry'!AS38))</f>
        <v/>
      </c>
      <c r="AW38" s="105">
        <f>IF('Marks Entry'!AT38="","",'Marks Entry'!AT38)</f>
        <v>10</v>
      </c>
      <c r="AX38" s="105">
        <f>IF('Marks Entry'!AU38="","",'Marks Entry'!AU38)</f>
        <v>10</v>
      </c>
      <c r="AY38" s="105">
        <f>IF(AND('Marks Entry'!AV38="",'Marks Entry'!AW38=""),"",SUM('Marks Entry'!AV38:AW38))</f>
        <v>19</v>
      </c>
      <c r="AZ38" s="105">
        <f>IF('Marks Entry'!AX38="","",'Marks Entry'!AX38)</f>
        <v>12</v>
      </c>
      <c r="BA38" s="105">
        <f t="shared" si="48"/>
        <v>31</v>
      </c>
      <c r="BB38" s="105">
        <f>IF(AND('Marks Entry'!AY38="",'Marks Entry'!AZ38=""),"",SUM('Marks Entry'!AY38:AZ38))</f>
        <v>40</v>
      </c>
      <c r="BC38" s="105">
        <f>IF('Marks Entry'!BA38="","",'Marks Entry'!BA38)</f>
        <v>10</v>
      </c>
      <c r="BD38" s="105">
        <f t="shared" si="49"/>
        <v>50</v>
      </c>
      <c r="BE38" s="105">
        <f t="shared" si="50"/>
        <v>101</v>
      </c>
      <c r="BF38" s="105" t="str">
        <f t="shared" si="51"/>
        <v/>
      </c>
      <c r="BG38" s="105" t="str">
        <f t="shared" si="52"/>
        <v/>
      </c>
      <c r="BH38" s="105" t="str">
        <f t="shared" si="53"/>
        <v/>
      </c>
      <c r="BI38" s="50" t="str">
        <f t="shared" si="3"/>
        <v/>
      </c>
      <c r="BJ38" s="47" t="str">
        <f t="shared" si="4"/>
        <v/>
      </c>
      <c r="BK38" s="105" t="str">
        <f t="shared" si="54"/>
        <v/>
      </c>
      <c r="BL38" s="105" t="str">
        <f t="shared" si="55"/>
        <v/>
      </c>
      <c r="BM38" s="105" t="str">
        <f>IF(OR(B38="",'Marks Entry'!BY38=""),"",'Marks Entry'!BY38)</f>
        <v/>
      </c>
      <c r="BN38" s="105" t="str">
        <f>IF(OR(B38="",'Marks Entry'!BZ38=""),"",'Marks Entry'!BZ38)</f>
        <v/>
      </c>
      <c r="BO38" s="105">
        <f>IF('Marks Entry'!BC38="","",'Marks Entry'!BC38)</f>
        <v>15</v>
      </c>
      <c r="BP38" s="105">
        <f>IF('Marks Entry'!BD38="","",'Marks Entry'!BD38)</f>
        <v>15</v>
      </c>
      <c r="BQ38" s="105">
        <f>IF(AND('Marks Entry'!BE38="",'Marks Entry'!BF38=""),"",SUM('Marks Entry'!BE38:BF38))</f>
        <v>25</v>
      </c>
      <c r="BR38" s="105">
        <f>IF(AND('Marks Entry'!BG38="",'Marks Entry'!BH38=""),"",SUM('Marks Entry'!BG38:BH38))</f>
        <v>82</v>
      </c>
      <c r="BS38" s="105">
        <f t="shared" si="56"/>
        <v>137</v>
      </c>
      <c r="BT38" s="105" t="str">
        <f t="shared" si="57"/>
        <v/>
      </c>
      <c r="BU38" s="105" t="str">
        <f t="shared" si="58"/>
        <v/>
      </c>
      <c r="BV38" s="105">
        <f>IF('Marks Entry'!BJ38="","",'Marks Entry'!BJ38)</f>
        <v>15</v>
      </c>
      <c r="BW38" s="105">
        <f>IF('Marks Entry'!BK38="","",'Marks Entry'!BK38)</f>
        <v>15</v>
      </c>
      <c r="BX38" s="105">
        <f>IF(AND('Marks Entry'!BL38="",'Marks Entry'!BM38=""),"",SUM('Marks Entry'!BL38:BM38))</f>
        <v>25</v>
      </c>
      <c r="BY38" s="105">
        <f>IF(AND('Marks Entry'!BN38="",'Marks Entry'!BO38=""),"",SUM('Marks Entry'!BN38:BO38))</f>
        <v>82</v>
      </c>
      <c r="BZ38" s="105">
        <f t="shared" si="59"/>
        <v>137</v>
      </c>
      <c r="CA38" s="105" t="str">
        <f t="shared" si="60"/>
        <v/>
      </c>
      <c r="CB38" s="105" t="str">
        <f t="shared" si="61"/>
        <v/>
      </c>
      <c r="CC38" s="105" t="str">
        <f>IF('Marks Entry'!BQ38="","",'Marks Entry'!BQ38)</f>
        <v/>
      </c>
      <c r="CD38" s="105" t="str">
        <f>IF('Marks Entry'!BR38="","",'Marks Entry'!BR38)</f>
        <v/>
      </c>
      <c r="CE38" s="105" t="str">
        <f>IF(AND('Marks Entry'!BS38="",'Marks Entry'!BT38=""),"",SUM('Marks Entry'!BS38:BT38))</f>
        <v/>
      </c>
      <c r="CF38" s="105" t="str">
        <f>IF(AND('Marks Entry'!BU38="",'Marks Entry'!BV38=""),"",SUM('Marks Entry'!BU38:BV38))</f>
        <v/>
      </c>
      <c r="CG38" s="105" t="str">
        <f t="shared" si="62"/>
        <v/>
      </c>
      <c r="CH38" s="105" t="str">
        <f t="shared" si="63"/>
        <v/>
      </c>
      <c r="CI38" s="105" t="str">
        <f t="shared" si="64"/>
        <v/>
      </c>
      <c r="CJ38" s="81"/>
      <c r="CK38" s="50" t="str">
        <f t="shared" si="5"/>
        <v/>
      </c>
      <c r="CM38" s="105" t="str">
        <f t="shared" si="6"/>
        <v/>
      </c>
      <c r="CN38" s="105" t="str">
        <f t="shared" si="7"/>
        <v/>
      </c>
      <c r="CO38" s="105" t="str">
        <f t="shared" si="8"/>
        <v/>
      </c>
      <c r="CP38" s="105" t="str">
        <f t="shared" si="9"/>
        <v/>
      </c>
      <c r="CQ38" s="105" t="str">
        <f t="shared" si="10"/>
        <v/>
      </c>
      <c r="CS38" s="105">
        <f t="shared" si="11"/>
        <v>0</v>
      </c>
      <c r="CT38" s="105">
        <f t="shared" si="12"/>
        <v>0</v>
      </c>
      <c r="CU38" s="105">
        <f t="shared" si="13"/>
        <v>0</v>
      </c>
      <c r="CV38" s="105">
        <f t="shared" si="14"/>
        <v>0</v>
      </c>
      <c r="CW38" s="81"/>
      <c r="CX38" s="105" t="str">
        <f t="shared" si="15"/>
        <v/>
      </c>
      <c r="CY38" s="105" t="str">
        <f t="shared" si="16"/>
        <v/>
      </c>
      <c r="CZ38" s="105" t="str">
        <f t="shared" si="17"/>
        <v/>
      </c>
      <c r="DA38" s="105" t="str">
        <f t="shared" si="18"/>
        <v/>
      </c>
      <c r="DB38" s="105" t="str">
        <f t="shared" si="19"/>
        <v/>
      </c>
      <c r="DD38" s="105" t="str">
        <f t="shared" si="20"/>
        <v/>
      </c>
      <c r="DE38" s="105" t="str">
        <f t="shared" si="21"/>
        <v/>
      </c>
      <c r="DF38" s="105" t="str">
        <f t="shared" si="22"/>
        <v/>
      </c>
      <c r="DG38" s="105" t="str">
        <f t="shared" si="23"/>
        <v/>
      </c>
      <c r="DH38" s="105" t="str">
        <f t="shared" si="24"/>
        <v/>
      </c>
      <c r="DI38" s="105" t="str">
        <f t="shared" si="25"/>
        <v/>
      </c>
      <c r="DJ38" s="105" t="str">
        <f t="shared" si="26"/>
        <v/>
      </c>
      <c r="DK38" s="105" t="str">
        <f t="shared" si="27"/>
        <v/>
      </c>
      <c r="DL38" s="105" t="str">
        <f t="shared" si="28"/>
        <v/>
      </c>
      <c r="DM38" s="105" t="str">
        <f t="shared" si="29"/>
        <v/>
      </c>
      <c r="DN38" s="105" t="str">
        <f t="shared" si="30"/>
        <v/>
      </c>
      <c r="DO38" s="105" t="str">
        <f t="shared" si="31"/>
        <v/>
      </c>
      <c r="DP38" s="105" t="str">
        <f t="shared" si="32"/>
        <v/>
      </c>
      <c r="DR38" s="118" t="str">
        <f t="shared" si="65"/>
        <v xml:space="preserve">    </v>
      </c>
      <c r="DS38" s="75"/>
      <c r="DT38" s="119" t="str">
        <f t="shared" si="66"/>
        <v xml:space="preserve">    </v>
      </c>
      <c r="DU38" s="136"/>
      <c r="DV38" s="119" t="str">
        <f t="shared" si="67"/>
        <v xml:space="preserve">    </v>
      </c>
      <c r="DW38" s="75"/>
      <c r="DX38" s="119" t="str">
        <f t="shared" si="68"/>
        <v xml:space="preserve">     </v>
      </c>
      <c r="DY38" s="75"/>
      <c r="DZ38" s="119" t="str">
        <f t="shared" si="69"/>
        <v xml:space="preserve">    </v>
      </c>
    </row>
    <row r="39" spans="1:130" ht="30" customHeight="1" x14ac:dyDescent="0.25">
      <c r="A39" s="105" t="str">
        <f>IF('Marks Entry'!A39="","",'Marks Entry'!A39)</f>
        <v/>
      </c>
      <c r="B39" s="105" t="str">
        <f>IF('Marks Entry'!B39="","",'Marks Entry'!B39)</f>
        <v/>
      </c>
      <c r="C39" s="105" t="str">
        <f>IF('Marks Entry'!C39="","",'Marks Entry'!C39)</f>
        <v/>
      </c>
      <c r="D39" s="48" t="str">
        <f>IF('Marks Entry'!D39="","",'Marks Entry'!D39)</f>
        <v/>
      </c>
      <c r="E39" s="48" t="str">
        <f>IF('Marks Entry'!E39="","",'Marks Entry'!E39)</f>
        <v/>
      </c>
      <c r="F39" s="48" t="str">
        <f>IF('Marks Entry'!F39="","",'Marks Entry'!F39)</f>
        <v/>
      </c>
      <c r="G39" s="105" t="str">
        <f>IF('Marks Entry'!G39="","",'Marks Entry'!G39)</f>
        <v/>
      </c>
      <c r="H39" s="49" t="str">
        <f>IF('Marks Entry'!H39="","",'Marks Entry'!H39)</f>
        <v/>
      </c>
      <c r="I39" s="105" t="str">
        <f>IF('Marks Entry'!I39="","",'Marks Entry'!I39)</f>
        <v/>
      </c>
      <c r="J39" s="105">
        <f>IF('Marks Entry'!K39="","",'Marks Entry'!K39)</f>
        <v>10</v>
      </c>
      <c r="K39" s="105">
        <f>IF('Marks Entry'!L39="","",'Marks Entry'!L39)</f>
        <v>20</v>
      </c>
      <c r="L39" s="105">
        <f>IF(AND('Marks Entry'!M39="",'Marks Entry'!N39=""),"",SUM('Marks Entry'!M39:N39))</f>
        <v>15</v>
      </c>
      <c r="M39" s="105">
        <f>IF(AND('Marks Entry'!O39="",'Marks Entry'!P39=""),"",SUM('Marks Entry'!O39:P39))</f>
        <v>77</v>
      </c>
      <c r="N39" s="105">
        <f t="shared" si="2"/>
        <v>122</v>
      </c>
      <c r="O39" s="105" t="str">
        <f t="shared" si="33"/>
        <v/>
      </c>
      <c r="P39" s="105" t="str">
        <f t="shared" si="34"/>
        <v/>
      </c>
      <c r="Q39" s="105">
        <f>IF('Marks Entry'!R39="","",'Marks Entry'!R39)</f>
        <v>10</v>
      </c>
      <c r="R39" s="105">
        <f>IF('Marks Entry'!S39="","",'Marks Entry'!S39)</f>
        <v>10</v>
      </c>
      <c r="S39" s="105">
        <f>IF(AND('Marks Entry'!T39="",'Marks Entry'!U39=""),"",SUM('Marks Entry'!T39:U39))</f>
        <v>40</v>
      </c>
      <c r="T39" s="105">
        <f>IF(AND('Marks Entry'!V39="",'Marks Entry'!W39=""),"",SUM('Marks Entry'!V39:W39))</f>
        <v>68</v>
      </c>
      <c r="U39" s="105">
        <f t="shared" si="35"/>
        <v>128</v>
      </c>
      <c r="V39" s="105" t="str">
        <f t="shared" si="36"/>
        <v/>
      </c>
      <c r="W39" s="105" t="str">
        <f t="shared" si="37"/>
        <v/>
      </c>
      <c r="X39" s="47" t="str">
        <f>IF(B39="","",IF('Marks Entry'!Y39="",'Marks Entry'!$Y$4,'Marks Entry'!Y39))</f>
        <v/>
      </c>
      <c r="Y39" s="105">
        <f>IF('Marks Entry'!Z39="","",'Marks Entry'!Z39)</f>
        <v>10</v>
      </c>
      <c r="Z39" s="105">
        <f>IF('Marks Entry'!AA39="","",'Marks Entry'!AA39)</f>
        <v>10</v>
      </c>
      <c r="AA39" s="105">
        <f>IF(AND('Marks Entry'!AB39="",'Marks Entry'!AC39=""),"",SUM('Marks Entry'!AB39:AC39))</f>
        <v>40</v>
      </c>
      <c r="AB39" s="105" t="str">
        <f>IF('Marks Entry'!AD39="","",'Marks Entry'!AD39)</f>
        <v/>
      </c>
      <c r="AC39" s="105">
        <f t="shared" si="38"/>
        <v>40</v>
      </c>
      <c r="AD39" s="105">
        <f>IF(AND('Marks Entry'!AE39="",'Marks Entry'!AF39=""),"",SUM('Marks Entry'!AE39:AF39))</f>
        <v>41</v>
      </c>
      <c r="AE39" s="105" t="str">
        <f>IF('Marks Entry'!AG39="","",'Marks Entry'!AG39)</f>
        <v/>
      </c>
      <c r="AF39" s="105">
        <f t="shared" si="39"/>
        <v>41</v>
      </c>
      <c r="AG39" s="105">
        <f t="shared" si="40"/>
        <v>101</v>
      </c>
      <c r="AH39" s="105" t="str">
        <f t="shared" si="41"/>
        <v/>
      </c>
      <c r="AI39" s="105" t="str">
        <f t="shared" si="42"/>
        <v/>
      </c>
      <c r="AJ39" s="47" t="str">
        <f>IF(B39="","",IF('Marks Entry'!AI39="",'Marks Entry'!$AI$4,'Marks Entry'!AI39))</f>
        <v/>
      </c>
      <c r="AK39" s="105">
        <f>IF('Marks Entry'!AJ39="","",'Marks Entry'!AJ39)</f>
        <v>10</v>
      </c>
      <c r="AL39" s="105">
        <f>IF('Marks Entry'!AK39="","",'Marks Entry'!AK39)</f>
        <v>10</v>
      </c>
      <c r="AM39" s="105">
        <f>IF(AND('Marks Entry'!AL39="",'Marks Entry'!AM39=""),"",SUM('Marks Entry'!AL39:AM39))</f>
        <v>40</v>
      </c>
      <c r="AN39" s="105" t="str">
        <f>IF('Marks Entry'!AN39="","",'Marks Entry'!AN39)</f>
        <v/>
      </c>
      <c r="AO39" s="105">
        <f t="shared" si="43"/>
        <v>40</v>
      </c>
      <c r="AP39" s="105">
        <f>IF(AND('Marks Entry'!AO39="",'Marks Entry'!AP39=""),"",SUM('Marks Entry'!AO39:AP39))</f>
        <v>65</v>
      </c>
      <c r="AQ39" s="105" t="str">
        <f>IF('Marks Entry'!AQ39="","",'Marks Entry'!AQ39)</f>
        <v/>
      </c>
      <c r="AR39" s="105">
        <f t="shared" si="44"/>
        <v>65</v>
      </c>
      <c r="AS39" s="105">
        <f t="shared" si="45"/>
        <v>125</v>
      </c>
      <c r="AT39" s="105" t="str">
        <f t="shared" si="46"/>
        <v/>
      </c>
      <c r="AU39" s="105" t="str">
        <f t="shared" si="47"/>
        <v/>
      </c>
      <c r="AV39" s="47" t="str">
        <f>IF(B39="","",IF('Marks Entry'!AS39="",'Marks Entry'!$AS$4,'Marks Entry'!AS39))</f>
        <v/>
      </c>
      <c r="AW39" s="105">
        <f>IF('Marks Entry'!AT39="","",'Marks Entry'!AT39)</f>
        <v>10</v>
      </c>
      <c r="AX39" s="105">
        <f>IF('Marks Entry'!AU39="","",'Marks Entry'!AU39)</f>
        <v>10</v>
      </c>
      <c r="AY39" s="105">
        <f>IF(AND('Marks Entry'!AV39="",'Marks Entry'!AW39=""),"",SUM('Marks Entry'!AV39:AW39))</f>
        <v>24</v>
      </c>
      <c r="AZ39" s="105">
        <f>IF('Marks Entry'!AX39="","",'Marks Entry'!AX39)</f>
        <v>14</v>
      </c>
      <c r="BA39" s="105">
        <f t="shared" si="48"/>
        <v>38</v>
      </c>
      <c r="BB39" s="105">
        <f>IF(AND('Marks Entry'!AY39="",'Marks Entry'!AZ39=""),"",SUM('Marks Entry'!AY39:AZ39))</f>
        <v>40</v>
      </c>
      <c r="BC39" s="105">
        <f>IF('Marks Entry'!BA39="","",'Marks Entry'!BA39)</f>
        <v>15</v>
      </c>
      <c r="BD39" s="105">
        <f t="shared" si="49"/>
        <v>55</v>
      </c>
      <c r="BE39" s="105">
        <f t="shared" si="50"/>
        <v>113</v>
      </c>
      <c r="BF39" s="105" t="str">
        <f t="shared" si="51"/>
        <v/>
      </c>
      <c r="BG39" s="105" t="str">
        <f t="shared" si="52"/>
        <v/>
      </c>
      <c r="BH39" s="105" t="str">
        <f t="shared" si="53"/>
        <v/>
      </c>
      <c r="BI39" s="50" t="str">
        <f t="shared" si="3"/>
        <v/>
      </c>
      <c r="BJ39" s="47" t="str">
        <f t="shared" si="4"/>
        <v/>
      </c>
      <c r="BK39" s="105" t="str">
        <f t="shared" si="54"/>
        <v/>
      </c>
      <c r="BL39" s="105" t="str">
        <f t="shared" si="55"/>
        <v/>
      </c>
      <c r="BM39" s="105" t="str">
        <f>IF(OR(B39="",'Marks Entry'!BY39=""),"",'Marks Entry'!BY39)</f>
        <v/>
      </c>
      <c r="BN39" s="105" t="str">
        <f>IF(OR(B39="",'Marks Entry'!BZ39=""),"",'Marks Entry'!BZ39)</f>
        <v/>
      </c>
      <c r="BO39" s="105">
        <f>IF('Marks Entry'!BC39="","",'Marks Entry'!BC39)</f>
        <v>15</v>
      </c>
      <c r="BP39" s="105">
        <f>IF('Marks Entry'!BD39="","",'Marks Entry'!BD39)</f>
        <v>15</v>
      </c>
      <c r="BQ39" s="105">
        <f>IF(AND('Marks Entry'!BE39="",'Marks Entry'!BF39=""),"",SUM('Marks Entry'!BE39:BF39))</f>
        <v>25</v>
      </c>
      <c r="BR39" s="105">
        <f>IF(AND('Marks Entry'!BG39="",'Marks Entry'!BH39=""),"",SUM('Marks Entry'!BG39:BH39))</f>
        <v>82</v>
      </c>
      <c r="BS39" s="105">
        <f t="shared" si="56"/>
        <v>137</v>
      </c>
      <c r="BT39" s="105" t="str">
        <f t="shared" si="57"/>
        <v/>
      </c>
      <c r="BU39" s="105" t="str">
        <f t="shared" si="58"/>
        <v/>
      </c>
      <c r="BV39" s="105">
        <f>IF('Marks Entry'!BJ39="","",'Marks Entry'!BJ39)</f>
        <v>15</v>
      </c>
      <c r="BW39" s="105">
        <f>IF('Marks Entry'!BK39="","",'Marks Entry'!BK39)</f>
        <v>15</v>
      </c>
      <c r="BX39" s="105">
        <f>IF(AND('Marks Entry'!BL39="",'Marks Entry'!BM39=""),"",SUM('Marks Entry'!BL39:BM39))</f>
        <v>25</v>
      </c>
      <c r="BY39" s="105">
        <f>IF(AND('Marks Entry'!BN39="",'Marks Entry'!BO39=""),"",SUM('Marks Entry'!BN39:BO39))</f>
        <v>82</v>
      </c>
      <c r="BZ39" s="105">
        <f t="shared" si="59"/>
        <v>137</v>
      </c>
      <c r="CA39" s="105" t="str">
        <f t="shared" si="60"/>
        <v/>
      </c>
      <c r="CB39" s="105" t="str">
        <f t="shared" si="61"/>
        <v/>
      </c>
      <c r="CC39" s="105" t="str">
        <f>IF('Marks Entry'!BQ39="","",'Marks Entry'!BQ39)</f>
        <v/>
      </c>
      <c r="CD39" s="105" t="str">
        <f>IF('Marks Entry'!BR39="","",'Marks Entry'!BR39)</f>
        <v/>
      </c>
      <c r="CE39" s="105" t="str">
        <f>IF(AND('Marks Entry'!BS39="",'Marks Entry'!BT39=""),"",SUM('Marks Entry'!BS39:BT39))</f>
        <v/>
      </c>
      <c r="CF39" s="105" t="str">
        <f>IF(AND('Marks Entry'!BU39="",'Marks Entry'!BV39=""),"",SUM('Marks Entry'!BU39:BV39))</f>
        <v/>
      </c>
      <c r="CG39" s="105" t="str">
        <f t="shared" si="62"/>
        <v/>
      </c>
      <c r="CH39" s="105" t="str">
        <f t="shared" si="63"/>
        <v/>
      </c>
      <c r="CI39" s="105" t="str">
        <f t="shared" si="64"/>
        <v/>
      </c>
      <c r="CJ39" s="81"/>
      <c r="CK39" s="50" t="str">
        <f t="shared" si="5"/>
        <v/>
      </c>
      <c r="CM39" s="105" t="str">
        <f t="shared" si="6"/>
        <v/>
      </c>
      <c r="CN39" s="105" t="str">
        <f t="shared" si="7"/>
        <v/>
      </c>
      <c r="CO39" s="105" t="str">
        <f t="shared" si="8"/>
        <v/>
      </c>
      <c r="CP39" s="105" t="str">
        <f t="shared" si="9"/>
        <v/>
      </c>
      <c r="CQ39" s="105" t="str">
        <f t="shared" si="10"/>
        <v/>
      </c>
      <c r="CS39" s="105">
        <f t="shared" si="11"/>
        <v>0</v>
      </c>
      <c r="CT39" s="105">
        <f t="shared" si="12"/>
        <v>0</v>
      </c>
      <c r="CU39" s="105">
        <f t="shared" si="13"/>
        <v>0</v>
      </c>
      <c r="CV39" s="105">
        <f t="shared" si="14"/>
        <v>0</v>
      </c>
      <c r="CW39" s="81"/>
      <c r="CX39" s="105" t="str">
        <f t="shared" si="15"/>
        <v/>
      </c>
      <c r="CY39" s="105" t="str">
        <f t="shared" si="16"/>
        <v/>
      </c>
      <c r="CZ39" s="105" t="str">
        <f t="shared" si="17"/>
        <v/>
      </c>
      <c r="DA39" s="105" t="str">
        <f t="shared" si="18"/>
        <v/>
      </c>
      <c r="DB39" s="105" t="str">
        <f t="shared" si="19"/>
        <v/>
      </c>
      <c r="DD39" s="105" t="str">
        <f t="shared" si="20"/>
        <v/>
      </c>
      <c r="DE39" s="105" t="str">
        <f t="shared" si="21"/>
        <v/>
      </c>
      <c r="DF39" s="105" t="str">
        <f t="shared" si="22"/>
        <v/>
      </c>
      <c r="DG39" s="105" t="str">
        <f t="shared" si="23"/>
        <v/>
      </c>
      <c r="DH39" s="105" t="str">
        <f t="shared" si="24"/>
        <v/>
      </c>
      <c r="DI39" s="105" t="str">
        <f t="shared" si="25"/>
        <v/>
      </c>
      <c r="DJ39" s="105" t="str">
        <f t="shared" si="26"/>
        <v/>
      </c>
      <c r="DK39" s="105" t="str">
        <f t="shared" si="27"/>
        <v/>
      </c>
      <c r="DL39" s="105" t="str">
        <f t="shared" si="28"/>
        <v/>
      </c>
      <c r="DM39" s="105" t="str">
        <f t="shared" si="29"/>
        <v/>
      </c>
      <c r="DN39" s="105" t="str">
        <f t="shared" si="30"/>
        <v/>
      </c>
      <c r="DO39" s="105" t="str">
        <f t="shared" si="31"/>
        <v/>
      </c>
      <c r="DP39" s="105" t="str">
        <f t="shared" si="32"/>
        <v/>
      </c>
      <c r="DR39" s="118" t="str">
        <f t="shared" si="65"/>
        <v xml:space="preserve">    </v>
      </c>
      <c r="DS39" s="75"/>
      <c r="DT39" s="119" t="str">
        <f t="shared" si="66"/>
        <v xml:space="preserve">    </v>
      </c>
      <c r="DU39" s="136"/>
      <c r="DV39" s="119" t="str">
        <f t="shared" si="67"/>
        <v xml:space="preserve">    </v>
      </c>
      <c r="DW39" s="75"/>
      <c r="DX39" s="119" t="str">
        <f t="shared" si="68"/>
        <v xml:space="preserve">     </v>
      </c>
      <c r="DY39" s="75"/>
      <c r="DZ39" s="119" t="str">
        <f t="shared" si="69"/>
        <v xml:space="preserve">    </v>
      </c>
    </row>
    <row r="40" spans="1:130" ht="30" customHeight="1" x14ac:dyDescent="0.25">
      <c r="A40" s="105" t="str">
        <f>IF('Marks Entry'!A40="","",'Marks Entry'!A40)</f>
        <v/>
      </c>
      <c r="B40" s="105" t="str">
        <f>IF('Marks Entry'!B40="","",'Marks Entry'!B40)</f>
        <v/>
      </c>
      <c r="C40" s="105" t="str">
        <f>IF('Marks Entry'!C40="","",'Marks Entry'!C40)</f>
        <v/>
      </c>
      <c r="D40" s="48" t="str">
        <f>IF('Marks Entry'!D40="","",'Marks Entry'!D40)</f>
        <v/>
      </c>
      <c r="E40" s="48" t="str">
        <f>IF('Marks Entry'!E40="","",'Marks Entry'!E40)</f>
        <v/>
      </c>
      <c r="F40" s="48" t="str">
        <f>IF('Marks Entry'!F40="","",'Marks Entry'!F40)</f>
        <v/>
      </c>
      <c r="G40" s="105" t="str">
        <f>IF('Marks Entry'!G40="","",'Marks Entry'!G40)</f>
        <v/>
      </c>
      <c r="H40" s="49" t="str">
        <f>IF('Marks Entry'!H40="","",'Marks Entry'!H40)</f>
        <v/>
      </c>
      <c r="I40" s="105" t="str">
        <f>IF('Marks Entry'!I40="","",'Marks Entry'!I40)</f>
        <v/>
      </c>
      <c r="J40" s="105">
        <f>IF('Marks Entry'!K40="","",'Marks Entry'!K40)</f>
        <v>10</v>
      </c>
      <c r="K40" s="105">
        <f>IF('Marks Entry'!L40="","",'Marks Entry'!L40)</f>
        <v>20</v>
      </c>
      <c r="L40" s="105">
        <f>IF(AND('Marks Entry'!M40="",'Marks Entry'!N40=""),"",SUM('Marks Entry'!M40:N40))</f>
        <v>15</v>
      </c>
      <c r="M40" s="105">
        <f>IF(AND('Marks Entry'!O40="",'Marks Entry'!P40=""),"",SUM('Marks Entry'!O40:P40))</f>
        <v>78</v>
      </c>
      <c r="N40" s="105">
        <f t="shared" si="2"/>
        <v>123</v>
      </c>
      <c r="O40" s="105" t="str">
        <f t="shared" si="33"/>
        <v/>
      </c>
      <c r="P40" s="105" t="str">
        <f t="shared" si="34"/>
        <v/>
      </c>
      <c r="Q40" s="105">
        <f>IF('Marks Entry'!R40="","",'Marks Entry'!R40)</f>
        <v>10</v>
      </c>
      <c r="R40" s="105">
        <f>IF('Marks Entry'!S40="","",'Marks Entry'!S40)</f>
        <v>10</v>
      </c>
      <c r="S40" s="105">
        <f>IF(AND('Marks Entry'!T40="",'Marks Entry'!U40=""),"",SUM('Marks Entry'!T40:U40))</f>
        <v>40</v>
      </c>
      <c r="T40" s="105">
        <f>IF(AND('Marks Entry'!V40="",'Marks Entry'!W40=""),"",SUM('Marks Entry'!V40:W40))</f>
        <v>69</v>
      </c>
      <c r="U40" s="105">
        <f t="shared" si="35"/>
        <v>129</v>
      </c>
      <c r="V40" s="105" t="str">
        <f t="shared" si="36"/>
        <v/>
      </c>
      <c r="W40" s="105" t="str">
        <f t="shared" si="37"/>
        <v/>
      </c>
      <c r="X40" s="47" t="str">
        <f>IF(B40="","",IF('Marks Entry'!Y40="",'Marks Entry'!$Y$4,'Marks Entry'!Y40))</f>
        <v/>
      </c>
      <c r="Y40" s="105">
        <f>IF('Marks Entry'!Z40="","",'Marks Entry'!Z40)</f>
        <v>10</v>
      </c>
      <c r="Z40" s="105">
        <f>IF('Marks Entry'!AA40="","",'Marks Entry'!AA40)</f>
        <v>10</v>
      </c>
      <c r="AA40" s="105">
        <f>IF(AND('Marks Entry'!AB40="",'Marks Entry'!AC40=""),"",SUM('Marks Entry'!AB40:AC40))</f>
        <v>40</v>
      </c>
      <c r="AB40" s="105" t="str">
        <f>IF('Marks Entry'!AD40="","",'Marks Entry'!AD40)</f>
        <v/>
      </c>
      <c r="AC40" s="105">
        <f t="shared" si="38"/>
        <v>40</v>
      </c>
      <c r="AD40" s="105">
        <f>IF(AND('Marks Entry'!AE40="",'Marks Entry'!AF40=""),"",SUM('Marks Entry'!AE40:AF40))</f>
        <v>41</v>
      </c>
      <c r="AE40" s="105" t="str">
        <f>IF('Marks Entry'!AG40="","",'Marks Entry'!AG40)</f>
        <v/>
      </c>
      <c r="AF40" s="105">
        <f t="shared" si="39"/>
        <v>41</v>
      </c>
      <c r="AG40" s="105">
        <f t="shared" si="40"/>
        <v>101</v>
      </c>
      <c r="AH40" s="105" t="str">
        <f t="shared" si="41"/>
        <v/>
      </c>
      <c r="AI40" s="105" t="str">
        <f t="shared" si="42"/>
        <v/>
      </c>
      <c r="AJ40" s="47" t="str">
        <f>IF(B40="","",IF('Marks Entry'!AI40="",'Marks Entry'!$AI$4,'Marks Entry'!AI40))</f>
        <v/>
      </c>
      <c r="AK40" s="105">
        <f>IF('Marks Entry'!AJ40="","",'Marks Entry'!AJ40)</f>
        <v>10</v>
      </c>
      <c r="AL40" s="105">
        <f>IF('Marks Entry'!AK40="","",'Marks Entry'!AK40)</f>
        <v>10</v>
      </c>
      <c r="AM40" s="105">
        <f>IF(AND('Marks Entry'!AL40="",'Marks Entry'!AM40=""),"",SUM('Marks Entry'!AL40:AM40))</f>
        <v>40</v>
      </c>
      <c r="AN40" s="105" t="str">
        <f>IF('Marks Entry'!AN40="","",'Marks Entry'!AN40)</f>
        <v/>
      </c>
      <c r="AO40" s="105">
        <f t="shared" si="43"/>
        <v>40</v>
      </c>
      <c r="AP40" s="105">
        <f>IF(AND('Marks Entry'!AO40="",'Marks Entry'!AP40=""),"",SUM('Marks Entry'!AO40:AP40))</f>
        <v>60</v>
      </c>
      <c r="AQ40" s="105" t="str">
        <f>IF('Marks Entry'!AQ40="","",'Marks Entry'!AQ40)</f>
        <v/>
      </c>
      <c r="AR40" s="105">
        <f t="shared" si="44"/>
        <v>60</v>
      </c>
      <c r="AS40" s="105">
        <f t="shared" si="45"/>
        <v>120</v>
      </c>
      <c r="AT40" s="105" t="str">
        <f t="shared" si="46"/>
        <v/>
      </c>
      <c r="AU40" s="105" t="str">
        <f t="shared" si="47"/>
        <v/>
      </c>
      <c r="AV40" s="47" t="str">
        <f>IF(B40="","",IF('Marks Entry'!AS40="",'Marks Entry'!$AS$4,'Marks Entry'!AS40))</f>
        <v/>
      </c>
      <c r="AW40" s="105">
        <f>IF('Marks Entry'!AT40="","",'Marks Entry'!AT40)</f>
        <v>10</v>
      </c>
      <c r="AX40" s="105">
        <f>IF('Marks Entry'!AU40="","",'Marks Entry'!AU40)</f>
        <v>10</v>
      </c>
      <c r="AY40" s="105">
        <f>IF(AND('Marks Entry'!AV40="",'Marks Entry'!AW40=""),"",SUM('Marks Entry'!AV40:AW40))</f>
        <v>21</v>
      </c>
      <c r="AZ40" s="105">
        <f>IF('Marks Entry'!AX40="","",'Marks Entry'!AX40)</f>
        <v>10</v>
      </c>
      <c r="BA40" s="105">
        <f t="shared" si="48"/>
        <v>31</v>
      </c>
      <c r="BB40" s="105">
        <f>IF(AND('Marks Entry'!AY40="",'Marks Entry'!AZ40=""),"",SUM('Marks Entry'!AY40:AZ40))</f>
        <v>32</v>
      </c>
      <c r="BC40" s="105">
        <f>IF('Marks Entry'!BA40="","",'Marks Entry'!BA40)</f>
        <v>18</v>
      </c>
      <c r="BD40" s="105">
        <f t="shared" si="49"/>
        <v>50</v>
      </c>
      <c r="BE40" s="105">
        <f t="shared" si="50"/>
        <v>101</v>
      </c>
      <c r="BF40" s="105" t="str">
        <f t="shared" si="51"/>
        <v/>
      </c>
      <c r="BG40" s="105" t="str">
        <f t="shared" si="52"/>
        <v/>
      </c>
      <c r="BH40" s="105" t="str">
        <f t="shared" si="53"/>
        <v/>
      </c>
      <c r="BI40" s="50" t="str">
        <f t="shared" si="3"/>
        <v/>
      </c>
      <c r="BJ40" s="47" t="str">
        <f t="shared" si="4"/>
        <v/>
      </c>
      <c r="BK40" s="105" t="str">
        <f t="shared" si="54"/>
        <v/>
      </c>
      <c r="BL40" s="105" t="str">
        <f t="shared" si="55"/>
        <v/>
      </c>
      <c r="BM40" s="105" t="str">
        <f>IF(OR(B40="",'Marks Entry'!BY40=""),"",'Marks Entry'!BY40)</f>
        <v/>
      </c>
      <c r="BN40" s="105" t="str">
        <f>IF(OR(B40="",'Marks Entry'!BZ40=""),"",'Marks Entry'!BZ40)</f>
        <v/>
      </c>
      <c r="BO40" s="105">
        <f>IF('Marks Entry'!BC40="","",'Marks Entry'!BC40)</f>
        <v>15</v>
      </c>
      <c r="BP40" s="105">
        <f>IF('Marks Entry'!BD40="","",'Marks Entry'!BD40)</f>
        <v>15</v>
      </c>
      <c r="BQ40" s="105">
        <f>IF(AND('Marks Entry'!BE40="",'Marks Entry'!BF40=""),"",SUM('Marks Entry'!BE40:BF40))</f>
        <v>25</v>
      </c>
      <c r="BR40" s="105">
        <f>IF(AND('Marks Entry'!BG40="",'Marks Entry'!BH40=""),"",SUM('Marks Entry'!BG40:BH40))</f>
        <v>82</v>
      </c>
      <c r="BS40" s="105">
        <f t="shared" si="56"/>
        <v>137</v>
      </c>
      <c r="BT40" s="105" t="str">
        <f t="shared" si="57"/>
        <v/>
      </c>
      <c r="BU40" s="105" t="str">
        <f t="shared" si="58"/>
        <v/>
      </c>
      <c r="BV40" s="105">
        <f>IF('Marks Entry'!BJ40="","",'Marks Entry'!BJ40)</f>
        <v>15</v>
      </c>
      <c r="BW40" s="105">
        <f>IF('Marks Entry'!BK40="","",'Marks Entry'!BK40)</f>
        <v>15</v>
      </c>
      <c r="BX40" s="105">
        <f>IF(AND('Marks Entry'!BL40="",'Marks Entry'!BM40=""),"",SUM('Marks Entry'!BL40:BM40))</f>
        <v>25</v>
      </c>
      <c r="BY40" s="105">
        <f>IF(AND('Marks Entry'!BN40="",'Marks Entry'!BO40=""),"",SUM('Marks Entry'!BN40:BO40))</f>
        <v>82</v>
      </c>
      <c r="BZ40" s="105">
        <f t="shared" si="59"/>
        <v>137</v>
      </c>
      <c r="CA40" s="105" t="str">
        <f t="shared" si="60"/>
        <v/>
      </c>
      <c r="CB40" s="105" t="str">
        <f t="shared" si="61"/>
        <v/>
      </c>
      <c r="CC40" s="105" t="str">
        <f>IF('Marks Entry'!BQ40="","",'Marks Entry'!BQ40)</f>
        <v/>
      </c>
      <c r="CD40" s="105" t="str">
        <f>IF('Marks Entry'!BR40="","",'Marks Entry'!BR40)</f>
        <v/>
      </c>
      <c r="CE40" s="105" t="str">
        <f>IF(AND('Marks Entry'!BS40="",'Marks Entry'!BT40=""),"",SUM('Marks Entry'!BS40:BT40))</f>
        <v/>
      </c>
      <c r="CF40" s="105" t="str">
        <f>IF(AND('Marks Entry'!BU40="",'Marks Entry'!BV40=""),"",SUM('Marks Entry'!BU40:BV40))</f>
        <v/>
      </c>
      <c r="CG40" s="105" t="str">
        <f t="shared" si="62"/>
        <v/>
      </c>
      <c r="CH40" s="105" t="str">
        <f t="shared" si="63"/>
        <v/>
      </c>
      <c r="CI40" s="105" t="str">
        <f t="shared" si="64"/>
        <v/>
      </c>
      <c r="CJ40" s="81"/>
      <c r="CK40" s="50" t="str">
        <f t="shared" si="5"/>
        <v/>
      </c>
      <c r="CM40" s="105" t="str">
        <f t="shared" si="6"/>
        <v/>
      </c>
      <c r="CN40" s="105" t="str">
        <f t="shared" si="7"/>
        <v/>
      </c>
      <c r="CO40" s="105" t="str">
        <f t="shared" si="8"/>
        <v/>
      </c>
      <c r="CP40" s="105" t="str">
        <f t="shared" si="9"/>
        <v/>
      </c>
      <c r="CQ40" s="105" t="str">
        <f t="shared" si="10"/>
        <v/>
      </c>
      <c r="CS40" s="105">
        <f t="shared" si="11"/>
        <v>0</v>
      </c>
      <c r="CT40" s="105">
        <f t="shared" si="12"/>
        <v>0</v>
      </c>
      <c r="CU40" s="105">
        <f t="shared" si="13"/>
        <v>0</v>
      </c>
      <c r="CV40" s="105">
        <f t="shared" si="14"/>
        <v>0</v>
      </c>
      <c r="CW40" s="81"/>
      <c r="CX40" s="105" t="str">
        <f t="shared" si="15"/>
        <v/>
      </c>
      <c r="CY40" s="105" t="str">
        <f t="shared" si="16"/>
        <v/>
      </c>
      <c r="CZ40" s="105" t="str">
        <f t="shared" si="17"/>
        <v/>
      </c>
      <c r="DA40" s="105" t="str">
        <f t="shared" si="18"/>
        <v/>
      </c>
      <c r="DB40" s="105" t="str">
        <f t="shared" si="19"/>
        <v/>
      </c>
      <c r="DD40" s="105" t="str">
        <f t="shared" si="20"/>
        <v/>
      </c>
      <c r="DE40" s="105" t="str">
        <f t="shared" si="21"/>
        <v/>
      </c>
      <c r="DF40" s="105" t="str">
        <f t="shared" si="22"/>
        <v/>
      </c>
      <c r="DG40" s="105" t="str">
        <f t="shared" si="23"/>
        <v/>
      </c>
      <c r="DH40" s="105" t="str">
        <f t="shared" si="24"/>
        <v/>
      </c>
      <c r="DI40" s="105" t="str">
        <f t="shared" si="25"/>
        <v/>
      </c>
      <c r="DJ40" s="105" t="str">
        <f t="shared" si="26"/>
        <v/>
      </c>
      <c r="DK40" s="105" t="str">
        <f t="shared" si="27"/>
        <v/>
      </c>
      <c r="DL40" s="105" t="str">
        <f t="shared" si="28"/>
        <v/>
      </c>
      <c r="DM40" s="105" t="str">
        <f t="shared" si="29"/>
        <v/>
      </c>
      <c r="DN40" s="105" t="str">
        <f t="shared" si="30"/>
        <v/>
      </c>
      <c r="DO40" s="105" t="str">
        <f t="shared" si="31"/>
        <v/>
      </c>
      <c r="DP40" s="105" t="str">
        <f t="shared" si="32"/>
        <v/>
      </c>
      <c r="DR40" s="118" t="str">
        <f t="shared" si="65"/>
        <v xml:space="preserve">    </v>
      </c>
      <c r="DS40" s="75"/>
      <c r="DT40" s="119" t="str">
        <f t="shared" si="66"/>
        <v xml:space="preserve">    </v>
      </c>
      <c r="DU40" s="136"/>
      <c r="DV40" s="119" t="str">
        <f t="shared" si="67"/>
        <v xml:space="preserve">    </v>
      </c>
      <c r="DW40" s="75"/>
      <c r="DX40" s="119" t="str">
        <f t="shared" si="68"/>
        <v xml:space="preserve">     </v>
      </c>
      <c r="DY40" s="75"/>
      <c r="DZ40" s="119" t="str">
        <f t="shared" si="69"/>
        <v xml:space="preserve">    </v>
      </c>
    </row>
    <row r="41" spans="1:130" ht="30" customHeight="1" x14ac:dyDescent="0.25">
      <c r="A41" s="105" t="str">
        <f>IF('Marks Entry'!A41="","",'Marks Entry'!A41)</f>
        <v/>
      </c>
      <c r="B41" s="105" t="str">
        <f>IF('Marks Entry'!B41="","",'Marks Entry'!B41)</f>
        <v/>
      </c>
      <c r="C41" s="105" t="str">
        <f>IF('Marks Entry'!C41="","",'Marks Entry'!C41)</f>
        <v/>
      </c>
      <c r="D41" s="48" t="str">
        <f>IF('Marks Entry'!D41="","",'Marks Entry'!D41)</f>
        <v/>
      </c>
      <c r="E41" s="48" t="str">
        <f>IF('Marks Entry'!E41="","",'Marks Entry'!E41)</f>
        <v/>
      </c>
      <c r="F41" s="48" t="str">
        <f>IF('Marks Entry'!F41="","",'Marks Entry'!F41)</f>
        <v/>
      </c>
      <c r="G41" s="105" t="str">
        <f>IF('Marks Entry'!G41="","",'Marks Entry'!G41)</f>
        <v/>
      </c>
      <c r="H41" s="49" t="str">
        <f>IF('Marks Entry'!H41="","",'Marks Entry'!H41)</f>
        <v/>
      </c>
      <c r="I41" s="105" t="str">
        <f>IF('Marks Entry'!I41="","",'Marks Entry'!I41)</f>
        <v/>
      </c>
      <c r="J41" s="105">
        <f>IF('Marks Entry'!K41="","",'Marks Entry'!K41)</f>
        <v>10</v>
      </c>
      <c r="K41" s="105">
        <f>IF('Marks Entry'!L41="","",'Marks Entry'!L41)</f>
        <v>10</v>
      </c>
      <c r="L41" s="105">
        <f>IF(AND('Marks Entry'!M41="",'Marks Entry'!N41=""),"",SUM('Marks Entry'!M41:N41))</f>
        <v>40</v>
      </c>
      <c r="M41" s="105">
        <f>IF(AND('Marks Entry'!O41="",'Marks Entry'!P41=""),"",SUM('Marks Entry'!O41:P41))</f>
        <v>79</v>
      </c>
      <c r="N41" s="105">
        <f t="shared" ref="N41:N72" si="70">IF(AND(J41="",K41="",L41="",M41=""),"",SUM(J41:M41))</f>
        <v>139</v>
      </c>
      <c r="O41" s="105" t="str">
        <f t="shared" si="33"/>
        <v/>
      </c>
      <c r="P41" s="105" t="str">
        <f t="shared" si="34"/>
        <v/>
      </c>
      <c r="Q41" s="105">
        <f>IF('Marks Entry'!R41="","",'Marks Entry'!R41)</f>
        <v>15</v>
      </c>
      <c r="R41" s="105">
        <f>IF('Marks Entry'!S41="","",'Marks Entry'!S41)</f>
        <v>15</v>
      </c>
      <c r="S41" s="105">
        <f>IF(AND('Marks Entry'!T41="",'Marks Entry'!U41=""),"",SUM('Marks Entry'!T41:U41))</f>
        <v>40</v>
      </c>
      <c r="T41" s="105">
        <f>IF(AND('Marks Entry'!V41="",'Marks Entry'!W41=""),"",SUM('Marks Entry'!V41:W41))</f>
        <v>70</v>
      </c>
      <c r="U41" s="105">
        <f t="shared" si="35"/>
        <v>140</v>
      </c>
      <c r="V41" s="105" t="str">
        <f t="shared" si="36"/>
        <v/>
      </c>
      <c r="W41" s="105" t="str">
        <f t="shared" si="37"/>
        <v/>
      </c>
      <c r="X41" s="47" t="str">
        <f>IF(B41="","",IF('Marks Entry'!Y41="",'Marks Entry'!$Y$4,'Marks Entry'!Y41))</f>
        <v/>
      </c>
      <c r="Y41" s="105">
        <f>IF('Marks Entry'!Z41="","",'Marks Entry'!Z41)</f>
        <v>15</v>
      </c>
      <c r="Z41" s="105">
        <f>IF('Marks Entry'!AA41="","",'Marks Entry'!AA41)</f>
        <v>15</v>
      </c>
      <c r="AA41" s="105">
        <f>IF(AND('Marks Entry'!AB41="",'Marks Entry'!AC41=""),"",SUM('Marks Entry'!AB41:AC41))</f>
        <v>40</v>
      </c>
      <c r="AB41" s="105" t="str">
        <f>IF('Marks Entry'!AD41="","",'Marks Entry'!AD41)</f>
        <v/>
      </c>
      <c r="AC41" s="105">
        <f t="shared" si="38"/>
        <v>40</v>
      </c>
      <c r="AD41" s="105">
        <f>IF(AND('Marks Entry'!AE41="",'Marks Entry'!AF41=""),"",SUM('Marks Entry'!AE41:AF41))</f>
        <v>71</v>
      </c>
      <c r="AE41" s="105" t="str">
        <f>IF('Marks Entry'!AG41="","",'Marks Entry'!AG41)</f>
        <v/>
      </c>
      <c r="AF41" s="105">
        <f t="shared" si="39"/>
        <v>71</v>
      </c>
      <c r="AG41" s="105">
        <f t="shared" si="40"/>
        <v>141</v>
      </c>
      <c r="AH41" s="105" t="str">
        <f t="shared" si="41"/>
        <v/>
      </c>
      <c r="AI41" s="105" t="str">
        <f t="shared" si="42"/>
        <v/>
      </c>
      <c r="AJ41" s="47" t="str">
        <f>IF(B41="","",IF('Marks Entry'!AI41="",'Marks Entry'!$AI$4,'Marks Entry'!AI41))</f>
        <v/>
      </c>
      <c r="AK41" s="105">
        <f>IF('Marks Entry'!AJ41="","",'Marks Entry'!AJ41)</f>
        <v>15</v>
      </c>
      <c r="AL41" s="105">
        <f>IF('Marks Entry'!AK41="","",'Marks Entry'!AK41)</f>
        <v>15</v>
      </c>
      <c r="AM41" s="105">
        <f>IF(AND('Marks Entry'!AL41="",'Marks Entry'!AM41=""),"",SUM('Marks Entry'!AL41:AM41))</f>
        <v>40</v>
      </c>
      <c r="AN41" s="105" t="str">
        <f>IF('Marks Entry'!AN41="","",'Marks Entry'!AN41)</f>
        <v/>
      </c>
      <c r="AO41" s="105">
        <f t="shared" si="43"/>
        <v>40</v>
      </c>
      <c r="AP41" s="105">
        <f>IF(AND('Marks Entry'!AO41="",'Marks Entry'!AP41=""),"",SUM('Marks Entry'!AO41:AP41))</f>
        <v>69</v>
      </c>
      <c r="AQ41" s="105" t="str">
        <f>IF('Marks Entry'!AQ41="","",'Marks Entry'!AQ41)</f>
        <v/>
      </c>
      <c r="AR41" s="105">
        <f t="shared" si="44"/>
        <v>69</v>
      </c>
      <c r="AS41" s="105">
        <f t="shared" si="45"/>
        <v>139</v>
      </c>
      <c r="AT41" s="105" t="str">
        <f t="shared" si="46"/>
        <v/>
      </c>
      <c r="AU41" s="105" t="str">
        <f t="shared" si="47"/>
        <v/>
      </c>
      <c r="AV41" s="47" t="str">
        <f>IF(B41="","",IF('Marks Entry'!AS41="",'Marks Entry'!$AS$4,'Marks Entry'!AS41))</f>
        <v/>
      </c>
      <c r="AW41" s="105">
        <f>IF('Marks Entry'!AT41="","",'Marks Entry'!AT41)</f>
        <v>15</v>
      </c>
      <c r="AX41" s="105">
        <f>IF('Marks Entry'!AU41="","",'Marks Entry'!AU41)</f>
        <v>15</v>
      </c>
      <c r="AY41" s="105">
        <f>IF(AND('Marks Entry'!AV41="",'Marks Entry'!AW41=""),"",SUM('Marks Entry'!AV41:AW41))</f>
        <v>26</v>
      </c>
      <c r="AZ41" s="105">
        <f>IF('Marks Entry'!AX41="","",'Marks Entry'!AX41)</f>
        <v>8</v>
      </c>
      <c r="BA41" s="105">
        <f t="shared" si="48"/>
        <v>34</v>
      </c>
      <c r="BB41" s="105">
        <f>IF(AND('Marks Entry'!AY41="",'Marks Entry'!AZ41=""),"",SUM('Marks Entry'!AY41:AZ41))</f>
        <v>35</v>
      </c>
      <c r="BC41" s="105">
        <f>IF('Marks Entry'!BA41="","",'Marks Entry'!BA41)</f>
        <v>18</v>
      </c>
      <c r="BD41" s="105">
        <f t="shared" si="49"/>
        <v>53</v>
      </c>
      <c r="BE41" s="105">
        <f t="shared" si="50"/>
        <v>117</v>
      </c>
      <c r="BF41" s="105" t="str">
        <f t="shared" si="51"/>
        <v/>
      </c>
      <c r="BG41" s="105" t="str">
        <f t="shared" si="52"/>
        <v/>
      </c>
      <c r="BH41" s="105" t="str">
        <f t="shared" si="53"/>
        <v/>
      </c>
      <c r="BI41" s="50" t="str">
        <f t="shared" ref="BI41:BI72" si="71">IF(OR(B41="",B41="NSO",BH41=0),"",BH41/1000)</f>
        <v/>
      </c>
      <c r="BJ41" s="47" t="str">
        <f t="shared" ref="BJ41:BJ72" si="72">IF($B41="NSO","NSO",IF(OR($B41="",$B41=0,M41="",T41="",AD41="",AP41="",BB41=""),"",IF(OR(CS41&gt;0,(CT41+CU41+CV41)&gt;2),"FAIL",IF(OR(CT41&gt;0,CU41&gt;1),"SUPP.",IF(AND(CU41&gt;0,CV41&gt;0),"SUPP.",IF((CU41+CV41),"Passed with Grace","PASS"))))))</f>
        <v/>
      </c>
      <c r="BK41" s="105" t="str">
        <f t="shared" si="54"/>
        <v/>
      </c>
      <c r="BL41" s="105" t="str">
        <f t="shared" si="55"/>
        <v/>
      </c>
      <c r="BM41" s="105" t="str">
        <f>IF(OR(B41="",'Marks Entry'!BY41=""),"",'Marks Entry'!BY41)</f>
        <v/>
      </c>
      <c r="BN41" s="105" t="str">
        <f>IF(OR(B41="",'Marks Entry'!BZ41=""),"",'Marks Entry'!BZ41)</f>
        <v/>
      </c>
      <c r="BO41" s="105">
        <f>IF('Marks Entry'!BC41="","",'Marks Entry'!BC41)</f>
        <v>15</v>
      </c>
      <c r="BP41" s="105">
        <f>IF('Marks Entry'!BD41="","",'Marks Entry'!BD41)</f>
        <v>15</v>
      </c>
      <c r="BQ41" s="105">
        <f>IF(AND('Marks Entry'!BE41="",'Marks Entry'!BF41=""),"",SUM('Marks Entry'!BE41:BF41))</f>
        <v>25</v>
      </c>
      <c r="BR41" s="105">
        <f>IF(AND('Marks Entry'!BG41="",'Marks Entry'!BH41=""),"",SUM('Marks Entry'!BG41:BH41))</f>
        <v>82</v>
      </c>
      <c r="BS41" s="105">
        <f t="shared" si="56"/>
        <v>137</v>
      </c>
      <c r="BT41" s="105" t="str">
        <f t="shared" si="57"/>
        <v/>
      </c>
      <c r="BU41" s="105" t="str">
        <f t="shared" si="58"/>
        <v/>
      </c>
      <c r="BV41" s="105">
        <f>IF('Marks Entry'!BJ41="","",'Marks Entry'!BJ41)</f>
        <v>15</v>
      </c>
      <c r="BW41" s="105">
        <f>IF('Marks Entry'!BK41="","",'Marks Entry'!BK41)</f>
        <v>15</v>
      </c>
      <c r="BX41" s="105">
        <f>IF(AND('Marks Entry'!BL41="",'Marks Entry'!BM41=""),"",SUM('Marks Entry'!BL41:BM41))</f>
        <v>25</v>
      </c>
      <c r="BY41" s="105">
        <f>IF(AND('Marks Entry'!BN41="",'Marks Entry'!BO41=""),"",SUM('Marks Entry'!BN41:BO41))</f>
        <v>82</v>
      </c>
      <c r="BZ41" s="105">
        <f t="shared" si="59"/>
        <v>137</v>
      </c>
      <c r="CA41" s="105" t="str">
        <f t="shared" si="60"/>
        <v/>
      </c>
      <c r="CB41" s="105" t="str">
        <f t="shared" si="61"/>
        <v/>
      </c>
      <c r="CC41" s="105" t="str">
        <f>IF('Marks Entry'!BQ41="","",'Marks Entry'!BQ41)</f>
        <v/>
      </c>
      <c r="CD41" s="105" t="str">
        <f>IF('Marks Entry'!BR41="","",'Marks Entry'!BR41)</f>
        <v/>
      </c>
      <c r="CE41" s="105" t="str">
        <f>IF(AND('Marks Entry'!BS41="",'Marks Entry'!BT41=""),"",SUM('Marks Entry'!BS41:BT41))</f>
        <v/>
      </c>
      <c r="CF41" s="105" t="str">
        <f>IF(AND('Marks Entry'!BU41="",'Marks Entry'!BV41=""),"",SUM('Marks Entry'!BU41:BV41))</f>
        <v/>
      </c>
      <c r="CG41" s="105" t="str">
        <f t="shared" si="62"/>
        <v/>
      </c>
      <c r="CH41" s="105" t="str">
        <f t="shared" si="63"/>
        <v/>
      </c>
      <c r="CI41" s="105" t="str">
        <f t="shared" si="64"/>
        <v/>
      </c>
      <c r="CJ41" s="81"/>
      <c r="CK41" s="50" t="str">
        <f t="shared" ref="CK41:CK72" si="73">IF(OR(BJ41="PASS",BJ41="Passed with Grace"),BI41,"")</f>
        <v/>
      </c>
      <c r="CM41" s="105" t="str">
        <f t="shared" ref="CM41:CM72" si="74">O41</f>
        <v/>
      </c>
      <c r="CN41" s="105" t="str">
        <f t="shared" ref="CN41:CN72" si="75">V41</f>
        <v/>
      </c>
      <c r="CO41" s="105" t="str">
        <f t="shared" ref="CO41:CO72" si="76">AH41</f>
        <v/>
      </c>
      <c r="CP41" s="105" t="str">
        <f t="shared" ref="CP41:CP72" si="77">AT41</f>
        <v/>
      </c>
      <c r="CQ41" s="105" t="str">
        <f t="shared" ref="CQ41:CQ72" si="78">BF41</f>
        <v/>
      </c>
      <c r="CS41" s="105">
        <f t="shared" ref="CS41:CS72" si="79">COUNTIF(CM41:CQ41,"F")</f>
        <v>0</v>
      </c>
      <c r="CT41" s="105">
        <f t="shared" ref="CT41:CT72" si="80">COUNTIF(CM41:CQ41,"S")</f>
        <v>0</v>
      </c>
      <c r="CU41" s="105">
        <f t="shared" ref="CU41:CU72" si="81">COUNTIF(CM41:CQ41,"G1")</f>
        <v>0</v>
      </c>
      <c r="CV41" s="105">
        <f t="shared" ref="CV41:CV72" si="82">COUNTIF(CM41:CQ41,"G2")</f>
        <v>0</v>
      </c>
      <c r="CW41" s="81"/>
      <c r="CX41" s="105" t="str">
        <f t="shared" ref="CX41:CX72" si="83">P41</f>
        <v/>
      </c>
      <c r="CY41" s="105" t="str">
        <f t="shared" ref="CY41:CY72" si="84">W41</f>
        <v/>
      </c>
      <c r="CZ41" s="105" t="str">
        <f t="shared" ref="CZ41:CZ72" si="85">AI41</f>
        <v/>
      </c>
      <c r="DA41" s="105" t="str">
        <f t="shared" ref="DA41:DA72" si="86">AU41</f>
        <v/>
      </c>
      <c r="DB41" s="105" t="str">
        <f t="shared" ref="DB41:DB72" si="87">BG41</f>
        <v/>
      </c>
      <c r="DD41" s="105" t="str">
        <f t="shared" ref="DD41:DD72" si="88">IF(AND(BJ41="FAIL",(OR(CX41="G1",CX41="G2",CX41="S"))),"F",IF(AND(BJ41="FAIL",CX41="RE"),"AB",IF(AND(BJ41="ReExam",(OR(CX41="G1",CX41="G2",CX41="S"))),"S",IF(AND(BJ41="SUPP.",(OR(CX41="G1",CX41="G2"))),"S",IF(AND(BJ41="Passed with Grace",(OR(CX41="G1",CX41="G2"))),"G",CX41)))))</f>
        <v/>
      </c>
      <c r="DE41" s="105" t="str">
        <f t="shared" ref="DE41:DE72" si="89">IF(DD41="G"," + "&amp;ROUNDUP(36%*200-N41,0),"")</f>
        <v/>
      </c>
      <c r="DF41" s="105" t="str">
        <f t="shared" ref="DF41:DF72" si="90">IF(AND(BJ41="FAIL",(OR(CY41="G1",CY41="G2",CY41="S"))),"F",IF(AND(BJ41="FAIL",CY41="RE"),"AB",IF(AND(BJ41="ReExam",(OR(CY41="G1",CY41="G2",CY41="S"))),"S",IF(AND(BJ41="SUPP.",(OR(CY41="G1",CY41="G2"))),"S",IF(AND(BJ41="Passed with Grace",(OR(CY41="G1",CY41="G2"))),"G",CY41)))))</f>
        <v/>
      </c>
      <c r="DG41" s="105" t="str">
        <f t="shared" ref="DG41:DG72" si="91">IF(DF41="G"," + "&amp;ROUNDUP(36%*200-U41,0),"")</f>
        <v/>
      </c>
      <c r="DH41" s="105" t="str">
        <f t="shared" ref="DH41:DH72" si="92">IF(AND(BJ41="FAIL",(OR(CZ41="G1",CZ41="G2",CZ41="S"))),"F",IF(AND(BJ41="FAIL",CZ41="RE"),"AB",IF(AND(BJ41="ReExam",(OR(CZ41="G1",CZ41="G2",CZ41="S"))),"S",IF(AND(BJ41="SUPP.",(OR(CZ41="G1",CZ41="G2"))),"S",IF(AND(BJ41="Passed with Grace",(OR(CZ41="G1",CZ41="G2"))),"G",CZ41)))))</f>
        <v/>
      </c>
      <c r="DI41" s="105" t="str">
        <f t="shared" ref="DI41:DI72" si="93">IF(DH41="G"," + "&amp;ROUNDUP(36%*200-AG41,0),"")</f>
        <v/>
      </c>
      <c r="DJ41" s="105" t="str">
        <f t="shared" ref="DJ41:DJ72" si="94">IF(AND(BJ41="FAIL",(OR(DA41="G1",DA41="G2",DA41="S"))),"F",IF(AND(BJ41="FAIL",DA41="RE"),"AB",IF(AND(BJ41="ReExam",(OR(DA41="G1",DA41="G2",DA41="S"))),"S",IF(AND(BJ41="SUPP.",(OR(DA41="G1",DA41="G2"))),"S",IF(AND(BJ41="Passed with Grace",(OR(DA41="G1",DA41="G2"))),"G",DA41)))))</f>
        <v/>
      </c>
      <c r="DK41" s="105" t="str">
        <f t="shared" ref="DK41:DK72" si="95">IF(DJ41="G"," + "&amp;ROUNDUP(36%*200-AS41,0),"")</f>
        <v/>
      </c>
      <c r="DL41" s="105" t="str">
        <f t="shared" ref="DL41:DL72" si="96">IF(AND(BJ41="FAIL",(OR(DB41="G1",DB41="G2",DB41="S"))),"F",IF(AND(BJ41="FAIL",DB41="RE"),"AB",IF(AND(BJ41="ReExam",(OR(DB41="G1",DB41="G2",DB41="S"))),"S",IF(AND(BJ41="SUPP.",(OR(DB41="G1",DB41="G2"))),"S",IF(AND(BJ41="Passed with Grace",(OR(DB41="G1",DB41="G2"))),"G",DB41)))))</f>
        <v/>
      </c>
      <c r="DM41" s="105" t="str">
        <f t="shared" ref="DM41:DM72" si="97">IF(DL41="G"," + "&amp;ROUNDUP(36%*200-BE41,0),"")</f>
        <v/>
      </c>
      <c r="DN41" s="105" t="str">
        <f t="shared" ref="DN41:DN72" si="98">IF(AND(BJ41="Fail",BS41="ML"),"AB",IF(AND(BJ41="Fail",BU41="RE"),"F",BU41))</f>
        <v/>
      </c>
      <c r="DO41" s="105" t="str">
        <f t="shared" ref="DO41:DO72" si="99">IF(AND(BJ41="Fail",BZ41="ML"),"AB",IF(AND(BJ41="Fail",CB41="RE"),"F",CB41))</f>
        <v/>
      </c>
      <c r="DP41" s="105" t="str">
        <f t="shared" ref="DP41:DP72" si="100">IF(AND(BJ41="Fail",CG41="ML"),"AB",IF(AND(BJ41="Fail",CI41="RE"),"F",CI41))</f>
        <v/>
      </c>
      <c r="DR41" s="118" t="str">
        <f t="shared" si="65"/>
        <v xml:space="preserve">    </v>
      </c>
      <c r="DS41" s="75"/>
      <c r="DT41" s="119" t="str">
        <f t="shared" si="66"/>
        <v xml:space="preserve">    </v>
      </c>
      <c r="DU41" s="136"/>
      <c r="DV41" s="119" t="str">
        <f t="shared" si="67"/>
        <v xml:space="preserve">    </v>
      </c>
      <c r="DW41" s="75"/>
      <c r="DX41" s="119" t="str">
        <f t="shared" si="68"/>
        <v xml:space="preserve">     </v>
      </c>
      <c r="DY41" s="75"/>
      <c r="DZ41" s="119" t="str">
        <f t="shared" si="69"/>
        <v xml:space="preserve">    </v>
      </c>
    </row>
    <row r="42" spans="1:130" ht="30" customHeight="1" x14ac:dyDescent="0.25">
      <c r="A42" s="105" t="str">
        <f>IF('Marks Entry'!A42="","",'Marks Entry'!A42)</f>
        <v/>
      </c>
      <c r="B42" s="105" t="str">
        <f>IF('Marks Entry'!B42="","",'Marks Entry'!B42)</f>
        <v/>
      </c>
      <c r="C42" s="105" t="str">
        <f>IF('Marks Entry'!C42="","",'Marks Entry'!C42)</f>
        <v/>
      </c>
      <c r="D42" s="48" t="str">
        <f>IF('Marks Entry'!D42="","",'Marks Entry'!D42)</f>
        <v/>
      </c>
      <c r="E42" s="48" t="str">
        <f>IF('Marks Entry'!E42="","",'Marks Entry'!E42)</f>
        <v/>
      </c>
      <c r="F42" s="48" t="str">
        <f>IF('Marks Entry'!F42="","",'Marks Entry'!F42)</f>
        <v/>
      </c>
      <c r="G42" s="105" t="str">
        <f>IF('Marks Entry'!G42="","",'Marks Entry'!G42)</f>
        <v/>
      </c>
      <c r="H42" s="49" t="str">
        <f>IF('Marks Entry'!H42="","",'Marks Entry'!H42)</f>
        <v/>
      </c>
      <c r="I42" s="105" t="str">
        <f>IF('Marks Entry'!I42="","",'Marks Entry'!I42)</f>
        <v/>
      </c>
      <c r="J42" s="105">
        <f>IF('Marks Entry'!K42="","",'Marks Entry'!K42)</f>
        <v>10</v>
      </c>
      <c r="K42" s="105">
        <f>IF('Marks Entry'!L42="","",'Marks Entry'!L42)</f>
        <v>10</v>
      </c>
      <c r="L42" s="105">
        <f>IF(AND('Marks Entry'!M42="",'Marks Entry'!N42=""),"",SUM('Marks Entry'!M42:N42))</f>
        <v>16</v>
      </c>
      <c r="M42" s="105">
        <f>IF(AND('Marks Entry'!O42="",'Marks Entry'!P42=""),"",SUM('Marks Entry'!O42:P42))</f>
        <v>80</v>
      </c>
      <c r="N42" s="105">
        <f t="shared" si="70"/>
        <v>116</v>
      </c>
      <c r="O42" s="105" t="str">
        <f t="shared" si="33"/>
        <v/>
      </c>
      <c r="P42" s="105" t="str">
        <f t="shared" si="34"/>
        <v/>
      </c>
      <c r="Q42" s="105">
        <f>IF('Marks Entry'!R42="","",'Marks Entry'!R42)</f>
        <v>5</v>
      </c>
      <c r="R42" s="105">
        <f>IF('Marks Entry'!S42="","",'Marks Entry'!S42)</f>
        <v>10</v>
      </c>
      <c r="S42" s="105">
        <f>IF(AND('Marks Entry'!T42="",'Marks Entry'!U42=""),"",SUM('Marks Entry'!T42:U42))</f>
        <v>16</v>
      </c>
      <c r="T42" s="105">
        <f>IF(AND('Marks Entry'!V42="",'Marks Entry'!W42=""),"",SUM('Marks Entry'!V42:W42))</f>
        <v>71</v>
      </c>
      <c r="U42" s="105">
        <f t="shared" si="35"/>
        <v>102</v>
      </c>
      <c r="V42" s="105" t="str">
        <f t="shared" si="36"/>
        <v/>
      </c>
      <c r="W42" s="105" t="str">
        <f t="shared" si="37"/>
        <v/>
      </c>
      <c r="X42" s="47" t="str">
        <f>IF(B42="","",IF('Marks Entry'!Y42="",'Marks Entry'!$Y$4,'Marks Entry'!Y42))</f>
        <v/>
      </c>
      <c r="Y42" s="105">
        <f>IF('Marks Entry'!Z42="","",'Marks Entry'!Z42)</f>
        <v>12</v>
      </c>
      <c r="Z42" s="105">
        <f>IF('Marks Entry'!AA42="","",'Marks Entry'!AA42)</f>
        <v>10</v>
      </c>
      <c r="AA42" s="105">
        <f>IF(AND('Marks Entry'!AB42="",'Marks Entry'!AC42=""),"",SUM('Marks Entry'!AB42:AC42))</f>
        <v>16</v>
      </c>
      <c r="AB42" s="105" t="str">
        <f>IF('Marks Entry'!AD42="","",'Marks Entry'!AD42)</f>
        <v/>
      </c>
      <c r="AC42" s="105">
        <f t="shared" si="38"/>
        <v>16</v>
      </c>
      <c r="AD42" s="105">
        <f>IF(AND('Marks Entry'!AE42="",'Marks Entry'!AF42=""),"",SUM('Marks Entry'!AE42:AF42))</f>
        <v>51</v>
      </c>
      <c r="AE42" s="105" t="str">
        <f>IF('Marks Entry'!AG42="","",'Marks Entry'!AG42)</f>
        <v/>
      </c>
      <c r="AF42" s="105">
        <f t="shared" si="39"/>
        <v>51</v>
      </c>
      <c r="AG42" s="105">
        <f t="shared" si="40"/>
        <v>89</v>
      </c>
      <c r="AH42" s="105" t="str">
        <f t="shared" si="41"/>
        <v/>
      </c>
      <c r="AI42" s="105" t="str">
        <f t="shared" si="42"/>
        <v/>
      </c>
      <c r="AJ42" s="47" t="str">
        <f>IF(B42="","",IF('Marks Entry'!AI42="",'Marks Entry'!$AI$4,'Marks Entry'!AI42))</f>
        <v/>
      </c>
      <c r="AK42" s="105">
        <f>IF('Marks Entry'!AJ42="","",'Marks Entry'!AJ42)</f>
        <v>6</v>
      </c>
      <c r="AL42" s="105">
        <f>IF('Marks Entry'!AK42="","",'Marks Entry'!AK42)</f>
        <v>10</v>
      </c>
      <c r="AM42" s="105">
        <f>IF(AND('Marks Entry'!AL42="",'Marks Entry'!AM42=""),"",SUM('Marks Entry'!AL42:AM42))</f>
        <v>16</v>
      </c>
      <c r="AN42" s="105" t="str">
        <f>IF('Marks Entry'!AN42="","",'Marks Entry'!AN42)</f>
        <v/>
      </c>
      <c r="AO42" s="105">
        <f t="shared" si="43"/>
        <v>16</v>
      </c>
      <c r="AP42" s="105">
        <f>IF(AND('Marks Entry'!AO42="",'Marks Entry'!AP42=""),"",SUM('Marks Entry'!AO42:AP42))</f>
        <v>48</v>
      </c>
      <c r="AQ42" s="105" t="str">
        <f>IF('Marks Entry'!AQ42="","",'Marks Entry'!AQ42)</f>
        <v/>
      </c>
      <c r="AR42" s="105">
        <f t="shared" si="44"/>
        <v>48</v>
      </c>
      <c r="AS42" s="105">
        <f t="shared" si="45"/>
        <v>80</v>
      </c>
      <c r="AT42" s="105" t="str">
        <f t="shared" si="46"/>
        <v/>
      </c>
      <c r="AU42" s="105" t="str">
        <f t="shared" si="47"/>
        <v/>
      </c>
      <c r="AV42" s="47" t="str">
        <f>IF(B42="","",IF('Marks Entry'!AS42="",'Marks Entry'!$AS$4,'Marks Entry'!AS42))</f>
        <v/>
      </c>
      <c r="AW42" s="105">
        <f>IF('Marks Entry'!AT42="","",'Marks Entry'!AT42)</f>
        <v>15</v>
      </c>
      <c r="AX42" s="105">
        <f>IF('Marks Entry'!AU42="","",'Marks Entry'!AU42)</f>
        <v>10</v>
      </c>
      <c r="AY42" s="105">
        <f>IF(AND('Marks Entry'!AV42="",'Marks Entry'!AW42=""),"",SUM('Marks Entry'!AV42:AW42))</f>
        <v>16</v>
      </c>
      <c r="AZ42" s="105">
        <f>IF('Marks Entry'!AX42="","",'Marks Entry'!AX42)</f>
        <v>10</v>
      </c>
      <c r="BA42" s="105">
        <f t="shared" si="48"/>
        <v>26</v>
      </c>
      <c r="BB42" s="105">
        <f>IF(AND('Marks Entry'!AY42="",'Marks Entry'!AZ42=""),"",SUM('Marks Entry'!AY42:AZ42))</f>
        <v>36</v>
      </c>
      <c r="BC42" s="105">
        <f>IF('Marks Entry'!BA42="","",'Marks Entry'!BA42)</f>
        <v>15</v>
      </c>
      <c r="BD42" s="105">
        <f t="shared" si="49"/>
        <v>51</v>
      </c>
      <c r="BE42" s="105">
        <f t="shared" si="50"/>
        <v>102</v>
      </c>
      <c r="BF42" s="105" t="str">
        <f t="shared" si="51"/>
        <v/>
      </c>
      <c r="BG42" s="105" t="str">
        <f t="shared" si="52"/>
        <v/>
      </c>
      <c r="BH42" s="105" t="str">
        <f t="shared" si="53"/>
        <v/>
      </c>
      <c r="BI42" s="50" t="str">
        <f t="shared" si="71"/>
        <v/>
      </c>
      <c r="BJ42" s="47" t="str">
        <f t="shared" si="72"/>
        <v/>
      </c>
      <c r="BK42" s="105" t="str">
        <f t="shared" si="54"/>
        <v/>
      </c>
      <c r="BL42" s="105" t="str">
        <f t="shared" si="55"/>
        <v/>
      </c>
      <c r="BM42" s="105" t="str">
        <f>IF(OR(B42="",'Marks Entry'!BY42=""),"",'Marks Entry'!BY42)</f>
        <v/>
      </c>
      <c r="BN42" s="105" t="str">
        <f>IF(OR(B42="",'Marks Entry'!BZ42=""),"",'Marks Entry'!BZ42)</f>
        <v/>
      </c>
      <c r="BO42" s="105">
        <f>IF('Marks Entry'!BC42="","",'Marks Entry'!BC42)</f>
        <v>15</v>
      </c>
      <c r="BP42" s="105">
        <f>IF('Marks Entry'!BD42="","",'Marks Entry'!BD42)</f>
        <v>15</v>
      </c>
      <c r="BQ42" s="105">
        <f>IF(AND('Marks Entry'!BE42="",'Marks Entry'!BF42=""),"",SUM('Marks Entry'!BE42:BF42))</f>
        <v>25</v>
      </c>
      <c r="BR42" s="105">
        <f>IF(AND('Marks Entry'!BG42="",'Marks Entry'!BH42=""),"",SUM('Marks Entry'!BG42:BH42))</f>
        <v>82</v>
      </c>
      <c r="BS42" s="105">
        <f t="shared" si="56"/>
        <v>137</v>
      </c>
      <c r="BT42" s="105" t="str">
        <f t="shared" si="57"/>
        <v/>
      </c>
      <c r="BU42" s="105" t="str">
        <f t="shared" si="58"/>
        <v/>
      </c>
      <c r="BV42" s="105">
        <f>IF('Marks Entry'!BJ42="","",'Marks Entry'!BJ42)</f>
        <v>15</v>
      </c>
      <c r="BW42" s="105">
        <f>IF('Marks Entry'!BK42="","",'Marks Entry'!BK42)</f>
        <v>15</v>
      </c>
      <c r="BX42" s="105">
        <f>IF(AND('Marks Entry'!BL42="",'Marks Entry'!BM42=""),"",SUM('Marks Entry'!BL42:BM42))</f>
        <v>25</v>
      </c>
      <c r="BY42" s="105">
        <f>IF(AND('Marks Entry'!BN42="",'Marks Entry'!BO42=""),"",SUM('Marks Entry'!BN42:BO42))</f>
        <v>82</v>
      </c>
      <c r="BZ42" s="105">
        <f t="shared" si="59"/>
        <v>137</v>
      </c>
      <c r="CA42" s="105" t="str">
        <f t="shared" si="60"/>
        <v/>
      </c>
      <c r="CB42" s="105" t="str">
        <f t="shared" si="61"/>
        <v/>
      </c>
      <c r="CC42" s="105" t="str">
        <f>IF('Marks Entry'!BQ42="","",'Marks Entry'!BQ42)</f>
        <v/>
      </c>
      <c r="CD42" s="105" t="str">
        <f>IF('Marks Entry'!BR42="","",'Marks Entry'!BR42)</f>
        <v/>
      </c>
      <c r="CE42" s="105" t="str">
        <f>IF(AND('Marks Entry'!BS42="",'Marks Entry'!BT42=""),"",SUM('Marks Entry'!BS42:BT42))</f>
        <v/>
      </c>
      <c r="CF42" s="105" t="str">
        <f>IF(AND('Marks Entry'!BU42="",'Marks Entry'!BV42=""),"",SUM('Marks Entry'!BU42:BV42))</f>
        <v/>
      </c>
      <c r="CG42" s="105" t="str">
        <f t="shared" si="62"/>
        <v/>
      </c>
      <c r="CH42" s="105" t="str">
        <f t="shared" si="63"/>
        <v/>
      </c>
      <c r="CI42" s="105" t="str">
        <f t="shared" si="64"/>
        <v/>
      </c>
      <c r="CJ42" s="81"/>
      <c r="CK42" s="50" t="str">
        <f t="shared" si="73"/>
        <v/>
      </c>
      <c r="CM42" s="105" t="str">
        <f t="shared" si="74"/>
        <v/>
      </c>
      <c r="CN42" s="105" t="str">
        <f t="shared" si="75"/>
        <v/>
      </c>
      <c r="CO42" s="105" t="str">
        <f t="shared" si="76"/>
        <v/>
      </c>
      <c r="CP42" s="105" t="str">
        <f t="shared" si="77"/>
        <v/>
      </c>
      <c r="CQ42" s="105" t="str">
        <f t="shared" si="78"/>
        <v/>
      </c>
      <c r="CS42" s="105">
        <f t="shared" si="79"/>
        <v>0</v>
      </c>
      <c r="CT42" s="105">
        <f t="shared" si="80"/>
        <v>0</v>
      </c>
      <c r="CU42" s="105">
        <f t="shared" si="81"/>
        <v>0</v>
      </c>
      <c r="CV42" s="105">
        <f t="shared" si="82"/>
        <v>0</v>
      </c>
      <c r="CW42" s="81"/>
      <c r="CX42" s="105" t="str">
        <f t="shared" si="83"/>
        <v/>
      </c>
      <c r="CY42" s="105" t="str">
        <f t="shared" si="84"/>
        <v/>
      </c>
      <c r="CZ42" s="105" t="str">
        <f t="shared" si="85"/>
        <v/>
      </c>
      <c r="DA42" s="105" t="str">
        <f t="shared" si="86"/>
        <v/>
      </c>
      <c r="DB42" s="105" t="str">
        <f t="shared" si="87"/>
        <v/>
      </c>
      <c r="DD42" s="105" t="str">
        <f t="shared" si="88"/>
        <v/>
      </c>
      <c r="DE42" s="105" t="str">
        <f t="shared" si="89"/>
        <v/>
      </c>
      <c r="DF42" s="105" t="str">
        <f t="shared" si="90"/>
        <v/>
      </c>
      <c r="DG42" s="105" t="str">
        <f t="shared" si="91"/>
        <v/>
      </c>
      <c r="DH42" s="105" t="str">
        <f t="shared" si="92"/>
        <v/>
      </c>
      <c r="DI42" s="105" t="str">
        <f t="shared" si="93"/>
        <v/>
      </c>
      <c r="DJ42" s="105" t="str">
        <f t="shared" si="94"/>
        <v/>
      </c>
      <c r="DK42" s="105" t="str">
        <f t="shared" si="95"/>
        <v/>
      </c>
      <c r="DL42" s="105" t="str">
        <f t="shared" si="96"/>
        <v/>
      </c>
      <c r="DM42" s="105" t="str">
        <f t="shared" si="97"/>
        <v/>
      </c>
      <c r="DN42" s="105" t="str">
        <f t="shared" si="98"/>
        <v/>
      </c>
      <c r="DO42" s="105" t="str">
        <f t="shared" si="99"/>
        <v/>
      </c>
      <c r="DP42" s="105" t="str">
        <f t="shared" si="100"/>
        <v/>
      </c>
      <c r="DR42" s="118" t="str">
        <f t="shared" si="65"/>
        <v xml:space="preserve">    </v>
      </c>
      <c r="DS42" s="75"/>
      <c r="DT42" s="119" t="str">
        <f t="shared" si="66"/>
        <v xml:space="preserve">    </v>
      </c>
      <c r="DU42" s="136"/>
      <c r="DV42" s="119" t="str">
        <f t="shared" si="67"/>
        <v xml:space="preserve">    </v>
      </c>
      <c r="DW42" s="75"/>
      <c r="DX42" s="119" t="str">
        <f t="shared" si="68"/>
        <v xml:space="preserve">     </v>
      </c>
      <c r="DY42" s="75"/>
      <c r="DZ42" s="119" t="str">
        <f t="shared" si="69"/>
        <v xml:space="preserve">    </v>
      </c>
    </row>
    <row r="43" spans="1:130" ht="30" customHeight="1" x14ac:dyDescent="0.25">
      <c r="A43" s="105" t="str">
        <f>IF('Marks Entry'!A43="","",'Marks Entry'!A43)</f>
        <v/>
      </c>
      <c r="B43" s="105" t="str">
        <f>IF('Marks Entry'!B43="","",'Marks Entry'!B43)</f>
        <v/>
      </c>
      <c r="C43" s="105" t="str">
        <f>IF('Marks Entry'!C43="","",'Marks Entry'!C43)</f>
        <v/>
      </c>
      <c r="D43" s="48" t="str">
        <f>IF('Marks Entry'!D43="","",'Marks Entry'!D43)</f>
        <v/>
      </c>
      <c r="E43" s="48" t="str">
        <f>IF('Marks Entry'!E43="","",'Marks Entry'!E43)</f>
        <v/>
      </c>
      <c r="F43" s="48" t="str">
        <f>IF('Marks Entry'!F43="","",'Marks Entry'!F43)</f>
        <v/>
      </c>
      <c r="G43" s="105" t="str">
        <f>IF('Marks Entry'!G43="","",'Marks Entry'!G43)</f>
        <v/>
      </c>
      <c r="H43" s="49" t="str">
        <f>IF('Marks Entry'!H43="","",'Marks Entry'!H43)</f>
        <v/>
      </c>
      <c r="I43" s="105" t="str">
        <f>IF('Marks Entry'!I43="","",'Marks Entry'!I43)</f>
        <v/>
      </c>
      <c r="J43" s="105">
        <f>IF('Marks Entry'!K43="","",'Marks Entry'!K43)</f>
        <v>15</v>
      </c>
      <c r="K43" s="105">
        <f>IF('Marks Entry'!L43="","",'Marks Entry'!L43)</f>
        <v>15</v>
      </c>
      <c r="L43" s="105">
        <f>IF(AND('Marks Entry'!M43="",'Marks Entry'!N43=""),"",SUM('Marks Entry'!M43:N43))</f>
        <v>30</v>
      </c>
      <c r="M43" s="105">
        <f>IF(AND('Marks Entry'!O43="",'Marks Entry'!P43=""),"",SUM('Marks Entry'!O43:P43))</f>
        <v>81</v>
      </c>
      <c r="N43" s="105">
        <f t="shared" si="70"/>
        <v>141</v>
      </c>
      <c r="O43" s="105" t="str">
        <f t="shared" si="33"/>
        <v/>
      </c>
      <c r="P43" s="105" t="str">
        <f t="shared" si="34"/>
        <v/>
      </c>
      <c r="Q43" s="105">
        <f>IF('Marks Entry'!R43="","",'Marks Entry'!R43)</f>
        <v>10</v>
      </c>
      <c r="R43" s="105">
        <f>IF('Marks Entry'!S43="","",'Marks Entry'!S43)</f>
        <v>10</v>
      </c>
      <c r="S43" s="105">
        <f>IF(AND('Marks Entry'!T43="",'Marks Entry'!U43=""),"",SUM('Marks Entry'!T43:U43))</f>
        <v>20</v>
      </c>
      <c r="T43" s="105">
        <f>IF(AND('Marks Entry'!V43="",'Marks Entry'!W43=""),"",SUM('Marks Entry'!V43:W43))</f>
        <v>72</v>
      </c>
      <c r="U43" s="105">
        <f t="shared" si="35"/>
        <v>112</v>
      </c>
      <c r="V43" s="105" t="str">
        <f t="shared" si="36"/>
        <v/>
      </c>
      <c r="W43" s="105" t="str">
        <f t="shared" si="37"/>
        <v/>
      </c>
      <c r="X43" s="47" t="str">
        <f>IF(B43="","",IF('Marks Entry'!Y43="",'Marks Entry'!$Y$4,'Marks Entry'!Y43))</f>
        <v/>
      </c>
      <c r="Y43" s="105">
        <f>IF('Marks Entry'!Z43="","",'Marks Entry'!Z43)</f>
        <v>10</v>
      </c>
      <c r="Z43" s="105">
        <f>IF('Marks Entry'!AA43="","",'Marks Entry'!AA43)</f>
        <v>10</v>
      </c>
      <c r="AA43" s="105">
        <f>IF(AND('Marks Entry'!AB43="",'Marks Entry'!AC43=""),"",SUM('Marks Entry'!AB43:AC43))</f>
        <v>40</v>
      </c>
      <c r="AB43" s="105" t="str">
        <f>IF('Marks Entry'!AD43="","",'Marks Entry'!AD43)</f>
        <v/>
      </c>
      <c r="AC43" s="105">
        <f t="shared" si="38"/>
        <v>40</v>
      </c>
      <c r="AD43" s="105">
        <f>IF(AND('Marks Entry'!AE43="",'Marks Entry'!AF43=""),"",SUM('Marks Entry'!AE43:AF43))</f>
        <v>41</v>
      </c>
      <c r="AE43" s="105" t="str">
        <f>IF('Marks Entry'!AG43="","",'Marks Entry'!AG43)</f>
        <v/>
      </c>
      <c r="AF43" s="105">
        <f t="shared" si="39"/>
        <v>41</v>
      </c>
      <c r="AG43" s="105">
        <f t="shared" si="40"/>
        <v>101</v>
      </c>
      <c r="AH43" s="105" t="str">
        <f t="shared" si="41"/>
        <v/>
      </c>
      <c r="AI43" s="105" t="str">
        <f t="shared" si="42"/>
        <v/>
      </c>
      <c r="AJ43" s="47" t="str">
        <f>IF(B43="","",IF('Marks Entry'!AI43="",'Marks Entry'!$AI$4,'Marks Entry'!AI43))</f>
        <v/>
      </c>
      <c r="AK43" s="105">
        <f>IF('Marks Entry'!AJ43="","",'Marks Entry'!AJ43)</f>
        <v>10</v>
      </c>
      <c r="AL43" s="105">
        <f>IF('Marks Entry'!AK43="","",'Marks Entry'!AK43)</f>
        <v>10</v>
      </c>
      <c r="AM43" s="105">
        <f>IF(AND('Marks Entry'!AL43="",'Marks Entry'!AM43=""),"",SUM('Marks Entry'!AL43:AM43))</f>
        <v>40</v>
      </c>
      <c r="AN43" s="105" t="str">
        <f>IF('Marks Entry'!AN43="","",'Marks Entry'!AN43)</f>
        <v/>
      </c>
      <c r="AO43" s="105">
        <f t="shared" si="43"/>
        <v>40</v>
      </c>
      <c r="AP43" s="105">
        <f>IF(AND('Marks Entry'!AO43="",'Marks Entry'!AP43=""),"",SUM('Marks Entry'!AO43:AP43))</f>
        <v>60</v>
      </c>
      <c r="AQ43" s="105" t="str">
        <f>IF('Marks Entry'!AQ43="","",'Marks Entry'!AQ43)</f>
        <v/>
      </c>
      <c r="AR43" s="105">
        <f t="shared" si="44"/>
        <v>60</v>
      </c>
      <c r="AS43" s="105">
        <f t="shared" si="45"/>
        <v>120</v>
      </c>
      <c r="AT43" s="105" t="str">
        <f t="shared" si="46"/>
        <v/>
      </c>
      <c r="AU43" s="105" t="str">
        <f t="shared" si="47"/>
        <v/>
      </c>
      <c r="AV43" s="47" t="str">
        <f>IF(B43="","",IF('Marks Entry'!AS43="",'Marks Entry'!$AS$4,'Marks Entry'!AS43))</f>
        <v/>
      </c>
      <c r="AW43" s="105">
        <f>IF('Marks Entry'!AT43="","",'Marks Entry'!AT43)</f>
        <v>10</v>
      </c>
      <c r="AX43" s="105">
        <f>IF('Marks Entry'!AU43="","",'Marks Entry'!AU43)</f>
        <v>10</v>
      </c>
      <c r="AY43" s="105">
        <f>IF(AND('Marks Entry'!AV43="",'Marks Entry'!AW43=""),"",SUM('Marks Entry'!AV43:AW43))</f>
        <v>22</v>
      </c>
      <c r="AZ43" s="105">
        <f>IF('Marks Entry'!AX43="","",'Marks Entry'!AX43)</f>
        <v>12</v>
      </c>
      <c r="BA43" s="105">
        <f t="shared" si="48"/>
        <v>34</v>
      </c>
      <c r="BB43" s="105">
        <f>IF(AND('Marks Entry'!AY43="",'Marks Entry'!AZ43=""),"",SUM('Marks Entry'!AY43:AZ43))</f>
        <v>39</v>
      </c>
      <c r="BC43" s="105">
        <f>IF('Marks Entry'!BA43="","",'Marks Entry'!BA43)</f>
        <v>16</v>
      </c>
      <c r="BD43" s="105">
        <f t="shared" si="49"/>
        <v>55</v>
      </c>
      <c r="BE43" s="105">
        <f t="shared" si="50"/>
        <v>109</v>
      </c>
      <c r="BF43" s="105" t="str">
        <f t="shared" si="51"/>
        <v/>
      </c>
      <c r="BG43" s="105" t="str">
        <f t="shared" si="52"/>
        <v/>
      </c>
      <c r="BH43" s="105" t="str">
        <f t="shared" si="53"/>
        <v/>
      </c>
      <c r="BI43" s="50" t="str">
        <f t="shared" si="71"/>
        <v/>
      </c>
      <c r="BJ43" s="47" t="str">
        <f t="shared" si="72"/>
        <v/>
      </c>
      <c r="BK43" s="105" t="str">
        <f t="shared" si="54"/>
        <v/>
      </c>
      <c r="BL43" s="105" t="str">
        <f t="shared" si="55"/>
        <v/>
      </c>
      <c r="BM43" s="105" t="str">
        <f>IF(OR(B43="",'Marks Entry'!BY43=""),"",'Marks Entry'!BY43)</f>
        <v/>
      </c>
      <c r="BN43" s="105" t="str">
        <f>IF(OR(B43="",'Marks Entry'!BZ43=""),"",'Marks Entry'!BZ43)</f>
        <v/>
      </c>
      <c r="BO43" s="105">
        <f>IF('Marks Entry'!BC43="","",'Marks Entry'!BC43)</f>
        <v>15</v>
      </c>
      <c r="BP43" s="105">
        <f>IF('Marks Entry'!BD43="","",'Marks Entry'!BD43)</f>
        <v>15</v>
      </c>
      <c r="BQ43" s="105">
        <f>IF(AND('Marks Entry'!BE43="",'Marks Entry'!BF43=""),"",SUM('Marks Entry'!BE43:BF43))</f>
        <v>25</v>
      </c>
      <c r="BR43" s="105">
        <f>IF(AND('Marks Entry'!BG43="",'Marks Entry'!BH43=""),"",SUM('Marks Entry'!BG43:BH43))</f>
        <v>82</v>
      </c>
      <c r="BS43" s="105">
        <f t="shared" si="56"/>
        <v>137</v>
      </c>
      <c r="BT43" s="105" t="str">
        <f t="shared" si="57"/>
        <v/>
      </c>
      <c r="BU43" s="105" t="str">
        <f t="shared" si="58"/>
        <v/>
      </c>
      <c r="BV43" s="105">
        <f>IF('Marks Entry'!BJ43="","",'Marks Entry'!BJ43)</f>
        <v>15</v>
      </c>
      <c r="BW43" s="105">
        <f>IF('Marks Entry'!BK43="","",'Marks Entry'!BK43)</f>
        <v>15</v>
      </c>
      <c r="BX43" s="105">
        <f>IF(AND('Marks Entry'!BL43="",'Marks Entry'!BM43=""),"",SUM('Marks Entry'!BL43:BM43))</f>
        <v>25</v>
      </c>
      <c r="BY43" s="105">
        <f>IF(AND('Marks Entry'!BN43="",'Marks Entry'!BO43=""),"",SUM('Marks Entry'!BN43:BO43))</f>
        <v>82</v>
      </c>
      <c r="BZ43" s="105">
        <f t="shared" si="59"/>
        <v>137</v>
      </c>
      <c r="CA43" s="105" t="str">
        <f t="shared" si="60"/>
        <v/>
      </c>
      <c r="CB43" s="105" t="str">
        <f t="shared" si="61"/>
        <v/>
      </c>
      <c r="CC43" s="105" t="str">
        <f>IF('Marks Entry'!BQ43="","",'Marks Entry'!BQ43)</f>
        <v/>
      </c>
      <c r="CD43" s="105" t="str">
        <f>IF('Marks Entry'!BR43="","",'Marks Entry'!BR43)</f>
        <v/>
      </c>
      <c r="CE43" s="105" t="str">
        <f>IF(AND('Marks Entry'!BS43="",'Marks Entry'!BT43=""),"",SUM('Marks Entry'!BS43:BT43))</f>
        <v/>
      </c>
      <c r="CF43" s="105" t="str">
        <f>IF(AND('Marks Entry'!BU43="",'Marks Entry'!BV43=""),"",SUM('Marks Entry'!BU43:BV43))</f>
        <v/>
      </c>
      <c r="CG43" s="105" t="str">
        <f t="shared" si="62"/>
        <v/>
      </c>
      <c r="CH43" s="105" t="str">
        <f t="shared" si="63"/>
        <v/>
      </c>
      <c r="CI43" s="105" t="str">
        <f t="shared" si="64"/>
        <v/>
      </c>
      <c r="CJ43" s="81"/>
      <c r="CK43" s="50" t="str">
        <f t="shared" si="73"/>
        <v/>
      </c>
      <c r="CM43" s="105" t="str">
        <f t="shared" si="74"/>
        <v/>
      </c>
      <c r="CN43" s="105" t="str">
        <f t="shared" si="75"/>
        <v/>
      </c>
      <c r="CO43" s="105" t="str">
        <f t="shared" si="76"/>
        <v/>
      </c>
      <c r="CP43" s="105" t="str">
        <f t="shared" si="77"/>
        <v/>
      </c>
      <c r="CQ43" s="105" t="str">
        <f t="shared" si="78"/>
        <v/>
      </c>
      <c r="CS43" s="105">
        <f t="shared" si="79"/>
        <v>0</v>
      </c>
      <c r="CT43" s="105">
        <f t="shared" si="80"/>
        <v>0</v>
      </c>
      <c r="CU43" s="105">
        <f t="shared" si="81"/>
        <v>0</v>
      </c>
      <c r="CV43" s="105">
        <f t="shared" si="82"/>
        <v>0</v>
      </c>
      <c r="CW43" s="81"/>
      <c r="CX43" s="105" t="str">
        <f t="shared" si="83"/>
        <v/>
      </c>
      <c r="CY43" s="105" t="str">
        <f t="shared" si="84"/>
        <v/>
      </c>
      <c r="CZ43" s="105" t="str">
        <f t="shared" si="85"/>
        <v/>
      </c>
      <c r="DA43" s="105" t="str">
        <f t="shared" si="86"/>
        <v/>
      </c>
      <c r="DB43" s="105" t="str">
        <f t="shared" si="87"/>
        <v/>
      </c>
      <c r="DD43" s="105" t="str">
        <f t="shared" si="88"/>
        <v/>
      </c>
      <c r="DE43" s="105" t="str">
        <f t="shared" si="89"/>
        <v/>
      </c>
      <c r="DF43" s="105" t="str">
        <f t="shared" si="90"/>
        <v/>
      </c>
      <c r="DG43" s="105" t="str">
        <f t="shared" si="91"/>
        <v/>
      </c>
      <c r="DH43" s="105" t="str">
        <f t="shared" si="92"/>
        <v/>
      </c>
      <c r="DI43" s="105" t="str">
        <f t="shared" si="93"/>
        <v/>
      </c>
      <c r="DJ43" s="105" t="str">
        <f t="shared" si="94"/>
        <v/>
      </c>
      <c r="DK43" s="105" t="str">
        <f t="shared" si="95"/>
        <v/>
      </c>
      <c r="DL43" s="105" t="str">
        <f t="shared" si="96"/>
        <v/>
      </c>
      <c r="DM43" s="105" t="str">
        <f t="shared" si="97"/>
        <v/>
      </c>
      <c r="DN43" s="105" t="str">
        <f t="shared" si="98"/>
        <v/>
      </c>
      <c r="DO43" s="105" t="str">
        <f t="shared" si="99"/>
        <v/>
      </c>
      <c r="DP43" s="105" t="str">
        <f t="shared" si="100"/>
        <v/>
      </c>
      <c r="DR43" s="118" t="str">
        <f t="shared" si="65"/>
        <v xml:space="preserve">    </v>
      </c>
      <c r="DS43" s="75"/>
      <c r="DT43" s="119" t="str">
        <f t="shared" si="66"/>
        <v xml:space="preserve">    </v>
      </c>
      <c r="DU43" s="136"/>
      <c r="DV43" s="119" t="str">
        <f t="shared" si="67"/>
        <v xml:space="preserve">    </v>
      </c>
      <c r="DW43" s="75"/>
      <c r="DX43" s="119" t="str">
        <f t="shared" si="68"/>
        <v xml:space="preserve">     </v>
      </c>
      <c r="DY43" s="75"/>
      <c r="DZ43" s="119" t="str">
        <f t="shared" si="69"/>
        <v xml:space="preserve">    </v>
      </c>
    </row>
    <row r="44" spans="1:130" ht="30" customHeight="1" x14ac:dyDescent="0.25">
      <c r="A44" s="105" t="str">
        <f>IF('Marks Entry'!A44="","",'Marks Entry'!A44)</f>
        <v/>
      </c>
      <c r="B44" s="105" t="str">
        <f>IF('Marks Entry'!B44="","",'Marks Entry'!B44)</f>
        <v/>
      </c>
      <c r="C44" s="105" t="str">
        <f>IF('Marks Entry'!C44="","",'Marks Entry'!C44)</f>
        <v/>
      </c>
      <c r="D44" s="48" t="str">
        <f>IF('Marks Entry'!D44="","",'Marks Entry'!D44)</f>
        <v/>
      </c>
      <c r="E44" s="48" t="str">
        <f>IF('Marks Entry'!E44="","",'Marks Entry'!E44)</f>
        <v/>
      </c>
      <c r="F44" s="48" t="str">
        <f>IF('Marks Entry'!F44="","",'Marks Entry'!F44)</f>
        <v/>
      </c>
      <c r="G44" s="105" t="str">
        <f>IF('Marks Entry'!G44="","",'Marks Entry'!G44)</f>
        <v/>
      </c>
      <c r="H44" s="49" t="str">
        <f>IF('Marks Entry'!H44="","",'Marks Entry'!H44)</f>
        <v/>
      </c>
      <c r="I44" s="105" t="str">
        <f>IF('Marks Entry'!I44="","",'Marks Entry'!I44)</f>
        <v/>
      </c>
      <c r="J44" s="105">
        <f>IF('Marks Entry'!K44="","",'Marks Entry'!K44)</f>
        <v>5</v>
      </c>
      <c r="K44" s="105">
        <f>IF('Marks Entry'!L44="","",'Marks Entry'!L44)</f>
        <v>5</v>
      </c>
      <c r="L44" s="105">
        <f>IF(AND('Marks Entry'!M44="",'Marks Entry'!N44=""),"",SUM('Marks Entry'!M44:N44))</f>
        <v>10</v>
      </c>
      <c r="M44" s="105">
        <f>IF(AND('Marks Entry'!O44="",'Marks Entry'!P44=""),"",SUM('Marks Entry'!O44:P44))</f>
        <v>82</v>
      </c>
      <c r="N44" s="105">
        <f t="shared" si="70"/>
        <v>102</v>
      </c>
      <c r="O44" s="105" t="str">
        <f t="shared" si="33"/>
        <v/>
      </c>
      <c r="P44" s="105" t="str">
        <f t="shared" si="34"/>
        <v/>
      </c>
      <c r="Q44" s="105">
        <f>IF('Marks Entry'!R44="","",'Marks Entry'!R44)</f>
        <v>5</v>
      </c>
      <c r="R44" s="105">
        <f>IF('Marks Entry'!S44="","",'Marks Entry'!S44)</f>
        <v>5</v>
      </c>
      <c r="S44" s="105">
        <f>IF(AND('Marks Entry'!T44="",'Marks Entry'!U44=""),"",SUM('Marks Entry'!T44:U44))</f>
        <v>10</v>
      </c>
      <c r="T44" s="105">
        <f>IF(AND('Marks Entry'!V44="",'Marks Entry'!W44=""),"",SUM('Marks Entry'!V44:W44))</f>
        <v>73</v>
      </c>
      <c r="U44" s="105">
        <f t="shared" si="35"/>
        <v>93</v>
      </c>
      <c r="V44" s="105" t="str">
        <f t="shared" si="36"/>
        <v/>
      </c>
      <c r="W44" s="105" t="str">
        <f t="shared" si="37"/>
        <v/>
      </c>
      <c r="X44" s="47" t="str">
        <f>IF(B44="","",IF('Marks Entry'!Y44="",'Marks Entry'!$Y$4,'Marks Entry'!Y44))</f>
        <v/>
      </c>
      <c r="Y44" s="105">
        <f>IF('Marks Entry'!Z44="","",'Marks Entry'!Z44)</f>
        <v>5</v>
      </c>
      <c r="Z44" s="105">
        <f>IF('Marks Entry'!AA44="","",'Marks Entry'!AA44)</f>
        <v>5</v>
      </c>
      <c r="AA44" s="105">
        <f>IF(AND('Marks Entry'!AB44="",'Marks Entry'!AC44=""),"",SUM('Marks Entry'!AB44:AC44))</f>
        <v>10</v>
      </c>
      <c r="AB44" s="105" t="str">
        <f>IF('Marks Entry'!AD44="","",'Marks Entry'!AD44)</f>
        <v/>
      </c>
      <c r="AC44" s="105">
        <f t="shared" si="38"/>
        <v>10</v>
      </c>
      <c r="AD44" s="105">
        <f>IF(AND('Marks Entry'!AE44="",'Marks Entry'!AF44=""),"",SUM('Marks Entry'!AE44:AF44))</f>
        <v>16</v>
      </c>
      <c r="AE44" s="105" t="str">
        <f>IF('Marks Entry'!AG44="","",'Marks Entry'!AG44)</f>
        <v/>
      </c>
      <c r="AF44" s="105">
        <f t="shared" si="39"/>
        <v>16</v>
      </c>
      <c r="AG44" s="105">
        <f t="shared" si="40"/>
        <v>36</v>
      </c>
      <c r="AH44" s="105" t="str">
        <f t="shared" si="41"/>
        <v/>
      </c>
      <c r="AI44" s="105" t="str">
        <f t="shared" si="42"/>
        <v/>
      </c>
      <c r="AJ44" s="47" t="str">
        <f>IF(B44="","",IF('Marks Entry'!AI44="",'Marks Entry'!$AI$4,'Marks Entry'!AI44))</f>
        <v/>
      </c>
      <c r="AK44" s="105">
        <f>IF('Marks Entry'!AJ44="","",'Marks Entry'!AJ44)</f>
        <v>5</v>
      </c>
      <c r="AL44" s="105">
        <f>IF('Marks Entry'!AK44="","",'Marks Entry'!AK44)</f>
        <v>5</v>
      </c>
      <c r="AM44" s="105">
        <f>IF(AND('Marks Entry'!AL44="",'Marks Entry'!AM44=""),"",SUM('Marks Entry'!AL44:AM44))</f>
        <v>10</v>
      </c>
      <c r="AN44" s="105" t="str">
        <f>IF('Marks Entry'!AN44="","",'Marks Entry'!AN44)</f>
        <v/>
      </c>
      <c r="AO44" s="105">
        <f t="shared" si="43"/>
        <v>10</v>
      </c>
      <c r="AP44" s="105">
        <f>IF(AND('Marks Entry'!AO44="",'Marks Entry'!AP44=""),"",SUM('Marks Entry'!AO44:AP44))</f>
        <v>17</v>
      </c>
      <c r="AQ44" s="105" t="str">
        <f>IF('Marks Entry'!AQ44="","",'Marks Entry'!AQ44)</f>
        <v/>
      </c>
      <c r="AR44" s="105">
        <f t="shared" si="44"/>
        <v>17</v>
      </c>
      <c r="AS44" s="105">
        <f t="shared" si="45"/>
        <v>37</v>
      </c>
      <c r="AT44" s="105" t="str">
        <f t="shared" si="46"/>
        <v/>
      </c>
      <c r="AU44" s="105" t="str">
        <f t="shared" si="47"/>
        <v/>
      </c>
      <c r="AV44" s="47" t="str">
        <f>IF(B44="","",IF('Marks Entry'!AS44="",'Marks Entry'!$AS$4,'Marks Entry'!AS44))</f>
        <v/>
      </c>
      <c r="AW44" s="105">
        <f>IF('Marks Entry'!AT44="","",'Marks Entry'!AT44)</f>
        <v>5</v>
      </c>
      <c r="AX44" s="105">
        <f>IF('Marks Entry'!AU44="","",'Marks Entry'!AU44)</f>
        <v>5</v>
      </c>
      <c r="AY44" s="105">
        <f>IF(AND('Marks Entry'!AV44="",'Marks Entry'!AW44=""),"",SUM('Marks Entry'!AV44:AW44))</f>
        <v>20</v>
      </c>
      <c r="AZ44" s="105">
        <f>IF('Marks Entry'!AX44="","",'Marks Entry'!AX44)</f>
        <v>10</v>
      </c>
      <c r="BA44" s="105">
        <f t="shared" si="48"/>
        <v>30</v>
      </c>
      <c r="BB44" s="105">
        <f>IF(AND('Marks Entry'!AY44="",'Marks Entry'!AZ44=""),"",SUM('Marks Entry'!AY44:AZ44))</f>
        <v>24</v>
      </c>
      <c r="BC44" s="105">
        <f>IF('Marks Entry'!BA44="","",'Marks Entry'!BA44)</f>
        <v>14</v>
      </c>
      <c r="BD44" s="105">
        <f t="shared" si="49"/>
        <v>38</v>
      </c>
      <c r="BE44" s="105">
        <f t="shared" si="50"/>
        <v>78</v>
      </c>
      <c r="BF44" s="105" t="str">
        <f t="shared" si="51"/>
        <v/>
      </c>
      <c r="BG44" s="105" t="str">
        <f t="shared" si="52"/>
        <v/>
      </c>
      <c r="BH44" s="105" t="str">
        <f t="shared" si="53"/>
        <v/>
      </c>
      <c r="BI44" s="50" t="str">
        <f t="shared" si="71"/>
        <v/>
      </c>
      <c r="BJ44" s="47" t="str">
        <f t="shared" si="72"/>
        <v/>
      </c>
      <c r="BK44" s="105" t="str">
        <f t="shared" si="54"/>
        <v/>
      </c>
      <c r="BL44" s="105" t="str">
        <f t="shared" si="55"/>
        <v/>
      </c>
      <c r="BM44" s="105" t="str">
        <f>IF(OR(B44="",'Marks Entry'!BY44=""),"",'Marks Entry'!BY44)</f>
        <v/>
      </c>
      <c r="BN44" s="105" t="str">
        <f>IF(OR(B44="",'Marks Entry'!BZ44=""),"",'Marks Entry'!BZ44)</f>
        <v/>
      </c>
      <c r="BO44" s="105">
        <f>IF('Marks Entry'!BC44="","",'Marks Entry'!BC44)</f>
        <v>15</v>
      </c>
      <c r="BP44" s="105">
        <f>IF('Marks Entry'!BD44="","",'Marks Entry'!BD44)</f>
        <v>15</v>
      </c>
      <c r="BQ44" s="105">
        <f>IF(AND('Marks Entry'!BE44="",'Marks Entry'!BF44=""),"",SUM('Marks Entry'!BE44:BF44))</f>
        <v>25</v>
      </c>
      <c r="BR44" s="105">
        <f>IF(AND('Marks Entry'!BG44="",'Marks Entry'!BH44=""),"",SUM('Marks Entry'!BG44:BH44))</f>
        <v>82</v>
      </c>
      <c r="BS44" s="105">
        <f t="shared" si="56"/>
        <v>137</v>
      </c>
      <c r="BT44" s="105" t="str">
        <f t="shared" si="57"/>
        <v/>
      </c>
      <c r="BU44" s="105" t="str">
        <f t="shared" si="58"/>
        <v/>
      </c>
      <c r="BV44" s="105">
        <f>IF('Marks Entry'!BJ44="","",'Marks Entry'!BJ44)</f>
        <v>15</v>
      </c>
      <c r="BW44" s="105">
        <f>IF('Marks Entry'!BK44="","",'Marks Entry'!BK44)</f>
        <v>15</v>
      </c>
      <c r="BX44" s="105">
        <f>IF(AND('Marks Entry'!BL44="",'Marks Entry'!BM44=""),"",SUM('Marks Entry'!BL44:BM44))</f>
        <v>25</v>
      </c>
      <c r="BY44" s="105">
        <f>IF(AND('Marks Entry'!BN44="",'Marks Entry'!BO44=""),"",SUM('Marks Entry'!BN44:BO44))</f>
        <v>82</v>
      </c>
      <c r="BZ44" s="105">
        <f t="shared" si="59"/>
        <v>137</v>
      </c>
      <c r="CA44" s="105" t="str">
        <f t="shared" si="60"/>
        <v/>
      </c>
      <c r="CB44" s="105" t="str">
        <f t="shared" si="61"/>
        <v/>
      </c>
      <c r="CC44" s="105" t="str">
        <f>IF('Marks Entry'!BQ44="","",'Marks Entry'!BQ44)</f>
        <v/>
      </c>
      <c r="CD44" s="105" t="str">
        <f>IF('Marks Entry'!BR44="","",'Marks Entry'!BR44)</f>
        <v/>
      </c>
      <c r="CE44" s="105" t="str">
        <f>IF(AND('Marks Entry'!BS44="",'Marks Entry'!BT44=""),"",SUM('Marks Entry'!BS44:BT44))</f>
        <v/>
      </c>
      <c r="CF44" s="105" t="str">
        <f>IF(AND('Marks Entry'!BU44="",'Marks Entry'!BV44=""),"",SUM('Marks Entry'!BU44:BV44))</f>
        <v/>
      </c>
      <c r="CG44" s="105" t="str">
        <f t="shared" si="62"/>
        <v/>
      </c>
      <c r="CH44" s="105" t="str">
        <f t="shared" si="63"/>
        <v/>
      </c>
      <c r="CI44" s="105" t="str">
        <f t="shared" si="64"/>
        <v/>
      </c>
      <c r="CJ44" s="81"/>
      <c r="CK44" s="50" t="str">
        <f t="shared" si="73"/>
        <v/>
      </c>
      <c r="CM44" s="105" t="str">
        <f t="shared" si="74"/>
        <v/>
      </c>
      <c r="CN44" s="105" t="str">
        <f t="shared" si="75"/>
        <v/>
      </c>
      <c r="CO44" s="105" t="str">
        <f t="shared" si="76"/>
        <v/>
      </c>
      <c r="CP44" s="105" t="str">
        <f t="shared" si="77"/>
        <v/>
      </c>
      <c r="CQ44" s="105" t="str">
        <f t="shared" si="78"/>
        <v/>
      </c>
      <c r="CS44" s="105">
        <f t="shared" si="79"/>
        <v>0</v>
      </c>
      <c r="CT44" s="105">
        <f t="shared" si="80"/>
        <v>0</v>
      </c>
      <c r="CU44" s="105">
        <f t="shared" si="81"/>
        <v>0</v>
      </c>
      <c r="CV44" s="105">
        <f t="shared" si="82"/>
        <v>0</v>
      </c>
      <c r="CW44" s="81"/>
      <c r="CX44" s="105" t="str">
        <f t="shared" si="83"/>
        <v/>
      </c>
      <c r="CY44" s="105" t="str">
        <f t="shared" si="84"/>
        <v/>
      </c>
      <c r="CZ44" s="105" t="str">
        <f t="shared" si="85"/>
        <v/>
      </c>
      <c r="DA44" s="105" t="str">
        <f t="shared" si="86"/>
        <v/>
      </c>
      <c r="DB44" s="105" t="str">
        <f t="shared" si="87"/>
        <v/>
      </c>
      <c r="DD44" s="105" t="str">
        <f t="shared" si="88"/>
        <v/>
      </c>
      <c r="DE44" s="105" t="str">
        <f t="shared" si="89"/>
        <v/>
      </c>
      <c r="DF44" s="105" t="str">
        <f t="shared" si="90"/>
        <v/>
      </c>
      <c r="DG44" s="105" t="str">
        <f t="shared" si="91"/>
        <v/>
      </c>
      <c r="DH44" s="105" t="str">
        <f t="shared" si="92"/>
        <v/>
      </c>
      <c r="DI44" s="105" t="str">
        <f t="shared" si="93"/>
        <v/>
      </c>
      <c r="DJ44" s="105" t="str">
        <f t="shared" si="94"/>
        <v/>
      </c>
      <c r="DK44" s="105" t="str">
        <f t="shared" si="95"/>
        <v/>
      </c>
      <c r="DL44" s="105" t="str">
        <f t="shared" si="96"/>
        <v/>
      </c>
      <c r="DM44" s="105" t="str">
        <f t="shared" si="97"/>
        <v/>
      </c>
      <c r="DN44" s="105" t="str">
        <f t="shared" si="98"/>
        <v/>
      </c>
      <c r="DO44" s="105" t="str">
        <f t="shared" si="99"/>
        <v/>
      </c>
      <c r="DP44" s="105" t="str">
        <f t="shared" si="100"/>
        <v/>
      </c>
      <c r="DR44" s="118" t="str">
        <f t="shared" si="65"/>
        <v xml:space="preserve">    </v>
      </c>
      <c r="DS44" s="75"/>
      <c r="DT44" s="119" t="str">
        <f t="shared" si="66"/>
        <v xml:space="preserve">    </v>
      </c>
      <c r="DU44" s="136"/>
      <c r="DV44" s="119" t="str">
        <f t="shared" si="67"/>
        <v xml:space="preserve">    </v>
      </c>
      <c r="DW44" s="75"/>
      <c r="DX44" s="119" t="str">
        <f t="shared" si="68"/>
        <v xml:space="preserve">     </v>
      </c>
      <c r="DY44" s="75"/>
      <c r="DZ44" s="119" t="str">
        <f t="shared" si="69"/>
        <v xml:space="preserve">    </v>
      </c>
    </row>
    <row r="45" spans="1:130" ht="30" customHeight="1" x14ac:dyDescent="0.25">
      <c r="A45" s="105" t="str">
        <f>IF('Marks Entry'!A45="","",'Marks Entry'!A45)</f>
        <v/>
      </c>
      <c r="B45" s="105" t="str">
        <f>IF('Marks Entry'!B45="","",'Marks Entry'!B45)</f>
        <v/>
      </c>
      <c r="C45" s="105" t="str">
        <f>IF('Marks Entry'!C45="","",'Marks Entry'!C45)</f>
        <v/>
      </c>
      <c r="D45" s="48" t="str">
        <f>IF('Marks Entry'!D45="","",'Marks Entry'!D45)</f>
        <v/>
      </c>
      <c r="E45" s="48" t="str">
        <f>IF('Marks Entry'!E45="","",'Marks Entry'!E45)</f>
        <v/>
      </c>
      <c r="F45" s="48" t="str">
        <f>IF('Marks Entry'!F45="","",'Marks Entry'!F45)</f>
        <v/>
      </c>
      <c r="G45" s="105" t="str">
        <f>IF('Marks Entry'!G45="","",'Marks Entry'!G45)</f>
        <v/>
      </c>
      <c r="H45" s="49" t="str">
        <f>IF('Marks Entry'!H45="","",'Marks Entry'!H45)</f>
        <v/>
      </c>
      <c r="I45" s="105" t="str">
        <f>IF('Marks Entry'!I45="","",'Marks Entry'!I45)</f>
        <v/>
      </c>
      <c r="J45" s="105">
        <f>IF('Marks Entry'!K45="","",'Marks Entry'!K45)</f>
        <v>10</v>
      </c>
      <c r="K45" s="105">
        <f>IF('Marks Entry'!L45="","",'Marks Entry'!L45)</f>
        <v>9</v>
      </c>
      <c r="L45" s="105">
        <f>IF(AND('Marks Entry'!M45="",'Marks Entry'!N45=""),"",SUM('Marks Entry'!M45:N45))</f>
        <v>10</v>
      </c>
      <c r="M45" s="105">
        <f>IF(AND('Marks Entry'!O45="",'Marks Entry'!P45=""),"",SUM('Marks Entry'!O45:P45))</f>
        <v>83</v>
      </c>
      <c r="N45" s="105">
        <f t="shared" si="70"/>
        <v>112</v>
      </c>
      <c r="O45" s="105" t="str">
        <f t="shared" si="33"/>
        <v/>
      </c>
      <c r="P45" s="105" t="str">
        <f t="shared" si="34"/>
        <v/>
      </c>
      <c r="Q45" s="105">
        <f>IF('Marks Entry'!R45="","",'Marks Entry'!R45)</f>
        <v>10</v>
      </c>
      <c r="R45" s="105">
        <f>IF('Marks Entry'!S45="","",'Marks Entry'!S45)</f>
        <v>10</v>
      </c>
      <c r="S45" s="105">
        <f>IF(AND('Marks Entry'!T45="",'Marks Entry'!U45=""),"",SUM('Marks Entry'!T45:U45))</f>
        <v>40</v>
      </c>
      <c r="T45" s="105">
        <f>IF(AND('Marks Entry'!V45="",'Marks Entry'!W45=""),"",SUM('Marks Entry'!V45:W45))</f>
        <v>74</v>
      </c>
      <c r="U45" s="105">
        <f t="shared" si="35"/>
        <v>134</v>
      </c>
      <c r="V45" s="105" t="str">
        <f t="shared" si="36"/>
        <v/>
      </c>
      <c r="W45" s="105" t="str">
        <f t="shared" si="37"/>
        <v/>
      </c>
      <c r="X45" s="47" t="str">
        <f>IF(B45="","",IF('Marks Entry'!Y45="",'Marks Entry'!$Y$4,'Marks Entry'!Y45))</f>
        <v/>
      </c>
      <c r="Y45" s="105">
        <f>IF('Marks Entry'!Z45="","",'Marks Entry'!Z45)</f>
        <v>18</v>
      </c>
      <c r="Z45" s="105">
        <f>IF('Marks Entry'!AA45="","",'Marks Entry'!AA45)</f>
        <v>18</v>
      </c>
      <c r="AA45" s="105">
        <f>IF(AND('Marks Entry'!AB45="",'Marks Entry'!AC45=""),"",SUM('Marks Entry'!AB45:AC45))</f>
        <v>50</v>
      </c>
      <c r="AB45" s="105" t="str">
        <f>IF('Marks Entry'!AD45="","",'Marks Entry'!AD45)</f>
        <v/>
      </c>
      <c r="AC45" s="105">
        <f t="shared" si="38"/>
        <v>50</v>
      </c>
      <c r="AD45" s="105">
        <f>IF(AND('Marks Entry'!AE45="",'Marks Entry'!AF45=""),"",SUM('Marks Entry'!AE45:AF45))</f>
        <v>76</v>
      </c>
      <c r="AE45" s="105" t="str">
        <f>IF('Marks Entry'!AG45="","",'Marks Entry'!AG45)</f>
        <v/>
      </c>
      <c r="AF45" s="105">
        <f t="shared" si="39"/>
        <v>76</v>
      </c>
      <c r="AG45" s="105">
        <f t="shared" si="40"/>
        <v>162</v>
      </c>
      <c r="AH45" s="105" t="str">
        <f t="shared" si="41"/>
        <v/>
      </c>
      <c r="AI45" s="105" t="str">
        <f t="shared" si="42"/>
        <v/>
      </c>
      <c r="AJ45" s="47" t="str">
        <f>IF(B45="","",IF('Marks Entry'!AI45="",'Marks Entry'!$AI$4,'Marks Entry'!AI45))</f>
        <v/>
      </c>
      <c r="AK45" s="105">
        <f>IF('Marks Entry'!AJ45="","",'Marks Entry'!AJ45)</f>
        <v>5</v>
      </c>
      <c r="AL45" s="105">
        <f>IF('Marks Entry'!AK45="","",'Marks Entry'!AK45)</f>
        <v>5</v>
      </c>
      <c r="AM45" s="105">
        <f>IF(AND('Marks Entry'!AL45="",'Marks Entry'!AM45=""),"",SUM('Marks Entry'!AL45:AM45))</f>
        <v>28</v>
      </c>
      <c r="AN45" s="105" t="str">
        <f>IF('Marks Entry'!AN45="","",'Marks Entry'!AN45)</f>
        <v/>
      </c>
      <c r="AO45" s="105">
        <f t="shared" si="43"/>
        <v>28</v>
      </c>
      <c r="AP45" s="105">
        <f>IF(AND('Marks Entry'!AO45="",'Marks Entry'!AP45=""),"",SUM('Marks Entry'!AO45:AP45))</f>
        <v>45</v>
      </c>
      <c r="AQ45" s="105" t="str">
        <f>IF('Marks Entry'!AQ45="","",'Marks Entry'!AQ45)</f>
        <v/>
      </c>
      <c r="AR45" s="105">
        <f t="shared" si="44"/>
        <v>45</v>
      </c>
      <c r="AS45" s="105">
        <f t="shared" si="45"/>
        <v>83</v>
      </c>
      <c r="AT45" s="105" t="str">
        <f t="shared" si="46"/>
        <v/>
      </c>
      <c r="AU45" s="105" t="str">
        <f t="shared" si="47"/>
        <v/>
      </c>
      <c r="AV45" s="47" t="str">
        <f>IF(B45="","",IF('Marks Entry'!AS45="",'Marks Entry'!$AS$4,'Marks Entry'!AS45))</f>
        <v/>
      </c>
      <c r="AW45" s="105">
        <f>IF('Marks Entry'!AT45="","",'Marks Entry'!AT45)</f>
        <v>10</v>
      </c>
      <c r="AX45" s="105">
        <f>IF('Marks Entry'!AU45="","",'Marks Entry'!AU45)</f>
        <v>10</v>
      </c>
      <c r="AY45" s="105">
        <f>IF(AND('Marks Entry'!AV45="",'Marks Entry'!AW45=""),"",SUM('Marks Entry'!AV45:AW45))</f>
        <v>17</v>
      </c>
      <c r="AZ45" s="105">
        <f>IF('Marks Entry'!AX45="","",'Marks Entry'!AX45)</f>
        <v>4</v>
      </c>
      <c r="BA45" s="105">
        <f t="shared" si="48"/>
        <v>21</v>
      </c>
      <c r="BB45" s="105">
        <f>IF(AND('Marks Entry'!AY45="",'Marks Entry'!AZ45=""),"",SUM('Marks Entry'!AY45:AZ45))</f>
        <v>30</v>
      </c>
      <c r="BC45" s="105">
        <f>IF('Marks Entry'!BA45="","",'Marks Entry'!BA45)</f>
        <v>12</v>
      </c>
      <c r="BD45" s="105">
        <f t="shared" si="49"/>
        <v>42</v>
      </c>
      <c r="BE45" s="105">
        <f t="shared" si="50"/>
        <v>83</v>
      </c>
      <c r="BF45" s="105" t="str">
        <f t="shared" si="51"/>
        <v/>
      </c>
      <c r="BG45" s="105" t="str">
        <f t="shared" si="52"/>
        <v/>
      </c>
      <c r="BH45" s="105" t="str">
        <f t="shared" si="53"/>
        <v/>
      </c>
      <c r="BI45" s="50" t="str">
        <f t="shared" si="71"/>
        <v/>
      </c>
      <c r="BJ45" s="47" t="str">
        <f t="shared" si="72"/>
        <v/>
      </c>
      <c r="BK45" s="105" t="str">
        <f t="shared" si="54"/>
        <v/>
      </c>
      <c r="BL45" s="105" t="str">
        <f t="shared" si="55"/>
        <v/>
      </c>
      <c r="BM45" s="105" t="str">
        <f>IF(OR(B45="",'Marks Entry'!BY45=""),"",'Marks Entry'!BY45)</f>
        <v/>
      </c>
      <c r="BN45" s="105" t="str">
        <f>IF(OR(B45="",'Marks Entry'!BZ45=""),"",'Marks Entry'!BZ45)</f>
        <v/>
      </c>
      <c r="BO45" s="105">
        <f>IF('Marks Entry'!BC45="","",'Marks Entry'!BC45)</f>
        <v>15</v>
      </c>
      <c r="BP45" s="105">
        <f>IF('Marks Entry'!BD45="","",'Marks Entry'!BD45)</f>
        <v>15</v>
      </c>
      <c r="BQ45" s="105">
        <f>IF(AND('Marks Entry'!BE45="",'Marks Entry'!BF45=""),"",SUM('Marks Entry'!BE45:BF45))</f>
        <v>25</v>
      </c>
      <c r="BR45" s="105">
        <f>IF(AND('Marks Entry'!BG45="",'Marks Entry'!BH45=""),"",SUM('Marks Entry'!BG45:BH45))</f>
        <v>82</v>
      </c>
      <c r="BS45" s="105">
        <f t="shared" si="56"/>
        <v>137</v>
      </c>
      <c r="BT45" s="105" t="str">
        <f t="shared" si="57"/>
        <v/>
      </c>
      <c r="BU45" s="105" t="str">
        <f t="shared" si="58"/>
        <v/>
      </c>
      <c r="BV45" s="105">
        <f>IF('Marks Entry'!BJ45="","",'Marks Entry'!BJ45)</f>
        <v>15</v>
      </c>
      <c r="BW45" s="105">
        <f>IF('Marks Entry'!BK45="","",'Marks Entry'!BK45)</f>
        <v>15</v>
      </c>
      <c r="BX45" s="105">
        <f>IF(AND('Marks Entry'!BL45="",'Marks Entry'!BM45=""),"",SUM('Marks Entry'!BL45:BM45))</f>
        <v>25</v>
      </c>
      <c r="BY45" s="105">
        <f>IF(AND('Marks Entry'!BN45="",'Marks Entry'!BO45=""),"",SUM('Marks Entry'!BN45:BO45))</f>
        <v>82</v>
      </c>
      <c r="BZ45" s="105">
        <f t="shared" si="59"/>
        <v>137</v>
      </c>
      <c r="CA45" s="105" t="str">
        <f t="shared" si="60"/>
        <v/>
      </c>
      <c r="CB45" s="105" t="str">
        <f t="shared" si="61"/>
        <v/>
      </c>
      <c r="CC45" s="105" t="str">
        <f>IF('Marks Entry'!BQ45="","",'Marks Entry'!BQ45)</f>
        <v/>
      </c>
      <c r="CD45" s="105" t="str">
        <f>IF('Marks Entry'!BR45="","",'Marks Entry'!BR45)</f>
        <v/>
      </c>
      <c r="CE45" s="105" t="str">
        <f>IF(AND('Marks Entry'!BS45="",'Marks Entry'!BT45=""),"",SUM('Marks Entry'!BS45:BT45))</f>
        <v/>
      </c>
      <c r="CF45" s="105" t="str">
        <f>IF(AND('Marks Entry'!BU45="",'Marks Entry'!BV45=""),"",SUM('Marks Entry'!BU45:BV45))</f>
        <v/>
      </c>
      <c r="CG45" s="105" t="str">
        <f t="shared" si="62"/>
        <v/>
      </c>
      <c r="CH45" s="105" t="str">
        <f t="shared" si="63"/>
        <v/>
      </c>
      <c r="CI45" s="105" t="str">
        <f t="shared" si="64"/>
        <v/>
      </c>
      <c r="CJ45" s="81"/>
      <c r="CK45" s="50" t="str">
        <f t="shared" si="73"/>
        <v/>
      </c>
      <c r="CM45" s="105" t="str">
        <f t="shared" si="74"/>
        <v/>
      </c>
      <c r="CN45" s="105" t="str">
        <f t="shared" si="75"/>
        <v/>
      </c>
      <c r="CO45" s="105" t="str">
        <f t="shared" si="76"/>
        <v/>
      </c>
      <c r="CP45" s="105" t="str">
        <f t="shared" si="77"/>
        <v/>
      </c>
      <c r="CQ45" s="105" t="str">
        <f t="shared" si="78"/>
        <v/>
      </c>
      <c r="CS45" s="105">
        <f t="shared" si="79"/>
        <v>0</v>
      </c>
      <c r="CT45" s="105">
        <f t="shared" si="80"/>
        <v>0</v>
      </c>
      <c r="CU45" s="105">
        <f t="shared" si="81"/>
        <v>0</v>
      </c>
      <c r="CV45" s="105">
        <f t="shared" si="82"/>
        <v>0</v>
      </c>
      <c r="CW45" s="81"/>
      <c r="CX45" s="105" t="str">
        <f t="shared" si="83"/>
        <v/>
      </c>
      <c r="CY45" s="105" t="str">
        <f t="shared" si="84"/>
        <v/>
      </c>
      <c r="CZ45" s="105" t="str">
        <f t="shared" si="85"/>
        <v/>
      </c>
      <c r="DA45" s="105" t="str">
        <f t="shared" si="86"/>
        <v/>
      </c>
      <c r="DB45" s="105" t="str">
        <f t="shared" si="87"/>
        <v/>
      </c>
      <c r="DD45" s="105" t="str">
        <f t="shared" si="88"/>
        <v/>
      </c>
      <c r="DE45" s="105" t="str">
        <f t="shared" si="89"/>
        <v/>
      </c>
      <c r="DF45" s="105" t="str">
        <f t="shared" si="90"/>
        <v/>
      </c>
      <c r="DG45" s="105" t="str">
        <f t="shared" si="91"/>
        <v/>
      </c>
      <c r="DH45" s="105" t="str">
        <f t="shared" si="92"/>
        <v/>
      </c>
      <c r="DI45" s="105" t="str">
        <f t="shared" si="93"/>
        <v/>
      </c>
      <c r="DJ45" s="105" t="str">
        <f t="shared" si="94"/>
        <v/>
      </c>
      <c r="DK45" s="105" t="str">
        <f t="shared" si="95"/>
        <v/>
      </c>
      <c r="DL45" s="105" t="str">
        <f t="shared" si="96"/>
        <v/>
      </c>
      <c r="DM45" s="105" t="str">
        <f t="shared" si="97"/>
        <v/>
      </c>
      <c r="DN45" s="105" t="str">
        <f t="shared" si="98"/>
        <v/>
      </c>
      <c r="DO45" s="105" t="str">
        <f t="shared" si="99"/>
        <v/>
      </c>
      <c r="DP45" s="105" t="str">
        <f t="shared" si="100"/>
        <v/>
      </c>
      <c r="DR45" s="118" t="str">
        <f t="shared" si="65"/>
        <v xml:space="preserve">    </v>
      </c>
      <c r="DS45" s="75"/>
      <c r="DT45" s="119" t="str">
        <f t="shared" si="66"/>
        <v xml:space="preserve">    </v>
      </c>
      <c r="DU45" s="136"/>
      <c r="DV45" s="119" t="str">
        <f t="shared" si="67"/>
        <v xml:space="preserve">    </v>
      </c>
      <c r="DW45" s="75"/>
      <c r="DX45" s="119" t="str">
        <f t="shared" si="68"/>
        <v xml:space="preserve">     </v>
      </c>
      <c r="DY45" s="75"/>
      <c r="DZ45" s="119" t="str">
        <f t="shared" si="69"/>
        <v xml:space="preserve">    </v>
      </c>
    </row>
    <row r="46" spans="1:130" ht="30" customHeight="1" x14ac:dyDescent="0.25">
      <c r="A46" s="105" t="str">
        <f>IF('Marks Entry'!A46="","",'Marks Entry'!A46)</f>
        <v/>
      </c>
      <c r="B46" s="105" t="str">
        <f>IF('Marks Entry'!B46="","",'Marks Entry'!B46)</f>
        <v/>
      </c>
      <c r="C46" s="105" t="str">
        <f>IF('Marks Entry'!C46="","",'Marks Entry'!C46)</f>
        <v/>
      </c>
      <c r="D46" s="48" t="str">
        <f>IF('Marks Entry'!D46="","",'Marks Entry'!D46)</f>
        <v/>
      </c>
      <c r="E46" s="48" t="str">
        <f>IF('Marks Entry'!E46="","",'Marks Entry'!E46)</f>
        <v/>
      </c>
      <c r="F46" s="48" t="str">
        <f>IF('Marks Entry'!F46="","",'Marks Entry'!F46)</f>
        <v/>
      </c>
      <c r="G46" s="105" t="str">
        <f>IF('Marks Entry'!G46="","",'Marks Entry'!G46)</f>
        <v/>
      </c>
      <c r="H46" s="49" t="str">
        <f>IF('Marks Entry'!H46="","",'Marks Entry'!H46)</f>
        <v/>
      </c>
      <c r="I46" s="105" t="str">
        <f>IF('Marks Entry'!I46="","",'Marks Entry'!I46)</f>
        <v/>
      </c>
      <c r="J46" s="105">
        <f>IF('Marks Entry'!K46="","",'Marks Entry'!K46)</f>
        <v>10</v>
      </c>
      <c r="K46" s="105">
        <f>IF('Marks Entry'!L46="","",'Marks Entry'!L46)</f>
        <v>20</v>
      </c>
      <c r="L46" s="105">
        <f>IF(AND('Marks Entry'!M46="",'Marks Entry'!N46=""),"",SUM('Marks Entry'!M46:N46))</f>
        <v>15</v>
      </c>
      <c r="M46" s="105">
        <f>IF(AND('Marks Entry'!O46="",'Marks Entry'!P46=""),"",SUM('Marks Entry'!O46:P46))</f>
        <v>84</v>
      </c>
      <c r="N46" s="105">
        <f t="shared" si="70"/>
        <v>129</v>
      </c>
      <c r="O46" s="105" t="str">
        <f t="shared" si="33"/>
        <v/>
      </c>
      <c r="P46" s="105" t="str">
        <f t="shared" si="34"/>
        <v/>
      </c>
      <c r="Q46" s="105">
        <f>IF('Marks Entry'!R46="","",'Marks Entry'!R46)</f>
        <v>10</v>
      </c>
      <c r="R46" s="105">
        <f>IF('Marks Entry'!S46="","",'Marks Entry'!S46)</f>
        <v>10</v>
      </c>
      <c r="S46" s="105">
        <f>IF(AND('Marks Entry'!T46="",'Marks Entry'!U46=""),"",SUM('Marks Entry'!T46:U46))</f>
        <v>40</v>
      </c>
      <c r="T46" s="105">
        <f>IF(AND('Marks Entry'!V46="",'Marks Entry'!W46=""),"",SUM('Marks Entry'!V46:W46))</f>
        <v>75</v>
      </c>
      <c r="U46" s="105">
        <f t="shared" si="35"/>
        <v>135</v>
      </c>
      <c r="V46" s="105" t="str">
        <f t="shared" si="36"/>
        <v/>
      </c>
      <c r="W46" s="105" t="str">
        <f t="shared" si="37"/>
        <v/>
      </c>
      <c r="X46" s="47" t="str">
        <f>IF(B46="","",IF('Marks Entry'!Y46="",'Marks Entry'!$Y$4,'Marks Entry'!Y46))</f>
        <v/>
      </c>
      <c r="Y46" s="105">
        <f>IF('Marks Entry'!Z46="","",'Marks Entry'!Z46)</f>
        <v>10</v>
      </c>
      <c r="Z46" s="105">
        <f>IF('Marks Entry'!AA46="","",'Marks Entry'!AA46)</f>
        <v>10</v>
      </c>
      <c r="AA46" s="105">
        <f>IF(AND('Marks Entry'!AB46="",'Marks Entry'!AC46=""),"",SUM('Marks Entry'!AB46:AC46))</f>
        <v>40</v>
      </c>
      <c r="AB46" s="105" t="str">
        <f>IF('Marks Entry'!AD46="","",'Marks Entry'!AD46)</f>
        <v/>
      </c>
      <c r="AC46" s="105">
        <f t="shared" si="38"/>
        <v>40</v>
      </c>
      <c r="AD46" s="105">
        <f>IF(AND('Marks Entry'!AE46="",'Marks Entry'!AF46=""),"",SUM('Marks Entry'!AE46:AF46))</f>
        <v>41</v>
      </c>
      <c r="AE46" s="105" t="str">
        <f>IF('Marks Entry'!AG46="","",'Marks Entry'!AG46)</f>
        <v/>
      </c>
      <c r="AF46" s="105">
        <f t="shared" si="39"/>
        <v>41</v>
      </c>
      <c r="AG46" s="105">
        <f t="shared" si="40"/>
        <v>101</v>
      </c>
      <c r="AH46" s="105" t="str">
        <f t="shared" si="41"/>
        <v/>
      </c>
      <c r="AI46" s="105" t="str">
        <f t="shared" si="42"/>
        <v/>
      </c>
      <c r="AJ46" s="47" t="str">
        <f>IF(B46="","",IF('Marks Entry'!AI46="",'Marks Entry'!$AI$4,'Marks Entry'!AI46))</f>
        <v/>
      </c>
      <c r="AK46" s="105">
        <f>IF('Marks Entry'!AJ46="","",'Marks Entry'!AJ46)</f>
        <v>10</v>
      </c>
      <c r="AL46" s="105">
        <f>IF('Marks Entry'!AK46="","",'Marks Entry'!AK46)</f>
        <v>10</v>
      </c>
      <c r="AM46" s="105">
        <f>IF(AND('Marks Entry'!AL46="",'Marks Entry'!AM46=""),"",SUM('Marks Entry'!AL46:AM46))</f>
        <v>40</v>
      </c>
      <c r="AN46" s="105" t="str">
        <f>IF('Marks Entry'!AN46="","",'Marks Entry'!AN46)</f>
        <v/>
      </c>
      <c r="AO46" s="105">
        <f t="shared" si="43"/>
        <v>40</v>
      </c>
      <c r="AP46" s="105">
        <f>IF(AND('Marks Entry'!AO46="",'Marks Entry'!AP46=""),"",SUM('Marks Entry'!AO46:AP46))</f>
        <v>60</v>
      </c>
      <c r="AQ46" s="105" t="str">
        <f>IF('Marks Entry'!AQ46="","",'Marks Entry'!AQ46)</f>
        <v/>
      </c>
      <c r="AR46" s="105">
        <f t="shared" si="44"/>
        <v>60</v>
      </c>
      <c r="AS46" s="105">
        <f t="shared" si="45"/>
        <v>120</v>
      </c>
      <c r="AT46" s="105" t="str">
        <f t="shared" si="46"/>
        <v/>
      </c>
      <c r="AU46" s="105" t="str">
        <f t="shared" si="47"/>
        <v/>
      </c>
      <c r="AV46" s="47" t="str">
        <f>IF(B46="","",IF('Marks Entry'!AS46="",'Marks Entry'!$AS$4,'Marks Entry'!AS46))</f>
        <v/>
      </c>
      <c r="AW46" s="105">
        <f>IF('Marks Entry'!AT46="","",'Marks Entry'!AT46)</f>
        <v>10</v>
      </c>
      <c r="AX46" s="105">
        <f>IF('Marks Entry'!AU46="","",'Marks Entry'!AU46)</f>
        <v>10</v>
      </c>
      <c r="AY46" s="105">
        <f>IF(AND('Marks Entry'!AV46="",'Marks Entry'!AW46=""),"",SUM('Marks Entry'!AV46:AW46))</f>
        <v>26</v>
      </c>
      <c r="AZ46" s="105">
        <f>IF('Marks Entry'!AX46="","",'Marks Entry'!AX46)</f>
        <v>10</v>
      </c>
      <c r="BA46" s="105">
        <f t="shared" si="48"/>
        <v>36</v>
      </c>
      <c r="BB46" s="105">
        <f>IF(AND('Marks Entry'!AY46="",'Marks Entry'!AZ46=""),"",SUM('Marks Entry'!AY46:AZ46))</f>
        <v>36</v>
      </c>
      <c r="BC46" s="105">
        <f>IF('Marks Entry'!BA46="","",'Marks Entry'!BA46)</f>
        <v>13</v>
      </c>
      <c r="BD46" s="105">
        <f t="shared" si="49"/>
        <v>49</v>
      </c>
      <c r="BE46" s="105">
        <f t="shared" si="50"/>
        <v>105</v>
      </c>
      <c r="BF46" s="105" t="str">
        <f t="shared" si="51"/>
        <v/>
      </c>
      <c r="BG46" s="105" t="str">
        <f t="shared" si="52"/>
        <v/>
      </c>
      <c r="BH46" s="105" t="str">
        <f t="shared" si="53"/>
        <v/>
      </c>
      <c r="BI46" s="50" t="str">
        <f t="shared" si="71"/>
        <v/>
      </c>
      <c r="BJ46" s="47" t="str">
        <f t="shared" si="72"/>
        <v/>
      </c>
      <c r="BK46" s="105" t="str">
        <f t="shared" si="54"/>
        <v/>
      </c>
      <c r="BL46" s="105" t="str">
        <f t="shared" si="55"/>
        <v/>
      </c>
      <c r="BM46" s="105" t="str">
        <f>IF(OR(B46="",'Marks Entry'!BY46=""),"",'Marks Entry'!BY46)</f>
        <v/>
      </c>
      <c r="BN46" s="105" t="str">
        <f>IF(OR(B46="",'Marks Entry'!BZ46=""),"",'Marks Entry'!BZ46)</f>
        <v/>
      </c>
      <c r="BO46" s="105">
        <f>IF('Marks Entry'!BC46="","",'Marks Entry'!BC46)</f>
        <v>15</v>
      </c>
      <c r="BP46" s="105">
        <f>IF('Marks Entry'!BD46="","",'Marks Entry'!BD46)</f>
        <v>15</v>
      </c>
      <c r="BQ46" s="105">
        <f>IF(AND('Marks Entry'!BE46="",'Marks Entry'!BF46=""),"",SUM('Marks Entry'!BE46:BF46))</f>
        <v>25</v>
      </c>
      <c r="BR46" s="105">
        <f>IF(AND('Marks Entry'!BG46="",'Marks Entry'!BH46=""),"",SUM('Marks Entry'!BG46:BH46))</f>
        <v>82</v>
      </c>
      <c r="BS46" s="105">
        <f t="shared" si="56"/>
        <v>137</v>
      </c>
      <c r="BT46" s="105" t="str">
        <f t="shared" si="57"/>
        <v/>
      </c>
      <c r="BU46" s="105" t="str">
        <f t="shared" si="58"/>
        <v/>
      </c>
      <c r="BV46" s="105">
        <f>IF('Marks Entry'!BJ46="","",'Marks Entry'!BJ46)</f>
        <v>15</v>
      </c>
      <c r="BW46" s="105">
        <f>IF('Marks Entry'!BK46="","",'Marks Entry'!BK46)</f>
        <v>15</v>
      </c>
      <c r="BX46" s="105">
        <f>IF(AND('Marks Entry'!BL46="",'Marks Entry'!BM46=""),"",SUM('Marks Entry'!BL46:BM46))</f>
        <v>25</v>
      </c>
      <c r="BY46" s="105">
        <f>IF(AND('Marks Entry'!BN46="",'Marks Entry'!BO46=""),"",SUM('Marks Entry'!BN46:BO46))</f>
        <v>82</v>
      </c>
      <c r="BZ46" s="105">
        <f t="shared" si="59"/>
        <v>137</v>
      </c>
      <c r="CA46" s="105" t="str">
        <f t="shared" si="60"/>
        <v/>
      </c>
      <c r="CB46" s="105" t="str">
        <f t="shared" si="61"/>
        <v/>
      </c>
      <c r="CC46" s="105" t="str">
        <f>IF('Marks Entry'!BQ46="","",'Marks Entry'!BQ46)</f>
        <v/>
      </c>
      <c r="CD46" s="105" t="str">
        <f>IF('Marks Entry'!BR46="","",'Marks Entry'!BR46)</f>
        <v/>
      </c>
      <c r="CE46" s="105" t="str">
        <f>IF(AND('Marks Entry'!BS46="",'Marks Entry'!BT46=""),"",SUM('Marks Entry'!BS46:BT46))</f>
        <v/>
      </c>
      <c r="CF46" s="105" t="str">
        <f>IF(AND('Marks Entry'!BU46="",'Marks Entry'!BV46=""),"",SUM('Marks Entry'!BU46:BV46))</f>
        <v/>
      </c>
      <c r="CG46" s="105" t="str">
        <f t="shared" si="62"/>
        <v/>
      </c>
      <c r="CH46" s="105" t="str">
        <f t="shared" si="63"/>
        <v/>
      </c>
      <c r="CI46" s="105" t="str">
        <f t="shared" si="64"/>
        <v/>
      </c>
      <c r="CJ46" s="81"/>
      <c r="CK46" s="50" t="str">
        <f t="shared" si="73"/>
        <v/>
      </c>
      <c r="CM46" s="105" t="str">
        <f t="shared" si="74"/>
        <v/>
      </c>
      <c r="CN46" s="105" t="str">
        <f t="shared" si="75"/>
        <v/>
      </c>
      <c r="CO46" s="105" t="str">
        <f t="shared" si="76"/>
        <v/>
      </c>
      <c r="CP46" s="105" t="str">
        <f t="shared" si="77"/>
        <v/>
      </c>
      <c r="CQ46" s="105" t="str">
        <f t="shared" si="78"/>
        <v/>
      </c>
      <c r="CS46" s="105">
        <f t="shared" si="79"/>
        <v>0</v>
      </c>
      <c r="CT46" s="105">
        <f t="shared" si="80"/>
        <v>0</v>
      </c>
      <c r="CU46" s="105">
        <f t="shared" si="81"/>
        <v>0</v>
      </c>
      <c r="CV46" s="105">
        <f t="shared" si="82"/>
        <v>0</v>
      </c>
      <c r="CW46" s="81"/>
      <c r="CX46" s="105" t="str">
        <f t="shared" si="83"/>
        <v/>
      </c>
      <c r="CY46" s="105" t="str">
        <f t="shared" si="84"/>
        <v/>
      </c>
      <c r="CZ46" s="105" t="str">
        <f t="shared" si="85"/>
        <v/>
      </c>
      <c r="DA46" s="105" t="str">
        <f t="shared" si="86"/>
        <v/>
      </c>
      <c r="DB46" s="105" t="str">
        <f t="shared" si="87"/>
        <v/>
      </c>
      <c r="DD46" s="105" t="str">
        <f t="shared" si="88"/>
        <v/>
      </c>
      <c r="DE46" s="105" t="str">
        <f t="shared" si="89"/>
        <v/>
      </c>
      <c r="DF46" s="105" t="str">
        <f t="shared" si="90"/>
        <v/>
      </c>
      <c r="DG46" s="105" t="str">
        <f t="shared" si="91"/>
        <v/>
      </c>
      <c r="DH46" s="105" t="str">
        <f t="shared" si="92"/>
        <v/>
      </c>
      <c r="DI46" s="105" t="str">
        <f t="shared" si="93"/>
        <v/>
      </c>
      <c r="DJ46" s="105" t="str">
        <f t="shared" si="94"/>
        <v/>
      </c>
      <c r="DK46" s="105" t="str">
        <f t="shared" si="95"/>
        <v/>
      </c>
      <c r="DL46" s="105" t="str">
        <f t="shared" si="96"/>
        <v/>
      </c>
      <c r="DM46" s="105" t="str">
        <f t="shared" si="97"/>
        <v/>
      </c>
      <c r="DN46" s="105" t="str">
        <f t="shared" si="98"/>
        <v/>
      </c>
      <c r="DO46" s="105" t="str">
        <f t="shared" si="99"/>
        <v/>
      </c>
      <c r="DP46" s="105" t="str">
        <f t="shared" si="100"/>
        <v/>
      </c>
      <c r="DR46" s="118" t="str">
        <f t="shared" si="65"/>
        <v xml:space="preserve">    </v>
      </c>
      <c r="DS46" s="75"/>
      <c r="DT46" s="119" t="str">
        <f t="shared" si="66"/>
        <v xml:space="preserve">    </v>
      </c>
      <c r="DU46" s="136"/>
      <c r="DV46" s="119" t="str">
        <f t="shared" si="67"/>
        <v xml:space="preserve">    </v>
      </c>
      <c r="DW46" s="75"/>
      <c r="DX46" s="119" t="str">
        <f t="shared" si="68"/>
        <v xml:space="preserve">     </v>
      </c>
      <c r="DY46" s="75"/>
      <c r="DZ46" s="119" t="str">
        <f t="shared" si="69"/>
        <v xml:space="preserve">    </v>
      </c>
    </row>
    <row r="47" spans="1:130" ht="30" customHeight="1" x14ac:dyDescent="0.25">
      <c r="A47" s="105" t="str">
        <f>IF('Marks Entry'!A47="","",'Marks Entry'!A47)</f>
        <v/>
      </c>
      <c r="B47" s="105" t="str">
        <f>IF('Marks Entry'!B47="","",'Marks Entry'!B47)</f>
        <v/>
      </c>
      <c r="C47" s="105" t="str">
        <f>IF('Marks Entry'!C47="","",'Marks Entry'!C47)</f>
        <v/>
      </c>
      <c r="D47" s="48" t="str">
        <f>IF('Marks Entry'!D47="","",'Marks Entry'!D47)</f>
        <v/>
      </c>
      <c r="E47" s="48" t="str">
        <f>IF('Marks Entry'!E47="","",'Marks Entry'!E47)</f>
        <v/>
      </c>
      <c r="F47" s="48" t="str">
        <f>IF('Marks Entry'!F47="","",'Marks Entry'!F47)</f>
        <v/>
      </c>
      <c r="G47" s="105" t="str">
        <f>IF('Marks Entry'!G47="","",'Marks Entry'!G47)</f>
        <v/>
      </c>
      <c r="H47" s="49" t="str">
        <f>IF('Marks Entry'!H47="","",'Marks Entry'!H47)</f>
        <v/>
      </c>
      <c r="I47" s="105" t="str">
        <f>IF('Marks Entry'!I47="","",'Marks Entry'!I47)</f>
        <v/>
      </c>
      <c r="J47" s="105">
        <f>IF('Marks Entry'!K47="","",'Marks Entry'!K47)</f>
        <v>10</v>
      </c>
      <c r="K47" s="105">
        <f>IF('Marks Entry'!L47="","",'Marks Entry'!L47)</f>
        <v>20</v>
      </c>
      <c r="L47" s="105">
        <f>IF(AND('Marks Entry'!M47="",'Marks Entry'!N47=""),"",SUM('Marks Entry'!M47:N47))</f>
        <v>15</v>
      </c>
      <c r="M47" s="105">
        <f>IF(AND('Marks Entry'!O47="",'Marks Entry'!P47=""),"",SUM('Marks Entry'!O47:P47))</f>
        <v>85</v>
      </c>
      <c r="N47" s="105">
        <f t="shared" si="70"/>
        <v>130</v>
      </c>
      <c r="O47" s="105" t="str">
        <f t="shared" si="33"/>
        <v/>
      </c>
      <c r="P47" s="105" t="str">
        <f t="shared" si="34"/>
        <v/>
      </c>
      <c r="Q47" s="105">
        <f>IF('Marks Entry'!R47="","",'Marks Entry'!R47)</f>
        <v>10</v>
      </c>
      <c r="R47" s="105">
        <f>IF('Marks Entry'!S47="","",'Marks Entry'!S47)</f>
        <v>10</v>
      </c>
      <c r="S47" s="105">
        <f>IF(AND('Marks Entry'!T47="",'Marks Entry'!U47=""),"",SUM('Marks Entry'!T47:U47))</f>
        <v>40</v>
      </c>
      <c r="T47" s="105">
        <f>IF(AND('Marks Entry'!V47="",'Marks Entry'!W47=""),"",SUM('Marks Entry'!V47:W47))</f>
        <v>76</v>
      </c>
      <c r="U47" s="105">
        <f t="shared" si="35"/>
        <v>136</v>
      </c>
      <c r="V47" s="105" t="str">
        <f t="shared" si="36"/>
        <v/>
      </c>
      <c r="W47" s="105" t="str">
        <f t="shared" si="37"/>
        <v/>
      </c>
      <c r="X47" s="47" t="str">
        <f>IF(B47="","",IF('Marks Entry'!Y47="",'Marks Entry'!$Y$4,'Marks Entry'!Y47))</f>
        <v/>
      </c>
      <c r="Y47" s="105">
        <f>IF('Marks Entry'!Z47="","",'Marks Entry'!Z47)</f>
        <v>10</v>
      </c>
      <c r="Z47" s="105">
        <f>IF('Marks Entry'!AA47="","",'Marks Entry'!AA47)</f>
        <v>10</v>
      </c>
      <c r="AA47" s="105">
        <f>IF(AND('Marks Entry'!AB47="",'Marks Entry'!AC47=""),"",SUM('Marks Entry'!AB47:AC47))</f>
        <v>40</v>
      </c>
      <c r="AB47" s="105" t="str">
        <f>IF('Marks Entry'!AD47="","",'Marks Entry'!AD47)</f>
        <v/>
      </c>
      <c r="AC47" s="105">
        <f t="shared" si="38"/>
        <v>40</v>
      </c>
      <c r="AD47" s="105">
        <f>IF(AND('Marks Entry'!AE47="",'Marks Entry'!AF47=""),"",SUM('Marks Entry'!AE47:AF47))</f>
        <v>41</v>
      </c>
      <c r="AE47" s="105" t="str">
        <f>IF('Marks Entry'!AG47="","",'Marks Entry'!AG47)</f>
        <v/>
      </c>
      <c r="AF47" s="105">
        <f t="shared" si="39"/>
        <v>41</v>
      </c>
      <c r="AG47" s="105">
        <f t="shared" si="40"/>
        <v>101</v>
      </c>
      <c r="AH47" s="105" t="str">
        <f t="shared" si="41"/>
        <v/>
      </c>
      <c r="AI47" s="105" t="str">
        <f t="shared" si="42"/>
        <v/>
      </c>
      <c r="AJ47" s="47" t="str">
        <f>IF(B47="","",IF('Marks Entry'!AI47="",'Marks Entry'!$AI$4,'Marks Entry'!AI47))</f>
        <v/>
      </c>
      <c r="AK47" s="105">
        <f>IF('Marks Entry'!AJ47="","",'Marks Entry'!AJ47)</f>
        <v>10</v>
      </c>
      <c r="AL47" s="105">
        <f>IF('Marks Entry'!AK47="","",'Marks Entry'!AK47)</f>
        <v>10</v>
      </c>
      <c r="AM47" s="105">
        <f>IF(AND('Marks Entry'!AL47="",'Marks Entry'!AM47=""),"",SUM('Marks Entry'!AL47:AM47))</f>
        <v>40</v>
      </c>
      <c r="AN47" s="105" t="str">
        <f>IF('Marks Entry'!AN47="","",'Marks Entry'!AN47)</f>
        <v/>
      </c>
      <c r="AO47" s="105">
        <f t="shared" si="43"/>
        <v>40</v>
      </c>
      <c r="AP47" s="105">
        <f>IF(AND('Marks Entry'!AO47="",'Marks Entry'!AP47=""),"",SUM('Marks Entry'!AO47:AP47))</f>
        <v>55</v>
      </c>
      <c r="AQ47" s="105" t="str">
        <f>IF('Marks Entry'!AQ47="","",'Marks Entry'!AQ47)</f>
        <v/>
      </c>
      <c r="AR47" s="105">
        <f t="shared" si="44"/>
        <v>55</v>
      </c>
      <c r="AS47" s="105">
        <f t="shared" si="45"/>
        <v>115</v>
      </c>
      <c r="AT47" s="105" t="str">
        <f t="shared" si="46"/>
        <v/>
      </c>
      <c r="AU47" s="105" t="str">
        <f t="shared" si="47"/>
        <v/>
      </c>
      <c r="AV47" s="47" t="str">
        <f>IF(B47="","",IF('Marks Entry'!AS47="",'Marks Entry'!$AS$4,'Marks Entry'!AS47))</f>
        <v/>
      </c>
      <c r="AW47" s="105">
        <f>IF('Marks Entry'!AT47="","",'Marks Entry'!AT47)</f>
        <v>10</v>
      </c>
      <c r="AX47" s="105">
        <f>IF('Marks Entry'!AU47="","",'Marks Entry'!AU47)</f>
        <v>10</v>
      </c>
      <c r="AY47" s="105">
        <f>IF(AND('Marks Entry'!AV47="",'Marks Entry'!AW47=""),"",SUM('Marks Entry'!AV47:AW47))</f>
        <v>22</v>
      </c>
      <c r="AZ47" s="105">
        <f>IF('Marks Entry'!AX47="","",'Marks Entry'!AX47)</f>
        <v>15</v>
      </c>
      <c r="BA47" s="105">
        <f t="shared" si="48"/>
        <v>37</v>
      </c>
      <c r="BB47" s="105">
        <f>IF(AND('Marks Entry'!AY47="",'Marks Entry'!AZ47=""),"",SUM('Marks Entry'!AY47:AZ47))</f>
        <v>35</v>
      </c>
      <c r="BC47" s="105">
        <f>IF('Marks Entry'!BA47="","",'Marks Entry'!BA47)</f>
        <v>14</v>
      </c>
      <c r="BD47" s="105">
        <f t="shared" si="49"/>
        <v>49</v>
      </c>
      <c r="BE47" s="105">
        <f t="shared" si="50"/>
        <v>106</v>
      </c>
      <c r="BF47" s="105" t="str">
        <f t="shared" si="51"/>
        <v/>
      </c>
      <c r="BG47" s="105" t="str">
        <f t="shared" si="52"/>
        <v/>
      </c>
      <c r="BH47" s="105" t="str">
        <f t="shared" si="53"/>
        <v/>
      </c>
      <c r="BI47" s="50" t="str">
        <f t="shared" si="71"/>
        <v/>
      </c>
      <c r="BJ47" s="47" t="str">
        <f t="shared" si="72"/>
        <v/>
      </c>
      <c r="BK47" s="105" t="str">
        <f t="shared" si="54"/>
        <v/>
      </c>
      <c r="BL47" s="105" t="str">
        <f t="shared" si="55"/>
        <v/>
      </c>
      <c r="BM47" s="105" t="str">
        <f>IF(OR(B47="",'Marks Entry'!BY47=""),"",'Marks Entry'!BY47)</f>
        <v/>
      </c>
      <c r="BN47" s="105" t="str">
        <f>IF(OR(B47="",'Marks Entry'!BZ47=""),"",'Marks Entry'!BZ47)</f>
        <v/>
      </c>
      <c r="BO47" s="105">
        <f>IF('Marks Entry'!BC47="","",'Marks Entry'!BC47)</f>
        <v>15</v>
      </c>
      <c r="BP47" s="105">
        <f>IF('Marks Entry'!BD47="","",'Marks Entry'!BD47)</f>
        <v>15</v>
      </c>
      <c r="BQ47" s="105">
        <f>IF(AND('Marks Entry'!BE47="",'Marks Entry'!BF47=""),"",SUM('Marks Entry'!BE47:BF47))</f>
        <v>25</v>
      </c>
      <c r="BR47" s="105">
        <f>IF(AND('Marks Entry'!BG47="",'Marks Entry'!BH47=""),"",SUM('Marks Entry'!BG47:BH47))</f>
        <v>82</v>
      </c>
      <c r="BS47" s="105">
        <f t="shared" si="56"/>
        <v>137</v>
      </c>
      <c r="BT47" s="105" t="str">
        <f t="shared" si="57"/>
        <v/>
      </c>
      <c r="BU47" s="105" t="str">
        <f t="shared" si="58"/>
        <v/>
      </c>
      <c r="BV47" s="105">
        <f>IF('Marks Entry'!BJ47="","",'Marks Entry'!BJ47)</f>
        <v>15</v>
      </c>
      <c r="BW47" s="105">
        <f>IF('Marks Entry'!BK47="","",'Marks Entry'!BK47)</f>
        <v>15</v>
      </c>
      <c r="BX47" s="105">
        <f>IF(AND('Marks Entry'!BL47="",'Marks Entry'!BM47=""),"",SUM('Marks Entry'!BL47:BM47))</f>
        <v>25</v>
      </c>
      <c r="BY47" s="105">
        <f>IF(AND('Marks Entry'!BN47="",'Marks Entry'!BO47=""),"",SUM('Marks Entry'!BN47:BO47))</f>
        <v>82</v>
      </c>
      <c r="BZ47" s="105">
        <f t="shared" si="59"/>
        <v>137</v>
      </c>
      <c r="CA47" s="105" t="str">
        <f t="shared" si="60"/>
        <v/>
      </c>
      <c r="CB47" s="105" t="str">
        <f t="shared" si="61"/>
        <v/>
      </c>
      <c r="CC47" s="105" t="str">
        <f>IF('Marks Entry'!BQ47="","",'Marks Entry'!BQ47)</f>
        <v/>
      </c>
      <c r="CD47" s="105" t="str">
        <f>IF('Marks Entry'!BR47="","",'Marks Entry'!BR47)</f>
        <v/>
      </c>
      <c r="CE47" s="105" t="str">
        <f>IF(AND('Marks Entry'!BS47="",'Marks Entry'!BT47=""),"",SUM('Marks Entry'!BS47:BT47))</f>
        <v/>
      </c>
      <c r="CF47" s="105" t="str">
        <f>IF(AND('Marks Entry'!BU47="",'Marks Entry'!BV47=""),"",SUM('Marks Entry'!BU47:BV47))</f>
        <v/>
      </c>
      <c r="CG47" s="105" t="str">
        <f t="shared" si="62"/>
        <v/>
      </c>
      <c r="CH47" s="105" t="str">
        <f t="shared" si="63"/>
        <v/>
      </c>
      <c r="CI47" s="105" t="str">
        <f t="shared" si="64"/>
        <v/>
      </c>
      <c r="CJ47" s="81"/>
      <c r="CK47" s="50" t="str">
        <f t="shared" si="73"/>
        <v/>
      </c>
      <c r="CM47" s="105" t="str">
        <f t="shared" si="74"/>
        <v/>
      </c>
      <c r="CN47" s="105" t="str">
        <f t="shared" si="75"/>
        <v/>
      </c>
      <c r="CO47" s="105" t="str">
        <f t="shared" si="76"/>
        <v/>
      </c>
      <c r="CP47" s="105" t="str">
        <f t="shared" si="77"/>
        <v/>
      </c>
      <c r="CQ47" s="105" t="str">
        <f t="shared" si="78"/>
        <v/>
      </c>
      <c r="CS47" s="105">
        <f t="shared" si="79"/>
        <v>0</v>
      </c>
      <c r="CT47" s="105">
        <f t="shared" si="80"/>
        <v>0</v>
      </c>
      <c r="CU47" s="105">
        <f t="shared" si="81"/>
        <v>0</v>
      </c>
      <c r="CV47" s="105">
        <f t="shared" si="82"/>
        <v>0</v>
      </c>
      <c r="CW47" s="81"/>
      <c r="CX47" s="105" t="str">
        <f t="shared" si="83"/>
        <v/>
      </c>
      <c r="CY47" s="105" t="str">
        <f t="shared" si="84"/>
        <v/>
      </c>
      <c r="CZ47" s="105" t="str">
        <f t="shared" si="85"/>
        <v/>
      </c>
      <c r="DA47" s="105" t="str">
        <f t="shared" si="86"/>
        <v/>
      </c>
      <c r="DB47" s="105" t="str">
        <f t="shared" si="87"/>
        <v/>
      </c>
      <c r="DD47" s="105" t="str">
        <f t="shared" si="88"/>
        <v/>
      </c>
      <c r="DE47" s="105" t="str">
        <f t="shared" si="89"/>
        <v/>
      </c>
      <c r="DF47" s="105" t="str">
        <f t="shared" si="90"/>
        <v/>
      </c>
      <c r="DG47" s="105" t="str">
        <f t="shared" si="91"/>
        <v/>
      </c>
      <c r="DH47" s="105" t="str">
        <f t="shared" si="92"/>
        <v/>
      </c>
      <c r="DI47" s="105" t="str">
        <f t="shared" si="93"/>
        <v/>
      </c>
      <c r="DJ47" s="105" t="str">
        <f t="shared" si="94"/>
        <v/>
      </c>
      <c r="DK47" s="105" t="str">
        <f t="shared" si="95"/>
        <v/>
      </c>
      <c r="DL47" s="105" t="str">
        <f t="shared" si="96"/>
        <v/>
      </c>
      <c r="DM47" s="105" t="str">
        <f t="shared" si="97"/>
        <v/>
      </c>
      <c r="DN47" s="105" t="str">
        <f t="shared" si="98"/>
        <v/>
      </c>
      <c r="DO47" s="105" t="str">
        <f t="shared" si="99"/>
        <v/>
      </c>
      <c r="DP47" s="105" t="str">
        <f t="shared" si="100"/>
        <v/>
      </c>
      <c r="DR47" s="118" t="str">
        <f t="shared" si="65"/>
        <v xml:space="preserve">    </v>
      </c>
      <c r="DS47" s="75"/>
      <c r="DT47" s="119" t="str">
        <f t="shared" si="66"/>
        <v xml:space="preserve">    </v>
      </c>
      <c r="DU47" s="136"/>
      <c r="DV47" s="119" t="str">
        <f t="shared" si="67"/>
        <v xml:space="preserve">    </v>
      </c>
      <c r="DW47" s="75"/>
      <c r="DX47" s="119" t="str">
        <f t="shared" si="68"/>
        <v xml:space="preserve">     </v>
      </c>
      <c r="DY47" s="75"/>
      <c r="DZ47" s="119" t="str">
        <f t="shared" si="69"/>
        <v xml:space="preserve">    </v>
      </c>
    </row>
    <row r="48" spans="1:130" ht="30" customHeight="1" x14ac:dyDescent="0.25">
      <c r="A48" s="105" t="str">
        <f>IF('Marks Entry'!A48="","",'Marks Entry'!A48)</f>
        <v/>
      </c>
      <c r="B48" s="105" t="str">
        <f>IF('Marks Entry'!B48="","",'Marks Entry'!B48)</f>
        <v/>
      </c>
      <c r="C48" s="105" t="str">
        <f>IF('Marks Entry'!C48="","",'Marks Entry'!C48)</f>
        <v/>
      </c>
      <c r="D48" s="48" t="str">
        <f>IF('Marks Entry'!D48="","",'Marks Entry'!D48)</f>
        <v/>
      </c>
      <c r="E48" s="48" t="str">
        <f>IF('Marks Entry'!E48="","",'Marks Entry'!E48)</f>
        <v/>
      </c>
      <c r="F48" s="48" t="str">
        <f>IF('Marks Entry'!F48="","",'Marks Entry'!F48)</f>
        <v/>
      </c>
      <c r="G48" s="105" t="str">
        <f>IF('Marks Entry'!G48="","",'Marks Entry'!G48)</f>
        <v/>
      </c>
      <c r="H48" s="49" t="str">
        <f>IF('Marks Entry'!H48="","",'Marks Entry'!H48)</f>
        <v/>
      </c>
      <c r="I48" s="105" t="str">
        <f>IF('Marks Entry'!I48="","",'Marks Entry'!I48)</f>
        <v/>
      </c>
      <c r="J48" s="105">
        <f>IF('Marks Entry'!K48="","",'Marks Entry'!K48)</f>
        <v>10</v>
      </c>
      <c r="K48" s="105">
        <f>IF('Marks Entry'!L48="","",'Marks Entry'!L48)</f>
        <v>20</v>
      </c>
      <c r="L48" s="105">
        <f>IF(AND('Marks Entry'!M48="",'Marks Entry'!N48=""),"",SUM('Marks Entry'!M48:N48))</f>
        <v>15</v>
      </c>
      <c r="M48" s="105">
        <f>IF(AND('Marks Entry'!O48="",'Marks Entry'!P48=""),"",SUM('Marks Entry'!O48:P48))</f>
        <v>86</v>
      </c>
      <c r="N48" s="105">
        <f t="shared" si="70"/>
        <v>131</v>
      </c>
      <c r="O48" s="105" t="str">
        <f t="shared" si="33"/>
        <v/>
      </c>
      <c r="P48" s="105" t="str">
        <f t="shared" si="34"/>
        <v/>
      </c>
      <c r="Q48" s="105">
        <f>IF('Marks Entry'!R48="","",'Marks Entry'!R48)</f>
        <v>10</v>
      </c>
      <c r="R48" s="105">
        <f>IF('Marks Entry'!S48="","",'Marks Entry'!S48)</f>
        <v>10</v>
      </c>
      <c r="S48" s="105">
        <f>IF(AND('Marks Entry'!T48="",'Marks Entry'!U48=""),"",SUM('Marks Entry'!T48:U48))</f>
        <v>40</v>
      </c>
      <c r="T48" s="105">
        <f>IF(AND('Marks Entry'!V48="",'Marks Entry'!W48=""),"",SUM('Marks Entry'!V48:W48))</f>
        <v>77</v>
      </c>
      <c r="U48" s="105">
        <f t="shared" si="35"/>
        <v>137</v>
      </c>
      <c r="V48" s="105" t="str">
        <f t="shared" si="36"/>
        <v/>
      </c>
      <c r="W48" s="105" t="str">
        <f t="shared" si="37"/>
        <v/>
      </c>
      <c r="X48" s="47" t="str">
        <f>IF(B48="","",IF('Marks Entry'!Y48="",'Marks Entry'!$Y$4,'Marks Entry'!Y48))</f>
        <v/>
      </c>
      <c r="Y48" s="105">
        <f>IF('Marks Entry'!Z48="","",'Marks Entry'!Z48)</f>
        <v>10</v>
      </c>
      <c r="Z48" s="105">
        <f>IF('Marks Entry'!AA48="","",'Marks Entry'!AA48)</f>
        <v>10</v>
      </c>
      <c r="AA48" s="105">
        <f>IF(AND('Marks Entry'!AB48="",'Marks Entry'!AC48=""),"",SUM('Marks Entry'!AB48:AC48))</f>
        <v>40</v>
      </c>
      <c r="AB48" s="105" t="str">
        <f>IF('Marks Entry'!AD48="","",'Marks Entry'!AD48)</f>
        <v/>
      </c>
      <c r="AC48" s="105">
        <f t="shared" si="38"/>
        <v>40</v>
      </c>
      <c r="AD48" s="105">
        <f>IF(AND('Marks Entry'!AE48="",'Marks Entry'!AF48=""),"",SUM('Marks Entry'!AE48:AF48))</f>
        <v>41</v>
      </c>
      <c r="AE48" s="105" t="str">
        <f>IF('Marks Entry'!AG48="","",'Marks Entry'!AG48)</f>
        <v/>
      </c>
      <c r="AF48" s="105">
        <f t="shared" si="39"/>
        <v>41</v>
      </c>
      <c r="AG48" s="105">
        <f t="shared" si="40"/>
        <v>101</v>
      </c>
      <c r="AH48" s="105" t="str">
        <f t="shared" si="41"/>
        <v/>
      </c>
      <c r="AI48" s="105" t="str">
        <f t="shared" si="42"/>
        <v/>
      </c>
      <c r="AJ48" s="47" t="str">
        <f>IF(B48="","",IF('Marks Entry'!AI48="",'Marks Entry'!$AI$4,'Marks Entry'!AI48))</f>
        <v/>
      </c>
      <c r="AK48" s="105">
        <f>IF('Marks Entry'!AJ48="","",'Marks Entry'!AJ48)</f>
        <v>10</v>
      </c>
      <c r="AL48" s="105">
        <f>IF('Marks Entry'!AK48="","",'Marks Entry'!AK48)</f>
        <v>10</v>
      </c>
      <c r="AM48" s="105">
        <f>IF(AND('Marks Entry'!AL48="",'Marks Entry'!AM48=""),"",SUM('Marks Entry'!AL48:AM48))</f>
        <v>40</v>
      </c>
      <c r="AN48" s="105" t="str">
        <f>IF('Marks Entry'!AN48="","",'Marks Entry'!AN48)</f>
        <v/>
      </c>
      <c r="AO48" s="105">
        <f t="shared" si="43"/>
        <v>40</v>
      </c>
      <c r="AP48" s="105">
        <f>IF(AND('Marks Entry'!AO48="",'Marks Entry'!AP48=""),"",SUM('Marks Entry'!AO48:AP48))</f>
        <v>54</v>
      </c>
      <c r="AQ48" s="105" t="str">
        <f>IF('Marks Entry'!AQ48="","",'Marks Entry'!AQ48)</f>
        <v/>
      </c>
      <c r="AR48" s="105">
        <f t="shared" si="44"/>
        <v>54</v>
      </c>
      <c r="AS48" s="105">
        <f t="shared" si="45"/>
        <v>114</v>
      </c>
      <c r="AT48" s="105" t="str">
        <f t="shared" si="46"/>
        <v/>
      </c>
      <c r="AU48" s="105" t="str">
        <f t="shared" si="47"/>
        <v/>
      </c>
      <c r="AV48" s="47" t="str">
        <f>IF(B48="","",IF('Marks Entry'!AS48="",'Marks Entry'!$AS$4,'Marks Entry'!AS48))</f>
        <v/>
      </c>
      <c r="AW48" s="105">
        <f>IF('Marks Entry'!AT48="","",'Marks Entry'!AT48)</f>
        <v>10</v>
      </c>
      <c r="AX48" s="105">
        <f>IF('Marks Entry'!AU48="","",'Marks Entry'!AU48)</f>
        <v>10</v>
      </c>
      <c r="AY48" s="105">
        <f>IF(AND('Marks Entry'!AV48="",'Marks Entry'!AW48=""),"",SUM('Marks Entry'!AV48:AW48))</f>
        <v>16</v>
      </c>
      <c r="AZ48" s="105">
        <f>IF('Marks Entry'!AX48="","",'Marks Entry'!AX48)</f>
        <v>10</v>
      </c>
      <c r="BA48" s="105">
        <f t="shared" si="48"/>
        <v>26</v>
      </c>
      <c r="BB48" s="105">
        <f>IF(AND('Marks Entry'!AY48="",'Marks Entry'!AZ48=""),"",SUM('Marks Entry'!AY48:AZ48))</f>
        <v>43</v>
      </c>
      <c r="BC48" s="105">
        <f>IF('Marks Entry'!BA48="","",'Marks Entry'!BA48)</f>
        <v>15</v>
      </c>
      <c r="BD48" s="105">
        <f t="shared" si="49"/>
        <v>58</v>
      </c>
      <c r="BE48" s="105">
        <f t="shared" si="50"/>
        <v>104</v>
      </c>
      <c r="BF48" s="105" t="str">
        <f t="shared" si="51"/>
        <v/>
      </c>
      <c r="BG48" s="105" t="str">
        <f t="shared" si="52"/>
        <v/>
      </c>
      <c r="BH48" s="105" t="str">
        <f t="shared" si="53"/>
        <v/>
      </c>
      <c r="BI48" s="50" t="str">
        <f t="shared" si="71"/>
        <v/>
      </c>
      <c r="BJ48" s="47" t="str">
        <f t="shared" si="72"/>
        <v/>
      </c>
      <c r="BK48" s="105" t="str">
        <f t="shared" si="54"/>
        <v/>
      </c>
      <c r="BL48" s="105" t="str">
        <f t="shared" si="55"/>
        <v/>
      </c>
      <c r="BM48" s="105" t="str">
        <f>IF(OR(B48="",'Marks Entry'!BY48=""),"",'Marks Entry'!BY48)</f>
        <v/>
      </c>
      <c r="BN48" s="105" t="str">
        <f>IF(OR(B48="",'Marks Entry'!BZ48=""),"",'Marks Entry'!BZ48)</f>
        <v/>
      </c>
      <c r="BO48" s="105">
        <f>IF('Marks Entry'!BC48="","",'Marks Entry'!BC48)</f>
        <v>15</v>
      </c>
      <c r="BP48" s="105">
        <f>IF('Marks Entry'!BD48="","",'Marks Entry'!BD48)</f>
        <v>15</v>
      </c>
      <c r="BQ48" s="105">
        <f>IF(AND('Marks Entry'!BE48="",'Marks Entry'!BF48=""),"",SUM('Marks Entry'!BE48:BF48))</f>
        <v>25</v>
      </c>
      <c r="BR48" s="105">
        <f>IF(AND('Marks Entry'!BG48="",'Marks Entry'!BH48=""),"",SUM('Marks Entry'!BG48:BH48))</f>
        <v>82</v>
      </c>
      <c r="BS48" s="105">
        <f t="shared" si="56"/>
        <v>137</v>
      </c>
      <c r="BT48" s="105" t="str">
        <f t="shared" si="57"/>
        <v/>
      </c>
      <c r="BU48" s="105" t="str">
        <f t="shared" si="58"/>
        <v/>
      </c>
      <c r="BV48" s="105">
        <f>IF('Marks Entry'!BJ48="","",'Marks Entry'!BJ48)</f>
        <v>15</v>
      </c>
      <c r="BW48" s="105">
        <f>IF('Marks Entry'!BK48="","",'Marks Entry'!BK48)</f>
        <v>15</v>
      </c>
      <c r="BX48" s="105">
        <f>IF(AND('Marks Entry'!BL48="",'Marks Entry'!BM48=""),"",SUM('Marks Entry'!BL48:BM48))</f>
        <v>25</v>
      </c>
      <c r="BY48" s="105">
        <f>IF(AND('Marks Entry'!BN48="",'Marks Entry'!BO48=""),"",SUM('Marks Entry'!BN48:BO48))</f>
        <v>82</v>
      </c>
      <c r="BZ48" s="105">
        <f t="shared" si="59"/>
        <v>137</v>
      </c>
      <c r="CA48" s="105" t="str">
        <f t="shared" si="60"/>
        <v/>
      </c>
      <c r="CB48" s="105" t="str">
        <f t="shared" si="61"/>
        <v/>
      </c>
      <c r="CC48" s="105" t="str">
        <f>IF('Marks Entry'!BQ48="","",'Marks Entry'!BQ48)</f>
        <v/>
      </c>
      <c r="CD48" s="105" t="str">
        <f>IF('Marks Entry'!BR48="","",'Marks Entry'!BR48)</f>
        <v/>
      </c>
      <c r="CE48" s="105" t="str">
        <f>IF(AND('Marks Entry'!BS48="",'Marks Entry'!BT48=""),"",SUM('Marks Entry'!BS48:BT48))</f>
        <v/>
      </c>
      <c r="CF48" s="105" t="str">
        <f>IF(AND('Marks Entry'!BU48="",'Marks Entry'!BV48=""),"",SUM('Marks Entry'!BU48:BV48))</f>
        <v/>
      </c>
      <c r="CG48" s="105" t="str">
        <f t="shared" si="62"/>
        <v/>
      </c>
      <c r="CH48" s="105" t="str">
        <f t="shared" si="63"/>
        <v/>
      </c>
      <c r="CI48" s="105" t="str">
        <f t="shared" si="64"/>
        <v/>
      </c>
      <c r="CJ48" s="81"/>
      <c r="CK48" s="50" t="str">
        <f t="shared" si="73"/>
        <v/>
      </c>
      <c r="CM48" s="105" t="str">
        <f t="shared" si="74"/>
        <v/>
      </c>
      <c r="CN48" s="105" t="str">
        <f t="shared" si="75"/>
        <v/>
      </c>
      <c r="CO48" s="105" t="str">
        <f t="shared" si="76"/>
        <v/>
      </c>
      <c r="CP48" s="105" t="str">
        <f t="shared" si="77"/>
        <v/>
      </c>
      <c r="CQ48" s="105" t="str">
        <f t="shared" si="78"/>
        <v/>
      </c>
      <c r="CS48" s="105">
        <f t="shared" si="79"/>
        <v>0</v>
      </c>
      <c r="CT48" s="105">
        <f t="shared" si="80"/>
        <v>0</v>
      </c>
      <c r="CU48" s="105">
        <f t="shared" si="81"/>
        <v>0</v>
      </c>
      <c r="CV48" s="105">
        <f t="shared" si="82"/>
        <v>0</v>
      </c>
      <c r="CW48" s="81"/>
      <c r="CX48" s="105" t="str">
        <f t="shared" si="83"/>
        <v/>
      </c>
      <c r="CY48" s="105" t="str">
        <f t="shared" si="84"/>
        <v/>
      </c>
      <c r="CZ48" s="105" t="str">
        <f t="shared" si="85"/>
        <v/>
      </c>
      <c r="DA48" s="105" t="str">
        <f t="shared" si="86"/>
        <v/>
      </c>
      <c r="DB48" s="105" t="str">
        <f t="shared" si="87"/>
        <v/>
      </c>
      <c r="DD48" s="105" t="str">
        <f t="shared" si="88"/>
        <v/>
      </c>
      <c r="DE48" s="105" t="str">
        <f t="shared" si="89"/>
        <v/>
      </c>
      <c r="DF48" s="105" t="str">
        <f t="shared" si="90"/>
        <v/>
      </c>
      <c r="DG48" s="105" t="str">
        <f t="shared" si="91"/>
        <v/>
      </c>
      <c r="DH48" s="105" t="str">
        <f t="shared" si="92"/>
        <v/>
      </c>
      <c r="DI48" s="105" t="str">
        <f t="shared" si="93"/>
        <v/>
      </c>
      <c r="DJ48" s="105" t="str">
        <f t="shared" si="94"/>
        <v/>
      </c>
      <c r="DK48" s="105" t="str">
        <f t="shared" si="95"/>
        <v/>
      </c>
      <c r="DL48" s="105" t="str">
        <f t="shared" si="96"/>
        <v/>
      </c>
      <c r="DM48" s="105" t="str">
        <f t="shared" si="97"/>
        <v/>
      </c>
      <c r="DN48" s="105" t="str">
        <f t="shared" si="98"/>
        <v/>
      </c>
      <c r="DO48" s="105" t="str">
        <f t="shared" si="99"/>
        <v/>
      </c>
      <c r="DP48" s="105" t="str">
        <f t="shared" si="100"/>
        <v/>
      </c>
      <c r="DR48" s="118" t="str">
        <f t="shared" si="65"/>
        <v xml:space="preserve">    </v>
      </c>
      <c r="DS48" s="75"/>
      <c r="DT48" s="119" t="str">
        <f t="shared" si="66"/>
        <v xml:space="preserve">    </v>
      </c>
      <c r="DU48" s="136"/>
      <c r="DV48" s="119" t="str">
        <f t="shared" si="67"/>
        <v xml:space="preserve">    </v>
      </c>
      <c r="DW48" s="75"/>
      <c r="DX48" s="119" t="str">
        <f t="shared" si="68"/>
        <v xml:space="preserve">     </v>
      </c>
      <c r="DY48" s="75"/>
      <c r="DZ48" s="119" t="str">
        <f t="shared" si="69"/>
        <v xml:space="preserve">    </v>
      </c>
    </row>
    <row r="49" spans="1:130" ht="30" customHeight="1" x14ac:dyDescent="0.25">
      <c r="A49" s="105" t="str">
        <f>IF('Marks Entry'!A49="","",'Marks Entry'!A49)</f>
        <v/>
      </c>
      <c r="B49" s="105" t="str">
        <f>IF('Marks Entry'!B49="","",'Marks Entry'!B49)</f>
        <v/>
      </c>
      <c r="C49" s="105" t="str">
        <f>IF('Marks Entry'!C49="","",'Marks Entry'!C49)</f>
        <v/>
      </c>
      <c r="D49" s="48" t="str">
        <f>IF('Marks Entry'!D49="","",'Marks Entry'!D49)</f>
        <v/>
      </c>
      <c r="E49" s="48" t="str">
        <f>IF('Marks Entry'!E49="","",'Marks Entry'!E49)</f>
        <v/>
      </c>
      <c r="F49" s="48" t="str">
        <f>IF('Marks Entry'!F49="","",'Marks Entry'!F49)</f>
        <v/>
      </c>
      <c r="G49" s="105" t="str">
        <f>IF('Marks Entry'!G49="","",'Marks Entry'!G49)</f>
        <v/>
      </c>
      <c r="H49" s="49" t="str">
        <f>IF('Marks Entry'!H49="","",'Marks Entry'!H49)</f>
        <v/>
      </c>
      <c r="I49" s="105" t="str">
        <f>IF('Marks Entry'!I49="","",'Marks Entry'!I49)</f>
        <v/>
      </c>
      <c r="J49" s="105">
        <f>IF('Marks Entry'!K49="","",'Marks Entry'!K49)</f>
        <v>10</v>
      </c>
      <c r="K49" s="105">
        <f>IF('Marks Entry'!L49="","",'Marks Entry'!L49)</f>
        <v>10</v>
      </c>
      <c r="L49" s="105">
        <f>IF(AND('Marks Entry'!M49="",'Marks Entry'!N49=""),"",SUM('Marks Entry'!M49:N49))</f>
        <v>40</v>
      </c>
      <c r="M49" s="105">
        <f>IF(AND('Marks Entry'!O49="",'Marks Entry'!P49=""),"",SUM('Marks Entry'!O49:P49))</f>
        <v>87</v>
      </c>
      <c r="N49" s="105">
        <f t="shared" si="70"/>
        <v>147</v>
      </c>
      <c r="O49" s="105" t="str">
        <f t="shared" si="33"/>
        <v/>
      </c>
      <c r="P49" s="105" t="str">
        <f t="shared" si="34"/>
        <v/>
      </c>
      <c r="Q49" s="105">
        <f>IF('Marks Entry'!R49="","",'Marks Entry'!R49)</f>
        <v>15</v>
      </c>
      <c r="R49" s="105">
        <f>IF('Marks Entry'!S49="","",'Marks Entry'!S49)</f>
        <v>15</v>
      </c>
      <c r="S49" s="105">
        <f>IF(AND('Marks Entry'!T49="",'Marks Entry'!U49=""),"",SUM('Marks Entry'!T49:U49))</f>
        <v>40</v>
      </c>
      <c r="T49" s="105">
        <f>IF(AND('Marks Entry'!V49="",'Marks Entry'!W49=""),"",SUM('Marks Entry'!V49:W49))</f>
        <v>78</v>
      </c>
      <c r="U49" s="105">
        <f t="shared" si="35"/>
        <v>148</v>
      </c>
      <c r="V49" s="105" t="str">
        <f t="shared" si="36"/>
        <v/>
      </c>
      <c r="W49" s="105" t="str">
        <f t="shared" si="37"/>
        <v/>
      </c>
      <c r="X49" s="47" t="str">
        <f>IF(B49="","",IF('Marks Entry'!Y49="",'Marks Entry'!$Y$4,'Marks Entry'!Y49))</f>
        <v/>
      </c>
      <c r="Y49" s="105">
        <f>IF('Marks Entry'!Z49="","",'Marks Entry'!Z49)</f>
        <v>15</v>
      </c>
      <c r="Z49" s="105">
        <f>IF('Marks Entry'!AA49="","",'Marks Entry'!AA49)</f>
        <v>15</v>
      </c>
      <c r="AA49" s="105">
        <f>IF(AND('Marks Entry'!AB49="",'Marks Entry'!AC49=""),"",SUM('Marks Entry'!AB49:AC49))</f>
        <v>40</v>
      </c>
      <c r="AB49" s="105" t="str">
        <f>IF('Marks Entry'!AD49="","",'Marks Entry'!AD49)</f>
        <v/>
      </c>
      <c r="AC49" s="105">
        <f t="shared" si="38"/>
        <v>40</v>
      </c>
      <c r="AD49" s="105">
        <f>IF(AND('Marks Entry'!AE49="",'Marks Entry'!AF49=""),"",SUM('Marks Entry'!AE49:AF49))</f>
        <v>71</v>
      </c>
      <c r="AE49" s="105" t="str">
        <f>IF('Marks Entry'!AG49="","",'Marks Entry'!AG49)</f>
        <v/>
      </c>
      <c r="AF49" s="105">
        <f t="shared" si="39"/>
        <v>71</v>
      </c>
      <c r="AG49" s="105">
        <f t="shared" si="40"/>
        <v>141</v>
      </c>
      <c r="AH49" s="105" t="str">
        <f t="shared" si="41"/>
        <v/>
      </c>
      <c r="AI49" s="105" t="str">
        <f t="shared" si="42"/>
        <v/>
      </c>
      <c r="AJ49" s="47" t="str">
        <f>IF(B49="","",IF('Marks Entry'!AI49="",'Marks Entry'!$AI$4,'Marks Entry'!AI49))</f>
        <v/>
      </c>
      <c r="AK49" s="105">
        <f>IF('Marks Entry'!AJ49="","",'Marks Entry'!AJ49)</f>
        <v>15</v>
      </c>
      <c r="AL49" s="105">
        <f>IF('Marks Entry'!AK49="","",'Marks Entry'!AK49)</f>
        <v>15</v>
      </c>
      <c r="AM49" s="105">
        <f>IF(AND('Marks Entry'!AL49="",'Marks Entry'!AM49=""),"",SUM('Marks Entry'!AL49:AM49))</f>
        <v>40</v>
      </c>
      <c r="AN49" s="105" t="str">
        <f>IF('Marks Entry'!AN49="","",'Marks Entry'!AN49)</f>
        <v/>
      </c>
      <c r="AO49" s="105">
        <f t="shared" si="43"/>
        <v>40</v>
      </c>
      <c r="AP49" s="105">
        <f>IF(AND('Marks Entry'!AO49="",'Marks Entry'!AP49=""),"",SUM('Marks Entry'!AO49:AP49))</f>
        <v>75</v>
      </c>
      <c r="AQ49" s="105" t="str">
        <f>IF('Marks Entry'!AQ49="","",'Marks Entry'!AQ49)</f>
        <v/>
      </c>
      <c r="AR49" s="105">
        <f t="shared" si="44"/>
        <v>75</v>
      </c>
      <c r="AS49" s="105">
        <f t="shared" si="45"/>
        <v>145</v>
      </c>
      <c r="AT49" s="105" t="str">
        <f t="shared" si="46"/>
        <v/>
      </c>
      <c r="AU49" s="105" t="str">
        <f t="shared" si="47"/>
        <v/>
      </c>
      <c r="AV49" s="47" t="str">
        <f>IF(B49="","",IF('Marks Entry'!AS49="",'Marks Entry'!$AS$4,'Marks Entry'!AS49))</f>
        <v/>
      </c>
      <c r="AW49" s="105">
        <f>IF('Marks Entry'!AT49="","",'Marks Entry'!AT49)</f>
        <v>15</v>
      </c>
      <c r="AX49" s="105">
        <f>IF('Marks Entry'!AU49="","",'Marks Entry'!AU49)</f>
        <v>15</v>
      </c>
      <c r="AY49" s="105">
        <f>IF(AND('Marks Entry'!AV49="",'Marks Entry'!AW49=""),"",SUM('Marks Entry'!AV49:AW49))</f>
        <v>26</v>
      </c>
      <c r="AZ49" s="105">
        <f>IF('Marks Entry'!AX49="","",'Marks Entry'!AX49)</f>
        <v>11</v>
      </c>
      <c r="BA49" s="105">
        <f t="shared" si="48"/>
        <v>37</v>
      </c>
      <c r="BB49" s="105">
        <f>IF(AND('Marks Entry'!AY49="",'Marks Entry'!AZ49=""),"",SUM('Marks Entry'!AY49:AZ49))</f>
        <v>42</v>
      </c>
      <c r="BC49" s="105">
        <f>IF('Marks Entry'!BA49="","",'Marks Entry'!BA49)</f>
        <v>16</v>
      </c>
      <c r="BD49" s="105">
        <f t="shared" si="49"/>
        <v>58</v>
      </c>
      <c r="BE49" s="105">
        <f t="shared" si="50"/>
        <v>125</v>
      </c>
      <c r="BF49" s="105" t="str">
        <f t="shared" si="51"/>
        <v/>
      </c>
      <c r="BG49" s="105" t="str">
        <f t="shared" si="52"/>
        <v/>
      </c>
      <c r="BH49" s="105" t="str">
        <f t="shared" si="53"/>
        <v/>
      </c>
      <c r="BI49" s="50" t="str">
        <f t="shared" si="71"/>
        <v/>
      </c>
      <c r="BJ49" s="47" t="str">
        <f t="shared" si="72"/>
        <v/>
      </c>
      <c r="BK49" s="105" t="str">
        <f t="shared" si="54"/>
        <v/>
      </c>
      <c r="BL49" s="105" t="str">
        <f t="shared" si="55"/>
        <v/>
      </c>
      <c r="BM49" s="105" t="str">
        <f>IF(OR(B49="",'Marks Entry'!BY49=""),"",'Marks Entry'!BY49)</f>
        <v/>
      </c>
      <c r="BN49" s="105" t="str">
        <f>IF(OR(B49="",'Marks Entry'!BZ49=""),"",'Marks Entry'!BZ49)</f>
        <v/>
      </c>
      <c r="BO49" s="105">
        <f>IF('Marks Entry'!BC49="","",'Marks Entry'!BC49)</f>
        <v>15</v>
      </c>
      <c r="BP49" s="105">
        <f>IF('Marks Entry'!BD49="","",'Marks Entry'!BD49)</f>
        <v>15</v>
      </c>
      <c r="BQ49" s="105">
        <f>IF(AND('Marks Entry'!BE49="",'Marks Entry'!BF49=""),"",SUM('Marks Entry'!BE49:BF49))</f>
        <v>25</v>
      </c>
      <c r="BR49" s="105">
        <f>IF(AND('Marks Entry'!BG49="",'Marks Entry'!BH49=""),"",SUM('Marks Entry'!BG49:BH49))</f>
        <v>82</v>
      </c>
      <c r="BS49" s="105">
        <f t="shared" si="56"/>
        <v>137</v>
      </c>
      <c r="BT49" s="105" t="str">
        <f t="shared" si="57"/>
        <v/>
      </c>
      <c r="BU49" s="105" t="str">
        <f t="shared" si="58"/>
        <v/>
      </c>
      <c r="BV49" s="105">
        <f>IF('Marks Entry'!BJ49="","",'Marks Entry'!BJ49)</f>
        <v>15</v>
      </c>
      <c r="BW49" s="105">
        <f>IF('Marks Entry'!BK49="","",'Marks Entry'!BK49)</f>
        <v>15</v>
      </c>
      <c r="BX49" s="105">
        <f>IF(AND('Marks Entry'!BL49="",'Marks Entry'!BM49=""),"",SUM('Marks Entry'!BL49:BM49))</f>
        <v>25</v>
      </c>
      <c r="BY49" s="105">
        <f>IF(AND('Marks Entry'!BN49="",'Marks Entry'!BO49=""),"",SUM('Marks Entry'!BN49:BO49))</f>
        <v>82</v>
      </c>
      <c r="BZ49" s="105">
        <f t="shared" si="59"/>
        <v>137</v>
      </c>
      <c r="CA49" s="105" t="str">
        <f t="shared" si="60"/>
        <v/>
      </c>
      <c r="CB49" s="105" t="str">
        <f t="shared" si="61"/>
        <v/>
      </c>
      <c r="CC49" s="105" t="str">
        <f>IF('Marks Entry'!BQ49="","",'Marks Entry'!BQ49)</f>
        <v/>
      </c>
      <c r="CD49" s="105" t="str">
        <f>IF('Marks Entry'!BR49="","",'Marks Entry'!BR49)</f>
        <v/>
      </c>
      <c r="CE49" s="105" t="str">
        <f>IF(AND('Marks Entry'!BS49="",'Marks Entry'!BT49=""),"",SUM('Marks Entry'!BS49:BT49))</f>
        <v/>
      </c>
      <c r="CF49" s="105" t="str">
        <f>IF(AND('Marks Entry'!BU49="",'Marks Entry'!BV49=""),"",SUM('Marks Entry'!BU49:BV49))</f>
        <v/>
      </c>
      <c r="CG49" s="105" t="str">
        <f t="shared" si="62"/>
        <v/>
      </c>
      <c r="CH49" s="105" t="str">
        <f t="shared" si="63"/>
        <v/>
      </c>
      <c r="CI49" s="105" t="str">
        <f t="shared" si="64"/>
        <v/>
      </c>
      <c r="CJ49" s="81"/>
      <c r="CK49" s="50" t="str">
        <f t="shared" si="73"/>
        <v/>
      </c>
      <c r="CM49" s="105" t="str">
        <f t="shared" si="74"/>
        <v/>
      </c>
      <c r="CN49" s="105" t="str">
        <f t="shared" si="75"/>
        <v/>
      </c>
      <c r="CO49" s="105" t="str">
        <f t="shared" si="76"/>
        <v/>
      </c>
      <c r="CP49" s="105" t="str">
        <f t="shared" si="77"/>
        <v/>
      </c>
      <c r="CQ49" s="105" t="str">
        <f t="shared" si="78"/>
        <v/>
      </c>
      <c r="CS49" s="105">
        <f t="shared" si="79"/>
        <v>0</v>
      </c>
      <c r="CT49" s="105">
        <f t="shared" si="80"/>
        <v>0</v>
      </c>
      <c r="CU49" s="105">
        <f t="shared" si="81"/>
        <v>0</v>
      </c>
      <c r="CV49" s="105">
        <f t="shared" si="82"/>
        <v>0</v>
      </c>
      <c r="CW49" s="81"/>
      <c r="CX49" s="105" t="str">
        <f t="shared" si="83"/>
        <v/>
      </c>
      <c r="CY49" s="105" t="str">
        <f t="shared" si="84"/>
        <v/>
      </c>
      <c r="CZ49" s="105" t="str">
        <f t="shared" si="85"/>
        <v/>
      </c>
      <c r="DA49" s="105" t="str">
        <f t="shared" si="86"/>
        <v/>
      </c>
      <c r="DB49" s="105" t="str">
        <f t="shared" si="87"/>
        <v/>
      </c>
      <c r="DD49" s="105" t="str">
        <f t="shared" si="88"/>
        <v/>
      </c>
      <c r="DE49" s="105" t="str">
        <f t="shared" si="89"/>
        <v/>
      </c>
      <c r="DF49" s="105" t="str">
        <f t="shared" si="90"/>
        <v/>
      </c>
      <c r="DG49" s="105" t="str">
        <f t="shared" si="91"/>
        <v/>
      </c>
      <c r="DH49" s="105" t="str">
        <f t="shared" si="92"/>
        <v/>
      </c>
      <c r="DI49" s="105" t="str">
        <f t="shared" si="93"/>
        <v/>
      </c>
      <c r="DJ49" s="105" t="str">
        <f t="shared" si="94"/>
        <v/>
      </c>
      <c r="DK49" s="105" t="str">
        <f t="shared" si="95"/>
        <v/>
      </c>
      <c r="DL49" s="105" t="str">
        <f t="shared" si="96"/>
        <v/>
      </c>
      <c r="DM49" s="105" t="str">
        <f t="shared" si="97"/>
        <v/>
      </c>
      <c r="DN49" s="105" t="str">
        <f t="shared" si="98"/>
        <v/>
      </c>
      <c r="DO49" s="105" t="str">
        <f t="shared" si="99"/>
        <v/>
      </c>
      <c r="DP49" s="105" t="str">
        <f t="shared" si="100"/>
        <v/>
      </c>
      <c r="DR49" s="118" t="str">
        <f t="shared" si="65"/>
        <v xml:space="preserve">    </v>
      </c>
      <c r="DS49" s="75"/>
      <c r="DT49" s="119" t="str">
        <f t="shared" si="66"/>
        <v xml:space="preserve">    </v>
      </c>
      <c r="DU49" s="136"/>
      <c r="DV49" s="119" t="str">
        <f t="shared" si="67"/>
        <v xml:space="preserve">    </v>
      </c>
      <c r="DW49" s="75"/>
      <c r="DX49" s="119" t="str">
        <f t="shared" si="68"/>
        <v xml:space="preserve">     </v>
      </c>
      <c r="DY49" s="75"/>
      <c r="DZ49" s="119" t="str">
        <f t="shared" si="69"/>
        <v xml:space="preserve">    </v>
      </c>
    </row>
    <row r="50" spans="1:130" ht="30" customHeight="1" x14ac:dyDescent="0.25">
      <c r="A50" s="105" t="str">
        <f>IF('Marks Entry'!A50="","",'Marks Entry'!A50)</f>
        <v/>
      </c>
      <c r="B50" s="105" t="str">
        <f>IF('Marks Entry'!B50="","",'Marks Entry'!B50)</f>
        <v/>
      </c>
      <c r="C50" s="105" t="str">
        <f>IF('Marks Entry'!C50="","",'Marks Entry'!C50)</f>
        <v/>
      </c>
      <c r="D50" s="48" t="str">
        <f>IF('Marks Entry'!D50="","",'Marks Entry'!D50)</f>
        <v/>
      </c>
      <c r="E50" s="48" t="str">
        <f>IF('Marks Entry'!E50="","",'Marks Entry'!E50)</f>
        <v/>
      </c>
      <c r="F50" s="48" t="str">
        <f>IF('Marks Entry'!F50="","",'Marks Entry'!F50)</f>
        <v/>
      </c>
      <c r="G50" s="105" t="str">
        <f>IF('Marks Entry'!G50="","",'Marks Entry'!G50)</f>
        <v/>
      </c>
      <c r="H50" s="49" t="str">
        <f>IF('Marks Entry'!H50="","",'Marks Entry'!H50)</f>
        <v/>
      </c>
      <c r="I50" s="105" t="str">
        <f>IF('Marks Entry'!I50="","",'Marks Entry'!I50)</f>
        <v/>
      </c>
      <c r="J50" s="105">
        <f>IF('Marks Entry'!K50="","",'Marks Entry'!K50)</f>
        <v>10</v>
      </c>
      <c r="K50" s="105">
        <f>IF('Marks Entry'!L50="","",'Marks Entry'!L50)</f>
        <v>10</v>
      </c>
      <c r="L50" s="105">
        <f>IF(AND('Marks Entry'!M50="",'Marks Entry'!N50=""),"",SUM('Marks Entry'!M50:N50))</f>
        <v>16</v>
      </c>
      <c r="M50" s="105">
        <f>IF(AND('Marks Entry'!O50="",'Marks Entry'!P50=""),"",SUM('Marks Entry'!O50:P50))</f>
        <v>88</v>
      </c>
      <c r="N50" s="105">
        <f t="shared" si="70"/>
        <v>124</v>
      </c>
      <c r="O50" s="105" t="str">
        <f t="shared" si="33"/>
        <v/>
      </c>
      <c r="P50" s="105" t="str">
        <f t="shared" si="34"/>
        <v/>
      </c>
      <c r="Q50" s="105">
        <f>IF('Marks Entry'!R50="","",'Marks Entry'!R50)</f>
        <v>5</v>
      </c>
      <c r="R50" s="105">
        <f>IF('Marks Entry'!S50="","",'Marks Entry'!S50)</f>
        <v>10</v>
      </c>
      <c r="S50" s="105">
        <f>IF(AND('Marks Entry'!T50="",'Marks Entry'!U50=""),"",SUM('Marks Entry'!T50:U50))</f>
        <v>16</v>
      </c>
      <c r="T50" s="105">
        <f>IF(AND('Marks Entry'!V50="",'Marks Entry'!W50=""),"",SUM('Marks Entry'!V50:W50))</f>
        <v>79</v>
      </c>
      <c r="U50" s="105">
        <f t="shared" si="35"/>
        <v>110</v>
      </c>
      <c r="V50" s="105" t="str">
        <f t="shared" si="36"/>
        <v/>
      </c>
      <c r="W50" s="105" t="str">
        <f t="shared" si="37"/>
        <v/>
      </c>
      <c r="X50" s="47" t="str">
        <f>IF(B50="","",IF('Marks Entry'!Y50="",'Marks Entry'!$Y$4,'Marks Entry'!Y50))</f>
        <v/>
      </c>
      <c r="Y50" s="105">
        <f>IF('Marks Entry'!Z50="","",'Marks Entry'!Z50)</f>
        <v>12</v>
      </c>
      <c r="Z50" s="105">
        <f>IF('Marks Entry'!AA50="","",'Marks Entry'!AA50)</f>
        <v>10</v>
      </c>
      <c r="AA50" s="105">
        <f>IF(AND('Marks Entry'!AB50="",'Marks Entry'!AC50=""),"",SUM('Marks Entry'!AB50:AC50))</f>
        <v>16</v>
      </c>
      <c r="AB50" s="105" t="str">
        <f>IF('Marks Entry'!AD50="","",'Marks Entry'!AD50)</f>
        <v/>
      </c>
      <c r="AC50" s="105">
        <f t="shared" si="38"/>
        <v>16</v>
      </c>
      <c r="AD50" s="105">
        <f>IF(AND('Marks Entry'!AE50="",'Marks Entry'!AF50=""),"",SUM('Marks Entry'!AE50:AF50))</f>
        <v>51</v>
      </c>
      <c r="AE50" s="105" t="str">
        <f>IF('Marks Entry'!AG50="","",'Marks Entry'!AG50)</f>
        <v/>
      </c>
      <c r="AF50" s="105">
        <f t="shared" si="39"/>
        <v>51</v>
      </c>
      <c r="AG50" s="105">
        <f t="shared" si="40"/>
        <v>89</v>
      </c>
      <c r="AH50" s="105" t="str">
        <f t="shared" si="41"/>
        <v/>
      </c>
      <c r="AI50" s="105" t="str">
        <f t="shared" si="42"/>
        <v/>
      </c>
      <c r="AJ50" s="47" t="str">
        <f>IF(B50="","",IF('Marks Entry'!AI50="",'Marks Entry'!$AI$4,'Marks Entry'!AI50))</f>
        <v/>
      </c>
      <c r="AK50" s="105">
        <f>IF('Marks Entry'!AJ50="","",'Marks Entry'!AJ50)</f>
        <v>6</v>
      </c>
      <c r="AL50" s="105">
        <f>IF('Marks Entry'!AK50="","",'Marks Entry'!AK50)</f>
        <v>10</v>
      </c>
      <c r="AM50" s="105">
        <f>IF(AND('Marks Entry'!AL50="",'Marks Entry'!AM50=""),"",SUM('Marks Entry'!AL50:AM50))</f>
        <v>16</v>
      </c>
      <c r="AN50" s="105" t="str">
        <f>IF('Marks Entry'!AN50="","",'Marks Entry'!AN50)</f>
        <v/>
      </c>
      <c r="AO50" s="105">
        <f t="shared" si="43"/>
        <v>16</v>
      </c>
      <c r="AP50" s="105">
        <f>IF(AND('Marks Entry'!AO50="",'Marks Entry'!AP50=""),"",SUM('Marks Entry'!AO50:AP50))</f>
        <v>50</v>
      </c>
      <c r="AQ50" s="105" t="str">
        <f>IF('Marks Entry'!AQ50="","",'Marks Entry'!AQ50)</f>
        <v/>
      </c>
      <c r="AR50" s="105">
        <f t="shared" si="44"/>
        <v>50</v>
      </c>
      <c r="AS50" s="105">
        <f t="shared" si="45"/>
        <v>82</v>
      </c>
      <c r="AT50" s="105" t="str">
        <f t="shared" si="46"/>
        <v/>
      </c>
      <c r="AU50" s="105" t="str">
        <f t="shared" si="47"/>
        <v/>
      </c>
      <c r="AV50" s="47" t="str">
        <f>IF(B50="","",IF('Marks Entry'!AS50="",'Marks Entry'!$AS$4,'Marks Entry'!AS50))</f>
        <v/>
      </c>
      <c r="AW50" s="105">
        <f>IF('Marks Entry'!AT50="","",'Marks Entry'!AT50)</f>
        <v>15</v>
      </c>
      <c r="AX50" s="105">
        <f>IF('Marks Entry'!AU50="","",'Marks Entry'!AU50)</f>
        <v>10</v>
      </c>
      <c r="AY50" s="105">
        <f>IF(AND('Marks Entry'!AV50="",'Marks Entry'!AW50=""),"",SUM('Marks Entry'!AV50:AW50))</f>
        <v>24</v>
      </c>
      <c r="AZ50" s="105">
        <f>IF('Marks Entry'!AX50="","",'Marks Entry'!AX50)</f>
        <v>10</v>
      </c>
      <c r="BA50" s="105">
        <f t="shared" si="48"/>
        <v>34</v>
      </c>
      <c r="BB50" s="105">
        <f>IF(AND('Marks Entry'!AY50="",'Marks Entry'!AZ50=""),"",SUM('Marks Entry'!AY50:AZ50))</f>
        <v>41</v>
      </c>
      <c r="BC50" s="105">
        <f>IF('Marks Entry'!BA50="","",'Marks Entry'!BA50)</f>
        <v>10</v>
      </c>
      <c r="BD50" s="105">
        <f t="shared" si="49"/>
        <v>51</v>
      </c>
      <c r="BE50" s="105">
        <f t="shared" si="50"/>
        <v>110</v>
      </c>
      <c r="BF50" s="105" t="str">
        <f t="shared" si="51"/>
        <v/>
      </c>
      <c r="BG50" s="105" t="str">
        <f t="shared" si="52"/>
        <v/>
      </c>
      <c r="BH50" s="105" t="str">
        <f t="shared" si="53"/>
        <v/>
      </c>
      <c r="BI50" s="50" t="str">
        <f t="shared" si="71"/>
        <v/>
      </c>
      <c r="BJ50" s="47" t="str">
        <f t="shared" si="72"/>
        <v/>
      </c>
      <c r="BK50" s="105" t="str">
        <f t="shared" si="54"/>
        <v/>
      </c>
      <c r="BL50" s="105" t="str">
        <f t="shared" si="55"/>
        <v/>
      </c>
      <c r="BM50" s="105" t="str">
        <f>IF(OR(B50="",'Marks Entry'!BY50=""),"",'Marks Entry'!BY50)</f>
        <v/>
      </c>
      <c r="BN50" s="105" t="str">
        <f>IF(OR(B50="",'Marks Entry'!BZ50=""),"",'Marks Entry'!BZ50)</f>
        <v/>
      </c>
      <c r="BO50" s="105">
        <f>IF('Marks Entry'!BC50="","",'Marks Entry'!BC50)</f>
        <v>15</v>
      </c>
      <c r="BP50" s="105">
        <f>IF('Marks Entry'!BD50="","",'Marks Entry'!BD50)</f>
        <v>15</v>
      </c>
      <c r="BQ50" s="105">
        <f>IF(AND('Marks Entry'!BE50="",'Marks Entry'!BF50=""),"",SUM('Marks Entry'!BE50:BF50))</f>
        <v>25</v>
      </c>
      <c r="BR50" s="105">
        <f>IF(AND('Marks Entry'!BG50="",'Marks Entry'!BH50=""),"",SUM('Marks Entry'!BG50:BH50))</f>
        <v>82</v>
      </c>
      <c r="BS50" s="105">
        <f t="shared" si="56"/>
        <v>137</v>
      </c>
      <c r="BT50" s="105" t="str">
        <f t="shared" si="57"/>
        <v/>
      </c>
      <c r="BU50" s="105" t="str">
        <f t="shared" si="58"/>
        <v/>
      </c>
      <c r="BV50" s="105">
        <f>IF('Marks Entry'!BJ50="","",'Marks Entry'!BJ50)</f>
        <v>15</v>
      </c>
      <c r="BW50" s="105">
        <f>IF('Marks Entry'!BK50="","",'Marks Entry'!BK50)</f>
        <v>15</v>
      </c>
      <c r="BX50" s="105">
        <f>IF(AND('Marks Entry'!BL50="",'Marks Entry'!BM50=""),"",SUM('Marks Entry'!BL50:BM50))</f>
        <v>25</v>
      </c>
      <c r="BY50" s="105">
        <f>IF(AND('Marks Entry'!BN50="",'Marks Entry'!BO50=""),"",SUM('Marks Entry'!BN50:BO50))</f>
        <v>82</v>
      </c>
      <c r="BZ50" s="105">
        <f t="shared" si="59"/>
        <v>137</v>
      </c>
      <c r="CA50" s="105" t="str">
        <f t="shared" si="60"/>
        <v/>
      </c>
      <c r="CB50" s="105" t="str">
        <f t="shared" si="61"/>
        <v/>
      </c>
      <c r="CC50" s="105" t="str">
        <f>IF('Marks Entry'!BQ50="","",'Marks Entry'!BQ50)</f>
        <v/>
      </c>
      <c r="CD50" s="105" t="str">
        <f>IF('Marks Entry'!BR50="","",'Marks Entry'!BR50)</f>
        <v/>
      </c>
      <c r="CE50" s="105" t="str">
        <f>IF(AND('Marks Entry'!BS50="",'Marks Entry'!BT50=""),"",SUM('Marks Entry'!BS50:BT50))</f>
        <v/>
      </c>
      <c r="CF50" s="105" t="str">
        <f>IF(AND('Marks Entry'!BU50="",'Marks Entry'!BV50=""),"",SUM('Marks Entry'!BU50:BV50))</f>
        <v/>
      </c>
      <c r="CG50" s="105" t="str">
        <f t="shared" si="62"/>
        <v/>
      </c>
      <c r="CH50" s="105" t="str">
        <f t="shared" si="63"/>
        <v/>
      </c>
      <c r="CI50" s="105" t="str">
        <f t="shared" si="64"/>
        <v/>
      </c>
      <c r="CJ50" s="81"/>
      <c r="CK50" s="50" t="str">
        <f t="shared" si="73"/>
        <v/>
      </c>
      <c r="CM50" s="105" t="str">
        <f t="shared" si="74"/>
        <v/>
      </c>
      <c r="CN50" s="105" t="str">
        <f t="shared" si="75"/>
        <v/>
      </c>
      <c r="CO50" s="105" t="str">
        <f t="shared" si="76"/>
        <v/>
      </c>
      <c r="CP50" s="105" t="str">
        <f t="shared" si="77"/>
        <v/>
      </c>
      <c r="CQ50" s="105" t="str">
        <f t="shared" si="78"/>
        <v/>
      </c>
      <c r="CS50" s="105">
        <f t="shared" si="79"/>
        <v>0</v>
      </c>
      <c r="CT50" s="105">
        <f t="shared" si="80"/>
        <v>0</v>
      </c>
      <c r="CU50" s="105">
        <f t="shared" si="81"/>
        <v>0</v>
      </c>
      <c r="CV50" s="105">
        <f t="shared" si="82"/>
        <v>0</v>
      </c>
      <c r="CW50" s="81"/>
      <c r="CX50" s="105" t="str">
        <f t="shared" si="83"/>
        <v/>
      </c>
      <c r="CY50" s="105" t="str">
        <f t="shared" si="84"/>
        <v/>
      </c>
      <c r="CZ50" s="105" t="str">
        <f t="shared" si="85"/>
        <v/>
      </c>
      <c r="DA50" s="105" t="str">
        <f t="shared" si="86"/>
        <v/>
      </c>
      <c r="DB50" s="105" t="str">
        <f t="shared" si="87"/>
        <v/>
      </c>
      <c r="DD50" s="105" t="str">
        <f t="shared" si="88"/>
        <v/>
      </c>
      <c r="DE50" s="105" t="str">
        <f t="shared" si="89"/>
        <v/>
      </c>
      <c r="DF50" s="105" t="str">
        <f t="shared" si="90"/>
        <v/>
      </c>
      <c r="DG50" s="105" t="str">
        <f t="shared" si="91"/>
        <v/>
      </c>
      <c r="DH50" s="105" t="str">
        <f t="shared" si="92"/>
        <v/>
      </c>
      <c r="DI50" s="105" t="str">
        <f t="shared" si="93"/>
        <v/>
      </c>
      <c r="DJ50" s="105" t="str">
        <f t="shared" si="94"/>
        <v/>
      </c>
      <c r="DK50" s="105" t="str">
        <f t="shared" si="95"/>
        <v/>
      </c>
      <c r="DL50" s="105" t="str">
        <f t="shared" si="96"/>
        <v/>
      </c>
      <c r="DM50" s="105" t="str">
        <f t="shared" si="97"/>
        <v/>
      </c>
      <c r="DN50" s="105" t="str">
        <f t="shared" si="98"/>
        <v/>
      </c>
      <c r="DO50" s="105" t="str">
        <f t="shared" si="99"/>
        <v/>
      </c>
      <c r="DP50" s="105" t="str">
        <f t="shared" si="100"/>
        <v/>
      </c>
      <c r="DR50" s="118" t="str">
        <f t="shared" si="65"/>
        <v xml:space="preserve">    </v>
      </c>
      <c r="DS50" s="75"/>
      <c r="DT50" s="119" t="str">
        <f t="shared" si="66"/>
        <v xml:space="preserve">    </v>
      </c>
      <c r="DU50" s="136"/>
      <c r="DV50" s="119" t="str">
        <f t="shared" si="67"/>
        <v xml:space="preserve">    </v>
      </c>
      <c r="DW50" s="75"/>
      <c r="DX50" s="119" t="str">
        <f t="shared" si="68"/>
        <v xml:space="preserve">     </v>
      </c>
      <c r="DY50" s="75"/>
      <c r="DZ50" s="119" t="str">
        <f t="shared" si="69"/>
        <v xml:space="preserve">    </v>
      </c>
    </row>
    <row r="51" spans="1:130" ht="30" customHeight="1" x14ac:dyDescent="0.25">
      <c r="A51" s="105" t="str">
        <f>IF('Marks Entry'!A51="","",'Marks Entry'!A51)</f>
        <v/>
      </c>
      <c r="B51" s="105" t="str">
        <f>IF('Marks Entry'!B51="","",'Marks Entry'!B51)</f>
        <v/>
      </c>
      <c r="C51" s="105" t="str">
        <f>IF('Marks Entry'!C51="","",'Marks Entry'!C51)</f>
        <v/>
      </c>
      <c r="D51" s="48" t="str">
        <f>IF('Marks Entry'!D51="","",'Marks Entry'!D51)</f>
        <v/>
      </c>
      <c r="E51" s="48" t="str">
        <f>IF('Marks Entry'!E51="","",'Marks Entry'!E51)</f>
        <v/>
      </c>
      <c r="F51" s="48" t="str">
        <f>IF('Marks Entry'!F51="","",'Marks Entry'!F51)</f>
        <v/>
      </c>
      <c r="G51" s="105" t="str">
        <f>IF('Marks Entry'!G51="","",'Marks Entry'!G51)</f>
        <v/>
      </c>
      <c r="H51" s="49" t="str">
        <f>IF('Marks Entry'!H51="","",'Marks Entry'!H51)</f>
        <v/>
      </c>
      <c r="I51" s="105" t="str">
        <f>IF('Marks Entry'!I51="","",'Marks Entry'!I51)</f>
        <v/>
      </c>
      <c r="J51" s="105">
        <f>IF('Marks Entry'!K51="","",'Marks Entry'!K51)</f>
        <v>15</v>
      </c>
      <c r="K51" s="105">
        <f>IF('Marks Entry'!L51="","",'Marks Entry'!L51)</f>
        <v>15</v>
      </c>
      <c r="L51" s="105">
        <f>IF(AND('Marks Entry'!M51="",'Marks Entry'!N51=""),"",SUM('Marks Entry'!M51:N51))</f>
        <v>30</v>
      </c>
      <c r="M51" s="105">
        <f>IF(AND('Marks Entry'!O51="",'Marks Entry'!P51=""),"",SUM('Marks Entry'!O51:P51))</f>
        <v>89</v>
      </c>
      <c r="N51" s="105">
        <f t="shared" si="70"/>
        <v>149</v>
      </c>
      <c r="O51" s="105" t="str">
        <f t="shared" si="33"/>
        <v/>
      </c>
      <c r="P51" s="105" t="str">
        <f t="shared" si="34"/>
        <v/>
      </c>
      <c r="Q51" s="105">
        <f>IF('Marks Entry'!R51="","",'Marks Entry'!R51)</f>
        <v>10</v>
      </c>
      <c r="R51" s="105">
        <f>IF('Marks Entry'!S51="","",'Marks Entry'!S51)</f>
        <v>10</v>
      </c>
      <c r="S51" s="105">
        <f>IF(AND('Marks Entry'!T51="",'Marks Entry'!U51=""),"",SUM('Marks Entry'!T51:U51))</f>
        <v>20</v>
      </c>
      <c r="T51" s="105">
        <f>IF(AND('Marks Entry'!V51="",'Marks Entry'!W51=""),"",SUM('Marks Entry'!V51:W51))</f>
        <v>80</v>
      </c>
      <c r="U51" s="105">
        <f t="shared" si="35"/>
        <v>120</v>
      </c>
      <c r="V51" s="105" t="str">
        <f t="shared" si="36"/>
        <v/>
      </c>
      <c r="W51" s="105" t="str">
        <f t="shared" si="37"/>
        <v/>
      </c>
      <c r="X51" s="47" t="str">
        <f>IF(B51="","",IF('Marks Entry'!Y51="",'Marks Entry'!$Y$4,'Marks Entry'!Y51))</f>
        <v/>
      </c>
      <c r="Y51" s="105">
        <f>IF('Marks Entry'!Z51="","",'Marks Entry'!Z51)</f>
        <v>10</v>
      </c>
      <c r="Z51" s="105">
        <f>IF('Marks Entry'!AA51="","",'Marks Entry'!AA51)</f>
        <v>10</v>
      </c>
      <c r="AA51" s="105">
        <f>IF(AND('Marks Entry'!AB51="",'Marks Entry'!AC51=""),"",SUM('Marks Entry'!AB51:AC51))</f>
        <v>40</v>
      </c>
      <c r="AB51" s="105" t="str">
        <f>IF('Marks Entry'!AD51="","",'Marks Entry'!AD51)</f>
        <v/>
      </c>
      <c r="AC51" s="105">
        <f t="shared" si="38"/>
        <v>40</v>
      </c>
      <c r="AD51" s="105">
        <f>IF(AND('Marks Entry'!AE51="",'Marks Entry'!AF51=""),"",SUM('Marks Entry'!AE51:AF51))</f>
        <v>41</v>
      </c>
      <c r="AE51" s="105" t="str">
        <f>IF('Marks Entry'!AG51="","",'Marks Entry'!AG51)</f>
        <v/>
      </c>
      <c r="AF51" s="105">
        <f t="shared" si="39"/>
        <v>41</v>
      </c>
      <c r="AG51" s="105">
        <f t="shared" si="40"/>
        <v>101</v>
      </c>
      <c r="AH51" s="105" t="str">
        <f t="shared" si="41"/>
        <v/>
      </c>
      <c r="AI51" s="105" t="str">
        <f t="shared" si="42"/>
        <v/>
      </c>
      <c r="AJ51" s="47" t="str">
        <f>IF(B51="","",IF('Marks Entry'!AI51="",'Marks Entry'!$AI$4,'Marks Entry'!AI51))</f>
        <v/>
      </c>
      <c r="AK51" s="105">
        <f>IF('Marks Entry'!AJ51="","",'Marks Entry'!AJ51)</f>
        <v>10</v>
      </c>
      <c r="AL51" s="105">
        <f>IF('Marks Entry'!AK51="","",'Marks Entry'!AK51)</f>
        <v>10</v>
      </c>
      <c r="AM51" s="105">
        <f>IF(AND('Marks Entry'!AL51="",'Marks Entry'!AM51=""),"",SUM('Marks Entry'!AL51:AM51))</f>
        <v>40</v>
      </c>
      <c r="AN51" s="105" t="str">
        <f>IF('Marks Entry'!AN51="","",'Marks Entry'!AN51)</f>
        <v/>
      </c>
      <c r="AO51" s="105">
        <f t="shared" si="43"/>
        <v>40</v>
      </c>
      <c r="AP51" s="105">
        <f>IF(AND('Marks Entry'!AO51="",'Marks Entry'!AP51=""),"",SUM('Marks Entry'!AO51:AP51))</f>
        <v>59</v>
      </c>
      <c r="AQ51" s="105" t="str">
        <f>IF('Marks Entry'!AQ51="","",'Marks Entry'!AQ51)</f>
        <v/>
      </c>
      <c r="AR51" s="105">
        <f t="shared" si="44"/>
        <v>59</v>
      </c>
      <c r="AS51" s="105">
        <f t="shared" si="45"/>
        <v>119</v>
      </c>
      <c r="AT51" s="105" t="str">
        <f t="shared" si="46"/>
        <v/>
      </c>
      <c r="AU51" s="105" t="str">
        <f t="shared" si="47"/>
        <v/>
      </c>
      <c r="AV51" s="47" t="str">
        <f>IF(B51="","",IF('Marks Entry'!AS51="",'Marks Entry'!$AS$4,'Marks Entry'!AS51))</f>
        <v/>
      </c>
      <c r="AW51" s="105">
        <f>IF('Marks Entry'!AT51="","",'Marks Entry'!AT51)</f>
        <v>10</v>
      </c>
      <c r="AX51" s="105">
        <f>IF('Marks Entry'!AU51="","",'Marks Entry'!AU51)</f>
        <v>10</v>
      </c>
      <c r="AY51" s="105">
        <f>IF(AND('Marks Entry'!AV51="",'Marks Entry'!AW51=""),"",SUM('Marks Entry'!AV51:AW51))</f>
        <v>22</v>
      </c>
      <c r="AZ51" s="105">
        <f>IF('Marks Entry'!AX51="","",'Marks Entry'!AX51)</f>
        <v>12</v>
      </c>
      <c r="BA51" s="105">
        <f t="shared" si="48"/>
        <v>34</v>
      </c>
      <c r="BB51" s="105">
        <f>IF(AND('Marks Entry'!AY51="",'Marks Entry'!AZ51=""),"",SUM('Marks Entry'!AY51:AZ51))</f>
        <v>38</v>
      </c>
      <c r="BC51" s="105">
        <f>IF('Marks Entry'!BA51="","",'Marks Entry'!BA51)</f>
        <v>15</v>
      </c>
      <c r="BD51" s="105">
        <f t="shared" si="49"/>
        <v>53</v>
      </c>
      <c r="BE51" s="105">
        <f t="shared" si="50"/>
        <v>107</v>
      </c>
      <c r="BF51" s="105" t="str">
        <f t="shared" si="51"/>
        <v/>
      </c>
      <c r="BG51" s="105" t="str">
        <f t="shared" si="52"/>
        <v/>
      </c>
      <c r="BH51" s="105" t="str">
        <f t="shared" si="53"/>
        <v/>
      </c>
      <c r="BI51" s="50" t="str">
        <f t="shared" si="71"/>
        <v/>
      </c>
      <c r="BJ51" s="47" t="str">
        <f t="shared" si="72"/>
        <v/>
      </c>
      <c r="BK51" s="105" t="str">
        <f t="shared" si="54"/>
        <v/>
      </c>
      <c r="BL51" s="105" t="str">
        <f t="shared" si="55"/>
        <v/>
      </c>
      <c r="BM51" s="105" t="str">
        <f>IF(OR(B51="",'Marks Entry'!BY51=""),"",'Marks Entry'!BY51)</f>
        <v/>
      </c>
      <c r="BN51" s="105" t="str">
        <f>IF(OR(B51="",'Marks Entry'!BZ51=""),"",'Marks Entry'!BZ51)</f>
        <v/>
      </c>
      <c r="BO51" s="105">
        <f>IF('Marks Entry'!BC51="","",'Marks Entry'!BC51)</f>
        <v>15</v>
      </c>
      <c r="BP51" s="105">
        <f>IF('Marks Entry'!BD51="","",'Marks Entry'!BD51)</f>
        <v>15</v>
      </c>
      <c r="BQ51" s="105">
        <f>IF(AND('Marks Entry'!BE51="",'Marks Entry'!BF51=""),"",SUM('Marks Entry'!BE51:BF51))</f>
        <v>25</v>
      </c>
      <c r="BR51" s="105">
        <f>IF(AND('Marks Entry'!BG51="",'Marks Entry'!BH51=""),"",SUM('Marks Entry'!BG51:BH51))</f>
        <v>82</v>
      </c>
      <c r="BS51" s="105">
        <f t="shared" si="56"/>
        <v>137</v>
      </c>
      <c r="BT51" s="105" t="str">
        <f t="shared" si="57"/>
        <v/>
      </c>
      <c r="BU51" s="105" t="str">
        <f t="shared" si="58"/>
        <v/>
      </c>
      <c r="BV51" s="105">
        <f>IF('Marks Entry'!BJ51="","",'Marks Entry'!BJ51)</f>
        <v>15</v>
      </c>
      <c r="BW51" s="105">
        <f>IF('Marks Entry'!BK51="","",'Marks Entry'!BK51)</f>
        <v>15</v>
      </c>
      <c r="BX51" s="105">
        <f>IF(AND('Marks Entry'!BL51="",'Marks Entry'!BM51=""),"",SUM('Marks Entry'!BL51:BM51))</f>
        <v>25</v>
      </c>
      <c r="BY51" s="105">
        <f>IF(AND('Marks Entry'!BN51="",'Marks Entry'!BO51=""),"",SUM('Marks Entry'!BN51:BO51))</f>
        <v>82</v>
      </c>
      <c r="BZ51" s="105">
        <f t="shared" si="59"/>
        <v>137</v>
      </c>
      <c r="CA51" s="105" t="str">
        <f t="shared" si="60"/>
        <v/>
      </c>
      <c r="CB51" s="105" t="str">
        <f t="shared" si="61"/>
        <v/>
      </c>
      <c r="CC51" s="105" t="str">
        <f>IF('Marks Entry'!BQ51="","",'Marks Entry'!BQ51)</f>
        <v/>
      </c>
      <c r="CD51" s="105" t="str">
        <f>IF('Marks Entry'!BR51="","",'Marks Entry'!BR51)</f>
        <v/>
      </c>
      <c r="CE51" s="105" t="str">
        <f>IF(AND('Marks Entry'!BS51="",'Marks Entry'!BT51=""),"",SUM('Marks Entry'!BS51:BT51))</f>
        <v/>
      </c>
      <c r="CF51" s="105" t="str">
        <f>IF(AND('Marks Entry'!BU51="",'Marks Entry'!BV51=""),"",SUM('Marks Entry'!BU51:BV51))</f>
        <v/>
      </c>
      <c r="CG51" s="105" t="str">
        <f t="shared" si="62"/>
        <v/>
      </c>
      <c r="CH51" s="105" t="str">
        <f t="shared" si="63"/>
        <v/>
      </c>
      <c r="CI51" s="105" t="str">
        <f t="shared" si="64"/>
        <v/>
      </c>
      <c r="CJ51" s="81"/>
      <c r="CK51" s="50" t="str">
        <f t="shared" si="73"/>
        <v/>
      </c>
      <c r="CM51" s="105" t="str">
        <f t="shared" si="74"/>
        <v/>
      </c>
      <c r="CN51" s="105" t="str">
        <f t="shared" si="75"/>
        <v/>
      </c>
      <c r="CO51" s="105" t="str">
        <f t="shared" si="76"/>
        <v/>
      </c>
      <c r="CP51" s="105" t="str">
        <f t="shared" si="77"/>
        <v/>
      </c>
      <c r="CQ51" s="105" t="str">
        <f t="shared" si="78"/>
        <v/>
      </c>
      <c r="CS51" s="105">
        <f t="shared" si="79"/>
        <v>0</v>
      </c>
      <c r="CT51" s="105">
        <f t="shared" si="80"/>
        <v>0</v>
      </c>
      <c r="CU51" s="105">
        <f t="shared" si="81"/>
        <v>0</v>
      </c>
      <c r="CV51" s="105">
        <f t="shared" si="82"/>
        <v>0</v>
      </c>
      <c r="CW51" s="81"/>
      <c r="CX51" s="105" t="str">
        <f t="shared" si="83"/>
        <v/>
      </c>
      <c r="CY51" s="105" t="str">
        <f t="shared" si="84"/>
        <v/>
      </c>
      <c r="CZ51" s="105" t="str">
        <f t="shared" si="85"/>
        <v/>
      </c>
      <c r="DA51" s="105" t="str">
        <f t="shared" si="86"/>
        <v/>
      </c>
      <c r="DB51" s="105" t="str">
        <f t="shared" si="87"/>
        <v/>
      </c>
      <c r="DD51" s="105" t="str">
        <f t="shared" si="88"/>
        <v/>
      </c>
      <c r="DE51" s="105" t="str">
        <f t="shared" si="89"/>
        <v/>
      </c>
      <c r="DF51" s="105" t="str">
        <f t="shared" si="90"/>
        <v/>
      </c>
      <c r="DG51" s="105" t="str">
        <f t="shared" si="91"/>
        <v/>
      </c>
      <c r="DH51" s="105" t="str">
        <f t="shared" si="92"/>
        <v/>
      </c>
      <c r="DI51" s="105" t="str">
        <f t="shared" si="93"/>
        <v/>
      </c>
      <c r="DJ51" s="105" t="str">
        <f t="shared" si="94"/>
        <v/>
      </c>
      <c r="DK51" s="105" t="str">
        <f t="shared" si="95"/>
        <v/>
      </c>
      <c r="DL51" s="105" t="str">
        <f t="shared" si="96"/>
        <v/>
      </c>
      <c r="DM51" s="105" t="str">
        <f t="shared" si="97"/>
        <v/>
      </c>
      <c r="DN51" s="105" t="str">
        <f t="shared" si="98"/>
        <v/>
      </c>
      <c r="DO51" s="105" t="str">
        <f t="shared" si="99"/>
        <v/>
      </c>
      <c r="DP51" s="105" t="str">
        <f t="shared" si="100"/>
        <v/>
      </c>
      <c r="DR51" s="118" t="str">
        <f t="shared" si="65"/>
        <v xml:space="preserve">    </v>
      </c>
      <c r="DS51" s="75"/>
      <c r="DT51" s="119" t="str">
        <f t="shared" si="66"/>
        <v xml:space="preserve">    </v>
      </c>
      <c r="DU51" s="136"/>
      <c r="DV51" s="119" t="str">
        <f t="shared" si="67"/>
        <v xml:space="preserve">    </v>
      </c>
      <c r="DW51" s="75"/>
      <c r="DX51" s="119" t="str">
        <f t="shared" si="68"/>
        <v xml:space="preserve">     </v>
      </c>
      <c r="DY51" s="75"/>
      <c r="DZ51" s="119" t="str">
        <f t="shared" si="69"/>
        <v xml:space="preserve">    </v>
      </c>
    </row>
    <row r="52" spans="1:130" ht="30" customHeight="1" x14ac:dyDescent="0.25">
      <c r="A52" s="105" t="str">
        <f>IF('Marks Entry'!A52="","",'Marks Entry'!A52)</f>
        <v/>
      </c>
      <c r="B52" s="105" t="str">
        <f>IF('Marks Entry'!B52="","",'Marks Entry'!B52)</f>
        <v/>
      </c>
      <c r="C52" s="105" t="str">
        <f>IF('Marks Entry'!C52="","",'Marks Entry'!C52)</f>
        <v/>
      </c>
      <c r="D52" s="48" t="str">
        <f>IF('Marks Entry'!D52="","",'Marks Entry'!D52)</f>
        <v/>
      </c>
      <c r="E52" s="48" t="str">
        <f>IF('Marks Entry'!E52="","",'Marks Entry'!E52)</f>
        <v/>
      </c>
      <c r="F52" s="48" t="str">
        <f>IF('Marks Entry'!F52="","",'Marks Entry'!F52)</f>
        <v/>
      </c>
      <c r="G52" s="105" t="str">
        <f>IF('Marks Entry'!G52="","",'Marks Entry'!G52)</f>
        <v/>
      </c>
      <c r="H52" s="49" t="str">
        <f>IF('Marks Entry'!H52="","",'Marks Entry'!H52)</f>
        <v/>
      </c>
      <c r="I52" s="105" t="str">
        <f>IF('Marks Entry'!I52="","",'Marks Entry'!I52)</f>
        <v/>
      </c>
      <c r="J52" s="105">
        <f>IF('Marks Entry'!K52="","",'Marks Entry'!K52)</f>
        <v>5</v>
      </c>
      <c r="K52" s="105">
        <f>IF('Marks Entry'!L52="","",'Marks Entry'!L52)</f>
        <v>5</v>
      </c>
      <c r="L52" s="105">
        <f>IF(AND('Marks Entry'!M52="",'Marks Entry'!N52=""),"",SUM('Marks Entry'!M52:N52))</f>
        <v>10</v>
      </c>
      <c r="M52" s="105">
        <f>IF(AND('Marks Entry'!O52="",'Marks Entry'!P52=""),"",SUM('Marks Entry'!O52:P52))</f>
        <v>90</v>
      </c>
      <c r="N52" s="105">
        <f t="shared" si="70"/>
        <v>110</v>
      </c>
      <c r="O52" s="105" t="str">
        <f t="shared" si="33"/>
        <v/>
      </c>
      <c r="P52" s="105" t="str">
        <f t="shared" si="34"/>
        <v/>
      </c>
      <c r="Q52" s="105">
        <f>IF('Marks Entry'!R52="","",'Marks Entry'!R52)</f>
        <v>5</v>
      </c>
      <c r="R52" s="105">
        <f>IF('Marks Entry'!S52="","",'Marks Entry'!S52)</f>
        <v>5</v>
      </c>
      <c r="S52" s="105">
        <f>IF(AND('Marks Entry'!T52="",'Marks Entry'!U52=""),"",SUM('Marks Entry'!T52:U52))</f>
        <v>10</v>
      </c>
      <c r="T52" s="105">
        <f>IF(AND('Marks Entry'!V52="",'Marks Entry'!W52=""),"",SUM('Marks Entry'!V52:W52))</f>
        <v>81</v>
      </c>
      <c r="U52" s="105">
        <f t="shared" si="35"/>
        <v>101</v>
      </c>
      <c r="V52" s="105" t="str">
        <f t="shared" si="36"/>
        <v/>
      </c>
      <c r="W52" s="105" t="str">
        <f t="shared" si="37"/>
        <v/>
      </c>
      <c r="X52" s="47" t="str">
        <f>IF(B52="","",IF('Marks Entry'!Y52="",'Marks Entry'!$Y$4,'Marks Entry'!Y52))</f>
        <v/>
      </c>
      <c r="Y52" s="105">
        <f>IF('Marks Entry'!Z52="","",'Marks Entry'!Z52)</f>
        <v>5</v>
      </c>
      <c r="Z52" s="105">
        <f>IF('Marks Entry'!AA52="","",'Marks Entry'!AA52)</f>
        <v>5</v>
      </c>
      <c r="AA52" s="105">
        <f>IF(AND('Marks Entry'!AB52="",'Marks Entry'!AC52=""),"",SUM('Marks Entry'!AB52:AC52))</f>
        <v>10</v>
      </c>
      <c r="AB52" s="105" t="str">
        <f>IF('Marks Entry'!AD52="","",'Marks Entry'!AD52)</f>
        <v/>
      </c>
      <c r="AC52" s="105">
        <f t="shared" si="38"/>
        <v>10</v>
      </c>
      <c r="AD52" s="105">
        <f>IF(AND('Marks Entry'!AE52="",'Marks Entry'!AF52=""),"",SUM('Marks Entry'!AE52:AF52))</f>
        <v>16</v>
      </c>
      <c r="AE52" s="105" t="str">
        <f>IF('Marks Entry'!AG52="","",'Marks Entry'!AG52)</f>
        <v/>
      </c>
      <c r="AF52" s="105">
        <f t="shared" si="39"/>
        <v>16</v>
      </c>
      <c r="AG52" s="105">
        <f t="shared" si="40"/>
        <v>36</v>
      </c>
      <c r="AH52" s="105" t="str">
        <f t="shared" si="41"/>
        <v/>
      </c>
      <c r="AI52" s="105" t="str">
        <f t="shared" si="42"/>
        <v/>
      </c>
      <c r="AJ52" s="47" t="str">
        <f>IF(B52="","",IF('Marks Entry'!AI52="",'Marks Entry'!$AI$4,'Marks Entry'!AI52))</f>
        <v/>
      </c>
      <c r="AK52" s="105">
        <f>IF('Marks Entry'!AJ52="","",'Marks Entry'!AJ52)</f>
        <v>5</v>
      </c>
      <c r="AL52" s="105">
        <f>IF('Marks Entry'!AK52="","",'Marks Entry'!AK52)</f>
        <v>5</v>
      </c>
      <c r="AM52" s="105">
        <f>IF(AND('Marks Entry'!AL52="",'Marks Entry'!AM52=""),"",SUM('Marks Entry'!AL52:AM52))</f>
        <v>10</v>
      </c>
      <c r="AN52" s="105" t="str">
        <f>IF('Marks Entry'!AN52="","",'Marks Entry'!AN52)</f>
        <v/>
      </c>
      <c r="AO52" s="105">
        <f t="shared" si="43"/>
        <v>10</v>
      </c>
      <c r="AP52" s="105">
        <f>IF(AND('Marks Entry'!AO52="",'Marks Entry'!AP52=""),"",SUM('Marks Entry'!AO52:AP52))</f>
        <v>13</v>
      </c>
      <c r="AQ52" s="105" t="str">
        <f>IF('Marks Entry'!AQ52="","",'Marks Entry'!AQ52)</f>
        <v/>
      </c>
      <c r="AR52" s="105">
        <f t="shared" si="44"/>
        <v>13</v>
      </c>
      <c r="AS52" s="105">
        <f t="shared" si="45"/>
        <v>33</v>
      </c>
      <c r="AT52" s="105" t="str">
        <f t="shared" si="46"/>
        <v/>
      </c>
      <c r="AU52" s="105" t="str">
        <f t="shared" si="47"/>
        <v/>
      </c>
      <c r="AV52" s="47" t="str">
        <f>IF(B52="","",IF('Marks Entry'!AS52="",'Marks Entry'!$AS$4,'Marks Entry'!AS52))</f>
        <v/>
      </c>
      <c r="AW52" s="105">
        <f>IF('Marks Entry'!AT52="","",'Marks Entry'!AT52)</f>
        <v>5</v>
      </c>
      <c r="AX52" s="105">
        <f>IF('Marks Entry'!AU52="","",'Marks Entry'!AU52)</f>
        <v>5</v>
      </c>
      <c r="AY52" s="105">
        <f>IF(AND('Marks Entry'!AV52="",'Marks Entry'!AW52=""),"",SUM('Marks Entry'!AV52:AW52))</f>
        <v>19</v>
      </c>
      <c r="AZ52" s="105">
        <f>IF('Marks Entry'!AX52="","",'Marks Entry'!AX52)</f>
        <v>14</v>
      </c>
      <c r="BA52" s="105">
        <f t="shared" si="48"/>
        <v>33</v>
      </c>
      <c r="BB52" s="105">
        <f>IF(AND('Marks Entry'!AY52="",'Marks Entry'!AZ52=""),"",SUM('Marks Entry'!AY52:AZ52))</f>
        <v>38</v>
      </c>
      <c r="BC52" s="105">
        <f>IF('Marks Entry'!BA52="","",'Marks Entry'!BA52)</f>
        <v>18</v>
      </c>
      <c r="BD52" s="105">
        <f t="shared" si="49"/>
        <v>56</v>
      </c>
      <c r="BE52" s="105">
        <f t="shared" si="50"/>
        <v>99</v>
      </c>
      <c r="BF52" s="105" t="str">
        <f t="shared" si="51"/>
        <v/>
      </c>
      <c r="BG52" s="105" t="str">
        <f t="shared" si="52"/>
        <v/>
      </c>
      <c r="BH52" s="105" t="str">
        <f t="shared" si="53"/>
        <v/>
      </c>
      <c r="BI52" s="50" t="str">
        <f t="shared" si="71"/>
        <v/>
      </c>
      <c r="BJ52" s="47" t="str">
        <f t="shared" si="72"/>
        <v/>
      </c>
      <c r="BK52" s="105" t="str">
        <f t="shared" si="54"/>
        <v/>
      </c>
      <c r="BL52" s="105" t="str">
        <f t="shared" si="55"/>
        <v/>
      </c>
      <c r="BM52" s="105" t="str">
        <f>IF(OR(B52="",'Marks Entry'!BY52=""),"",'Marks Entry'!BY52)</f>
        <v/>
      </c>
      <c r="BN52" s="105" t="str">
        <f>IF(OR(B52="",'Marks Entry'!BZ52=""),"",'Marks Entry'!BZ52)</f>
        <v/>
      </c>
      <c r="BO52" s="105">
        <f>IF('Marks Entry'!BC52="","",'Marks Entry'!BC52)</f>
        <v>15</v>
      </c>
      <c r="BP52" s="105">
        <f>IF('Marks Entry'!BD52="","",'Marks Entry'!BD52)</f>
        <v>15</v>
      </c>
      <c r="BQ52" s="105">
        <f>IF(AND('Marks Entry'!BE52="",'Marks Entry'!BF52=""),"",SUM('Marks Entry'!BE52:BF52))</f>
        <v>25</v>
      </c>
      <c r="BR52" s="105">
        <f>IF(AND('Marks Entry'!BG52="",'Marks Entry'!BH52=""),"",SUM('Marks Entry'!BG52:BH52))</f>
        <v>82</v>
      </c>
      <c r="BS52" s="105">
        <f t="shared" si="56"/>
        <v>137</v>
      </c>
      <c r="BT52" s="105" t="str">
        <f t="shared" si="57"/>
        <v/>
      </c>
      <c r="BU52" s="105" t="str">
        <f t="shared" si="58"/>
        <v/>
      </c>
      <c r="BV52" s="105">
        <f>IF('Marks Entry'!BJ52="","",'Marks Entry'!BJ52)</f>
        <v>15</v>
      </c>
      <c r="BW52" s="105">
        <f>IF('Marks Entry'!BK52="","",'Marks Entry'!BK52)</f>
        <v>15</v>
      </c>
      <c r="BX52" s="105">
        <f>IF(AND('Marks Entry'!BL52="",'Marks Entry'!BM52=""),"",SUM('Marks Entry'!BL52:BM52))</f>
        <v>25</v>
      </c>
      <c r="BY52" s="105">
        <f>IF(AND('Marks Entry'!BN52="",'Marks Entry'!BO52=""),"",SUM('Marks Entry'!BN52:BO52))</f>
        <v>82</v>
      </c>
      <c r="BZ52" s="105">
        <f t="shared" si="59"/>
        <v>137</v>
      </c>
      <c r="CA52" s="105" t="str">
        <f t="shared" si="60"/>
        <v/>
      </c>
      <c r="CB52" s="105" t="str">
        <f t="shared" si="61"/>
        <v/>
      </c>
      <c r="CC52" s="105" t="str">
        <f>IF('Marks Entry'!BQ52="","",'Marks Entry'!BQ52)</f>
        <v/>
      </c>
      <c r="CD52" s="105" t="str">
        <f>IF('Marks Entry'!BR52="","",'Marks Entry'!BR52)</f>
        <v/>
      </c>
      <c r="CE52" s="105" t="str">
        <f>IF(AND('Marks Entry'!BS52="",'Marks Entry'!BT52=""),"",SUM('Marks Entry'!BS52:BT52))</f>
        <v/>
      </c>
      <c r="CF52" s="105" t="str">
        <f>IF(AND('Marks Entry'!BU52="",'Marks Entry'!BV52=""),"",SUM('Marks Entry'!BU52:BV52))</f>
        <v/>
      </c>
      <c r="CG52" s="105" t="str">
        <f t="shared" si="62"/>
        <v/>
      </c>
      <c r="CH52" s="105" t="str">
        <f t="shared" si="63"/>
        <v/>
      </c>
      <c r="CI52" s="105" t="str">
        <f t="shared" si="64"/>
        <v/>
      </c>
      <c r="CJ52" s="81"/>
      <c r="CK52" s="50" t="str">
        <f t="shared" si="73"/>
        <v/>
      </c>
      <c r="CM52" s="105" t="str">
        <f t="shared" si="74"/>
        <v/>
      </c>
      <c r="CN52" s="105" t="str">
        <f t="shared" si="75"/>
        <v/>
      </c>
      <c r="CO52" s="105" t="str">
        <f t="shared" si="76"/>
        <v/>
      </c>
      <c r="CP52" s="105" t="str">
        <f t="shared" si="77"/>
        <v/>
      </c>
      <c r="CQ52" s="105" t="str">
        <f t="shared" si="78"/>
        <v/>
      </c>
      <c r="CS52" s="105">
        <f t="shared" si="79"/>
        <v>0</v>
      </c>
      <c r="CT52" s="105">
        <f t="shared" si="80"/>
        <v>0</v>
      </c>
      <c r="CU52" s="105">
        <f t="shared" si="81"/>
        <v>0</v>
      </c>
      <c r="CV52" s="105">
        <f t="shared" si="82"/>
        <v>0</v>
      </c>
      <c r="CW52" s="81"/>
      <c r="CX52" s="105" t="str">
        <f t="shared" si="83"/>
        <v/>
      </c>
      <c r="CY52" s="105" t="str">
        <f t="shared" si="84"/>
        <v/>
      </c>
      <c r="CZ52" s="105" t="str">
        <f t="shared" si="85"/>
        <v/>
      </c>
      <c r="DA52" s="105" t="str">
        <f t="shared" si="86"/>
        <v/>
      </c>
      <c r="DB52" s="105" t="str">
        <f t="shared" si="87"/>
        <v/>
      </c>
      <c r="DD52" s="105" t="str">
        <f t="shared" si="88"/>
        <v/>
      </c>
      <c r="DE52" s="105" t="str">
        <f t="shared" si="89"/>
        <v/>
      </c>
      <c r="DF52" s="105" t="str">
        <f t="shared" si="90"/>
        <v/>
      </c>
      <c r="DG52" s="105" t="str">
        <f t="shared" si="91"/>
        <v/>
      </c>
      <c r="DH52" s="105" t="str">
        <f t="shared" si="92"/>
        <v/>
      </c>
      <c r="DI52" s="105" t="str">
        <f t="shared" si="93"/>
        <v/>
      </c>
      <c r="DJ52" s="105" t="str">
        <f t="shared" si="94"/>
        <v/>
      </c>
      <c r="DK52" s="105" t="str">
        <f t="shared" si="95"/>
        <v/>
      </c>
      <c r="DL52" s="105" t="str">
        <f t="shared" si="96"/>
        <v/>
      </c>
      <c r="DM52" s="105" t="str">
        <f t="shared" si="97"/>
        <v/>
      </c>
      <c r="DN52" s="105" t="str">
        <f t="shared" si="98"/>
        <v/>
      </c>
      <c r="DO52" s="105" t="str">
        <f t="shared" si="99"/>
        <v/>
      </c>
      <c r="DP52" s="105" t="str">
        <f t="shared" si="100"/>
        <v/>
      </c>
      <c r="DR52" s="118" t="str">
        <f t="shared" si="65"/>
        <v xml:space="preserve">    </v>
      </c>
      <c r="DS52" s="75"/>
      <c r="DT52" s="119" t="str">
        <f t="shared" si="66"/>
        <v xml:space="preserve">    </v>
      </c>
      <c r="DU52" s="136"/>
      <c r="DV52" s="119" t="str">
        <f t="shared" si="67"/>
        <v xml:space="preserve">    </v>
      </c>
      <c r="DW52" s="75"/>
      <c r="DX52" s="119" t="str">
        <f t="shared" si="68"/>
        <v xml:space="preserve">     </v>
      </c>
      <c r="DY52" s="75"/>
      <c r="DZ52" s="119" t="str">
        <f t="shared" si="69"/>
        <v xml:space="preserve">    </v>
      </c>
    </row>
    <row r="53" spans="1:130" ht="30" customHeight="1" x14ac:dyDescent="0.25">
      <c r="A53" s="105" t="str">
        <f>IF('Marks Entry'!A53="","",'Marks Entry'!A53)</f>
        <v/>
      </c>
      <c r="B53" s="105" t="str">
        <f>IF('Marks Entry'!B53="","",'Marks Entry'!B53)</f>
        <v/>
      </c>
      <c r="C53" s="105" t="str">
        <f>IF('Marks Entry'!C53="","",'Marks Entry'!C53)</f>
        <v/>
      </c>
      <c r="D53" s="48" t="str">
        <f>IF('Marks Entry'!D53="","",'Marks Entry'!D53)</f>
        <v/>
      </c>
      <c r="E53" s="48" t="str">
        <f>IF('Marks Entry'!E53="","",'Marks Entry'!E53)</f>
        <v/>
      </c>
      <c r="F53" s="48" t="str">
        <f>IF('Marks Entry'!F53="","",'Marks Entry'!F53)</f>
        <v/>
      </c>
      <c r="G53" s="105" t="str">
        <f>IF('Marks Entry'!G53="","",'Marks Entry'!G53)</f>
        <v/>
      </c>
      <c r="H53" s="49" t="str">
        <f>IF('Marks Entry'!H53="","",'Marks Entry'!H53)</f>
        <v/>
      </c>
      <c r="I53" s="105" t="str">
        <f>IF('Marks Entry'!I53="","",'Marks Entry'!I53)</f>
        <v/>
      </c>
      <c r="J53" s="105">
        <f>IF('Marks Entry'!K53="","",'Marks Entry'!K53)</f>
        <v>10</v>
      </c>
      <c r="K53" s="105">
        <f>IF('Marks Entry'!L53="","",'Marks Entry'!L53)</f>
        <v>9</v>
      </c>
      <c r="L53" s="105">
        <f>IF(AND('Marks Entry'!M53="",'Marks Entry'!N53=""),"",SUM('Marks Entry'!M53:N53))</f>
        <v>10</v>
      </c>
      <c r="M53" s="105">
        <f>IF(AND('Marks Entry'!O53="",'Marks Entry'!P53=""),"",SUM('Marks Entry'!O53:P53))</f>
        <v>91</v>
      </c>
      <c r="N53" s="105">
        <f t="shared" si="70"/>
        <v>120</v>
      </c>
      <c r="O53" s="105" t="str">
        <f t="shared" si="33"/>
        <v/>
      </c>
      <c r="P53" s="105" t="str">
        <f t="shared" si="34"/>
        <v/>
      </c>
      <c r="Q53" s="105">
        <f>IF('Marks Entry'!R53="","",'Marks Entry'!R53)</f>
        <v>10</v>
      </c>
      <c r="R53" s="105">
        <f>IF('Marks Entry'!S53="","",'Marks Entry'!S53)</f>
        <v>10</v>
      </c>
      <c r="S53" s="105">
        <f>IF(AND('Marks Entry'!T53="",'Marks Entry'!U53=""),"",SUM('Marks Entry'!T53:U53))</f>
        <v>40</v>
      </c>
      <c r="T53" s="105">
        <f>IF(AND('Marks Entry'!V53="",'Marks Entry'!W53=""),"",SUM('Marks Entry'!V53:W53))</f>
        <v>82</v>
      </c>
      <c r="U53" s="105">
        <f t="shared" si="35"/>
        <v>142</v>
      </c>
      <c r="V53" s="105" t="str">
        <f t="shared" si="36"/>
        <v/>
      </c>
      <c r="W53" s="105" t="str">
        <f t="shared" si="37"/>
        <v/>
      </c>
      <c r="X53" s="47" t="str">
        <f>IF(B53="","",IF('Marks Entry'!Y53="",'Marks Entry'!$Y$4,'Marks Entry'!Y53))</f>
        <v/>
      </c>
      <c r="Y53" s="105">
        <f>IF('Marks Entry'!Z53="","",'Marks Entry'!Z53)</f>
        <v>18</v>
      </c>
      <c r="Z53" s="105">
        <f>IF('Marks Entry'!AA53="","",'Marks Entry'!AA53)</f>
        <v>18</v>
      </c>
      <c r="AA53" s="105">
        <f>IF(AND('Marks Entry'!AB53="",'Marks Entry'!AC53=""),"",SUM('Marks Entry'!AB53:AC53))</f>
        <v>50</v>
      </c>
      <c r="AB53" s="105" t="str">
        <f>IF('Marks Entry'!AD53="","",'Marks Entry'!AD53)</f>
        <v/>
      </c>
      <c r="AC53" s="105">
        <f t="shared" si="38"/>
        <v>50</v>
      </c>
      <c r="AD53" s="105">
        <f>IF(AND('Marks Entry'!AE53="",'Marks Entry'!AF53=""),"",SUM('Marks Entry'!AE53:AF53))</f>
        <v>76</v>
      </c>
      <c r="AE53" s="105" t="str">
        <f>IF('Marks Entry'!AG53="","",'Marks Entry'!AG53)</f>
        <v/>
      </c>
      <c r="AF53" s="105">
        <f t="shared" si="39"/>
        <v>76</v>
      </c>
      <c r="AG53" s="105">
        <f t="shared" si="40"/>
        <v>162</v>
      </c>
      <c r="AH53" s="105" t="str">
        <f t="shared" si="41"/>
        <v/>
      </c>
      <c r="AI53" s="105" t="str">
        <f t="shared" si="42"/>
        <v/>
      </c>
      <c r="AJ53" s="47" t="str">
        <f>IF(B53="","",IF('Marks Entry'!AI53="",'Marks Entry'!$AI$4,'Marks Entry'!AI53))</f>
        <v/>
      </c>
      <c r="AK53" s="105">
        <f>IF('Marks Entry'!AJ53="","",'Marks Entry'!AJ53)</f>
        <v>5</v>
      </c>
      <c r="AL53" s="105">
        <f>IF('Marks Entry'!AK53="","",'Marks Entry'!AK53)</f>
        <v>5</v>
      </c>
      <c r="AM53" s="105">
        <f>IF(AND('Marks Entry'!AL53="",'Marks Entry'!AM53=""),"",SUM('Marks Entry'!AL53:AM53))</f>
        <v>28</v>
      </c>
      <c r="AN53" s="105" t="str">
        <f>IF('Marks Entry'!AN53="","",'Marks Entry'!AN53)</f>
        <v/>
      </c>
      <c r="AO53" s="105">
        <f t="shared" si="43"/>
        <v>28</v>
      </c>
      <c r="AP53" s="105">
        <f>IF(AND('Marks Entry'!AO53="",'Marks Entry'!AP53=""),"",SUM('Marks Entry'!AO53:AP53))</f>
        <v>40</v>
      </c>
      <c r="AQ53" s="105" t="str">
        <f>IF('Marks Entry'!AQ53="","",'Marks Entry'!AQ53)</f>
        <v/>
      </c>
      <c r="AR53" s="105">
        <f t="shared" si="44"/>
        <v>40</v>
      </c>
      <c r="AS53" s="105">
        <f t="shared" si="45"/>
        <v>78</v>
      </c>
      <c r="AT53" s="105" t="str">
        <f t="shared" si="46"/>
        <v/>
      </c>
      <c r="AU53" s="105" t="str">
        <f t="shared" si="47"/>
        <v/>
      </c>
      <c r="AV53" s="47" t="str">
        <f>IF(B53="","",IF('Marks Entry'!AS53="",'Marks Entry'!$AS$4,'Marks Entry'!AS53))</f>
        <v/>
      </c>
      <c r="AW53" s="105">
        <f>IF('Marks Entry'!AT53="","",'Marks Entry'!AT53)</f>
        <v>10</v>
      </c>
      <c r="AX53" s="105">
        <f>IF('Marks Entry'!AU53="","",'Marks Entry'!AU53)</f>
        <v>10</v>
      </c>
      <c r="AY53" s="105">
        <f>IF(AND('Marks Entry'!AV53="",'Marks Entry'!AW53=""),"",SUM('Marks Entry'!AV53:AW53))</f>
        <v>24</v>
      </c>
      <c r="AZ53" s="105">
        <f>IF('Marks Entry'!AX53="","",'Marks Entry'!AX53)</f>
        <v>10</v>
      </c>
      <c r="BA53" s="105">
        <f t="shared" si="48"/>
        <v>34</v>
      </c>
      <c r="BB53" s="105">
        <f>IF(AND('Marks Entry'!AY53="",'Marks Entry'!AZ53=""),"",SUM('Marks Entry'!AY53:AZ53))</f>
        <v>31</v>
      </c>
      <c r="BC53" s="105">
        <f>IF('Marks Entry'!BA53="","",'Marks Entry'!BA53)</f>
        <v>18</v>
      </c>
      <c r="BD53" s="105">
        <f t="shared" si="49"/>
        <v>49</v>
      </c>
      <c r="BE53" s="105">
        <f t="shared" si="50"/>
        <v>103</v>
      </c>
      <c r="BF53" s="105" t="str">
        <f t="shared" si="51"/>
        <v/>
      </c>
      <c r="BG53" s="105" t="str">
        <f t="shared" si="52"/>
        <v/>
      </c>
      <c r="BH53" s="105" t="str">
        <f t="shared" si="53"/>
        <v/>
      </c>
      <c r="BI53" s="50" t="str">
        <f t="shared" si="71"/>
        <v/>
      </c>
      <c r="BJ53" s="47" t="str">
        <f t="shared" si="72"/>
        <v/>
      </c>
      <c r="BK53" s="105" t="str">
        <f t="shared" si="54"/>
        <v/>
      </c>
      <c r="BL53" s="105" t="str">
        <f t="shared" si="55"/>
        <v/>
      </c>
      <c r="BM53" s="105" t="str">
        <f>IF(OR(B53="",'Marks Entry'!BY53=""),"",'Marks Entry'!BY53)</f>
        <v/>
      </c>
      <c r="BN53" s="105" t="str">
        <f>IF(OR(B53="",'Marks Entry'!BZ53=""),"",'Marks Entry'!BZ53)</f>
        <v/>
      </c>
      <c r="BO53" s="105">
        <f>IF('Marks Entry'!BC53="","",'Marks Entry'!BC53)</f>
        <v>15</v>
      </c>
      <c r="BP53" s="105">
        <f>IF('Marks Entry'!BD53="","",'Marks Entry'!BD53)</f>
        <v>15</v>
      </c>
      <c r="BQ53" s="105">
        <f>IF(AND('Marks Entry'!BE53="",'Marks Entry'!BF53=""),"",SUM('Marks Entry'!BE53:BF53))</f>
        <v>25</v>
      </c>
      <c r="BR53" s="105">
        <f>IF(AND('Marks Entry'!BG53="",'Marks Entry'!BH53=""),"",SUM('Marks Entry'!BG53:BH53))</f>
        <v>82</v>
      </c>
      <c r="BS53" s="105">
        <f t="shared" si="56"/>
        <v>137</v>
      </c>
      <c r="BT53" s="105" t="str">
        <f t="shared" si="57"/>
        <v/>
      </c>
      <c r="BU53" s="105" t="str">
        <f t="shared" si="58"/>
        <v/>
      </c>
      <c r="BV53" s="105">
        <f>IF('Marks Entry'!BJ53="","",'Marks Entry'!BJ53)</f>
        <v>15</v>
      </c>
      <c r="BW53" s="105">
        <f>IF('Marks Entry'!BK53="","",'Marks Entry'!BK53)</f>
        <v>15</v>
      </c>
      <c r="BX53" s="105">
        <f>IF(AND('Marks Entry'!BL53="",'Marks Entry'!BM53=""),"",SUM('Marks Entry'!BL53:BM53))</f>
        <v>25</v>
      </c>
      <c r="BY53" s="105">
        <f>IF(AND('Marks Entry'!BN53="",'Marks Entry'!BO53=""),"",SUM('Marks Entry'!BN53:BO53))</f>
        <v>82</v>
      </c>
      <c r="BZ53" s="105">
        <f t="shared" si="59"/>
        <v>137</v>
      </c>
      <c r="CA53" s="105" t="str">
        <f t="shared" si="60"/>
        <v/>
      </c>
      <c r="CB53" s="105" t="str">
        <f t="shared" si="61"/>
        <v/>
      </c>
      <c r="CC53" s="105" t="str">
        <f>IF('Marks Entry'!BQ53="","",'Marks Entry'!BQ53)</f>
        <v/>
      </c>
      <c r="CD53" s="105" t="str">
        <f>IF('Marks Entry'!BR53="","",'Marks Entry'!BR53)</f>
        <v/>
      </c>
      <c r="CE53" s="105" t="str">
        <f>IF(AND('Marks Entry'!BS53="",'Marks Entry'!BT53=""),"",SUM('Marks Entry'!BS53:BT53))</f>
        <v/>
      </c>
      <c r="CF53" s="105" t="str">
        <f>IF(AND('Marks Entry'!BU53="",'Marks Entry'!BV53=""),"",SUM('Marks Entry'!BU53:BV53))</f>
        <v/>
      </c>
      <c r="CG53" s="105" t="str">
        <f t="shared" si="62"/>
        <v/>
      </c>
      <c r="CH53" s="105" t="str">
        <f t="shared" si="63"/>
        <v/>
      </c>
      <c r="CI53" s="105" t="str">
        <f t="shared" si="64"/>
        <v/>
      </c>
      <c r="CJ53" s="81"/>
      <c r="CK53" s="50" t="str">
        <f t="shared" si="73"/>
        <v/>
      </c>
      <c r="CM53" s="105" t="str">
        <f t="shared" si="74"/>
        <v/>
      </c>
      <c r="CN53" s="105" t="str">
        <f t="shared" si="75"/>
        <v/>
      </c>
      <c r="CO53" s="105" t="str">
        <f t="shared" si="76"/>
        <v/>
      </c>
      <c r="CP53" s="105" t="str">
        <f t="shared" si="77"/>
        <v/>
      </c>
      <c r="CQ53" s="105" t="str">
        <f t="shared" si="78"/>
        <v/>
      </c>
      <c r="CS53" s="105">
        <f t="shared" si="79"/>
        <v>0</v>
      </c>
      <c r="CT53" s="105">
        <f t="shared" si="80"/>
        <v>0</v>
      </c>
      <c r="CU53" s="105">
        <f t="shared" si="81"/>
        <v>0</v>
      </c>
      <c r="CV53" s="105">
        <f t="shared" si="82"/>
        <v>0</v>
      </c>
      <c r="CW53" s="81"/>
      <c r="CX53" s="105" t="str">
        <f t="shared" si="83"/>
        <v/>
      </c>
      <c r="CY53" s="105" t="str">
        <f t="shared" si="84"/>
        <v/>
      </c>
      <c r="CZ53" s="105" t="str">
        <f t="shared" si="85"/>
        <v/>
      </c>
      <c r="DA53" s="105" t="str">
        <f t="shared" si="86"/>
        <v/>
      </c>
      <c r="DB53" s="105" t="str">
        <f t="shared" si="87"/>
        <v/>
      </c>
      <c r="DD53" s="105" t="str">
        <f t="shared" si="88"/>
        <v/>
      </c>
      <c r="DE53" s="105" t="str">
        <f t="shared" si="89"/>
        <v/>
      </c>
      <c r="DF53" s="105" t="str">
        <f t="shared" si="90"/>
        <v/>
      </c>
      <c r="DG53" s="105" t="str">
        <f t="shared" si="91"/>
        <v/>
      </c>
      <c r="DH53" s="105" t="str">
        <f t="shared" si="92"/>
        <v/>
      </c>
      <c r="DI53" s="105" t="str">
        <f t="shared" si="93"/>
        <v/>
      </c>
      <c r="DJ53" s="105" t="str">
        <f t="shared" si="94"/>
        <v/>
      </c>
      <c r="DK53" s="105" t="str">
        <f t="shared" si="95"/>
        <v/>
      </c>
      <c r="DL53" s="105" t="str">
        <f t="shared" si="96"/>
        <v/>
      </c>
      <c r="DM53" s="105" t="str">
        <f t="shared" si="97"/>
        <v/>
      </c>
      <c r="DN53" s="105" t="str">
        <f t="shared" si="98"/>
        <v/>
      </c>
      <c r="DO53" s="105" t="str">
        <f t="shared" si="99"/>
        <v/>
      </c>
      <c r="DP53" s="105" t="str">
        <f t="shared" si="100"/>
        <v/>
      </c>
      <c r="DR53" s="118" t="str">
        <f t="shared" si="65"/>
        <v xml:space="preserve">    </v>
      </c>
      <c r="DS53" s="75"/>
      <c r="DT53" s="119" t="str">
        <f t="shared" si="66"/>
        <v xml:space="preserve">    </v>
      </c>
      <c r="DU53" s="136"/>
      <c r="DV53" s="119" t="str">
        <f t="shared" si="67"/>
        <v xml:space="preserve">    </v>
      </c>
      <c r="DW53" s="75"/>
      <c r="DX53" s="119" t="str">
        <f t="shared" si="68"/>
        <v xml:space="preserve">     </v>
      </c>
      <c r="DY53" s="75"/>
      <c r="DZ53" s="119" t="str">
        <f t="shared" si="69"/>
        <v xml:space="preserve">    </v>
      </c>
    </row>
    <row r="54" spans="1:130" ht="30" customHeight="1" x14ac:dyDescent="0.25">
      <c r="A54" s="105" t="str">
        <f>IF('Marks Entry'!A54="","",'Marks Entry'!A54)</f>
        <v/>
      </c>
      <c r="B54" s="105" t="str">
        <f>IF('Marks Entry'!B54="","",'Marks Entry'!B54)</f>
        <v/>
      </c>
      <c r="C54" s="105" t="str">
        <f>IF('Marks Entry'!C54="","",'Marks Entry'!C54)</f>
        <v/>
      </c>
      <c r="D54" s="48" t="str">
        <f>IF('Marks Entry'!D54="","",'Marks Entry'!D54)</f>
        <v/>
      </c>
      <c r="E54" s="48" t="str">
        <f>IF('Marks Entry'!E54="","",'Marks Entry'!E54)</f>
        <v/>
      </c>
      <c r="F54" s="48" t="str">
        <f>IF('Marks Entry'!F54="","",'Marks Entry'!F54)</f>
        <v/>
      </c>
      <c r="G54" s="105" t="str">
        <f>IF('Marks Entry'!G54="","",'Marks Entry'!G54)</f>
        <v/>
      </c>
      <c r="H54" s="49" t="str">
        <f>IF('Marks Entry'!H54="","",'Marks Entry'!H54)</f>
        <v/>
      </c>
      <c r="I54" s="105" t="str">
        <f>IF('Marks Entry'!I54="","",'Marks Entry'!I54)</f>
        <v/>
      </c>
      <c r="J54" s="105">
        <f>IF('Marks Entry'!K54="","",'Marks Entry'!K54)</f>
        <v>10</v>
      </c>
      <c r="K54" s="105">
        <f>IF('Marks Entry'!L54="","",'Marks Entry'!L54)</f>
        <v>20</v>
      </c>
      <c r="L54" s="105">
        <f>IF(AND('Marks Entry'!M54="",'Marks Entry'!N54=""),"",SUM('Marks Entry'!M54:N54))</f>
        <v>15</v>
      </c>
      <c r="M54" s="105">
        <f>IF(AND('Marks Entry'!O54="",'Marks Entry'!P54=""),"",SUM('Marks Entry'!O54:P54))</f>
        <v>92</v>
      </c>
      <c r="N54" s="105">
        <f t="shared" si="70"/>
        <v>137</v>
      </c>
      <c r="O54" s="105" t="str">
        <f t="shared" si="33"/>
        <v/>
      </c>
      <c r="P54" s="105" t="str">
        <f t="shared" si="34"/>
        <v/>
      </c>
      <c r="Q54" s="105">
        <f>IF('Marks Entry'!R54="","",'Marks Entry'!R54)</f>
        <v>10</v>
      </c>
      <c r="R54" s="105">
        <f>IF('Marks Entry'!S54="","",'Marks Entry'!S54)</f>
        <v>10</v>
      </c>
      <c r="S54" s="105">
        <f>IF(AND('Marks Entry'!T54="",'Marks Entry'!U54=""),"",SUM('Marks Entry'!T54:U54))</f>
        <v>40</v>
      </c>
      <c r="T54" s="105">
        <f>IF(AND('Marks Entry'!V54="",'Marks Entry'!W54=""),"",SUM('Marks Entry'!V54:W54))</f>
        <v>83</v>
      </c>
      <c r="U54" s="105">
        <f t="shared" si="35"/>
        <v>143</v>
      </c>
      <c r="V54" s="105" t="str">
        <f t="shared" si="36"/>
        <v/>
      </c>
      <c r="W54" s="105" t="str">
        <f t="shared" si="37"/>
        <v/>
      </c>
      <c r="X54" s="47" t="str">
        <f>IF(B54="","",IF('Marks Entry'!Y54="",'Marks Entry'!$Y$4,'Marks Entry'!Y54))</f>
        <v/>
      </c>
      <c r="Y54" s="105">
        <f>IF('Marks Entry'!Z54="","",'Marks Entry'!Z54)</f>
        <v>10</v>
      </c>
      <c r="Z54" s="105">
        <f>IF('Marks Entry'!AA54="","",'Marks Entry'!AA54)</f>
        <v>10</v>
      </c>
      <c r="AA54" s="105">
        <f>IF(AND('Marks Entry'!AB54="",'Marks Entry'!AC54=""),"",SUM('Marks Entry'!AB54:AC54))</f>
        <v>40</v>
      </c>
      <c r="AB54" s="105" t="str">
        <f>IF('Marks Entry'!AD54="","",'Marks Entry'!AD54)</f>
        <v/>
      </c>
      <c r="AC54" s="105">
        <f t="shared" si="38"/>
        <v>40</v>
      </c>
      <c r="AD54" s="105">
        <f>IF(AND('Marks Entry'!AE54="",'Marks Entry'!AF54=""),"",SUM('Marks Entry'!AE54:AF54))</f>
        <v>41</v>
      </c>
      <c r="AE54" s="105" t="str">
        <f>IF('Marks Entry'!AG54="","",'Marks Entry'!AG54)</f>
        <v/>
      </c>
      <c r="AF54" s="105">
        <f t="shared" si="39"/>
        <v>41</v>
      </c>
      <c r="AG54" s="105">
        <f t="shared" si="40"/>
        <v>101</v>
      </c>
      <c r="AH54" s="105" t="str">
        <f t="shared" si="41"/>
        <v/>
      </c>
      <c r="AI54" s="105" t="str">
        <f t="shared" si="42"/>
        <v/>
      </c>
      <c r="AJ54" s="47" t="str">
        <f>IF(B54="","",IF('Marks Entry'!AI54="",'Marks Entry'!$AI$4,'Marks Entry'!AI54))</f>
        <v/>
      </c>
      <c r="AK54" s="105">
        <f>IF('Marks Entry'!AJ54="","",'Marks Entry'!AJ54)</f>
        <v>10</v>
      </c>
      <c r="AL54" s="105">
        <f>IF('Marks Entry'!AK54="","",'Marks Entry'!AK54)</f>
        <v>10</v>
      </c>
      <c r="AM54" s="105">
        <f>IF(AND('Marks Entry'!AL54="",'Marks Entry'!AM54=""),"",SUM('Marks Entry'!AL54:AM54))</f>
        <v>40</v>
      </c>
      <c r="AN54" s="105" t="str">
        <f>IF('Marks Entry'!AN54="","",'Marks Entry'!AN54)</f>
        <v/>
      </c>
      <c r="AO54" s="105">
        <f t="shared" si="43"/>
        <v>40</v>
      </c>
      <c r="AP54" s="105">
        <f>IF(AND('Marks Entry'!AO54="",'Marks Entry'!AP54=""),"",SUM('Marks Entry'!AO54:AP54))</f>
        <v>62</v>
      </c>
      <c r="AQ54" s="105" t="str">
        <f>IF('Marks Entry'!AQ54="","",'Marks Entry'!AQ54)</f>
        <v/>
      </c>
      <c r="AR54" s="105">
        <f t="shared" si="44"/>
        <v>62</v>
      </c>
      <c r="AS54" s="105">
        <f t="shared" si="45"/>
        <v>122</v>
      </c>
      <c r="AT54" s="105" t="str">
        <f t="shared" si="46"/>
        <v/>
      </c>
      <c r="AU54" s="105" t="str">
        <f t="shared" si="47"/>
        <v/>
      </c>
      <c r="AV54" s="47" t="str">
        <f>IF(B54="","",IF('Marks Entry'!AS54="",'Marks Entry'!$AS$4,'Marks Entry'!AS54))</f>
        <v/>
      </c>
      <c r="AW54" s="105">
        <f>IF('Marks Entry'!AT54="","",'Marks Entry'!AT54)</f>
        <v>10</v>
      </c>
      <c r="AX54" s="105">
        <f>IF('Marks Entry'!AU54="","",'Marks Entry'!AU54)</f>
        <v>10</v>
      </c>
      <c r="AY54" s="105">
        <f>IF(AND('Marks Entry'!AV54="",'Marks Entry'!AW54=""),"",SUM('Marks Entry'!AV54:AW54))</f>
        <v>16</v>
      </c>
      <c r="AZ54" s="105">
        <f>IF('Marks Entry'!AX54="","",'Marks Entry'!AX54)</f>
        <v>8</v>
      </c>
      <c r="BA54" s="105">
        <f t="shared" si="48"/>
        <v>24</v>
      </c>
      <c r="BB54" s="105">
        <f>IF(AND('Marks Entry'!AY54="",'Marks Entry'!AZ54=""),"",SUM('Marks Entry'!AY54:AZ54))</f>
        <v>34</v>
      </c>
      <c r="BC54" s="105">
        <f>IF('Marks Entry'!BA54="","",'Marks Entry'!BA54)</f>
        <v>15</v>
      </c>
      <c r="BD54" s="105">
        <f t="shared" si="49"/>
        <v>49</v>
      </c>
      <c r="BE54" s="105">
        <f t="shared" si="50"/>
        <v>93</v>
      </c>
      <c r="BF54" s="105" t="str">
        <f t="shared" si="51"/>
        <v/>
      </c>
      <c r="BG54" s="105" t="str">
        <f t="shared" si="52"/>
        <v/>
      </c>
      <c r="BH54" s="105" t="str">
        <f t="shared" si="53"/>
        <v/>
      </c>
      <c r="BI54" s="50" t="str">
        <f t="shared" si="71"/>
        <v/>
      </c>
      <c r="BJ54" s="47" t="str">
        <f t="shared" si="72"/>
        <v/>
      </c>
      <c r="BK54" s="105" t="str">
        <f t="shared" si="54"/>
        <v/>
      </c>
      <c r="BL54" s="105" t="str">
        <f t="shared" si="55"/>
        <v/>
      </c>
      <c r="BM54" s="105" t="str">
        <f>IF(OR(B54="",'Marks Entry'!BY54=""),"",'Marks Entry'!BY54)</f>
        <v/>
      </c>
      <c r="BN54" s="105" t="str">
        <f>IF(OR(B54="",'Marks Entry'!BZ54=""),"",'Marks Entry'!BZ54)</f>
        <v/>
      </c>
      <c r="BO54" s="105">
        <f>IF('Marks Entry'!BC54="","",'Marks Entry'!BC54)</f>
        <v>15</v>
      </c>
      <c r="BP54" s="105">
        <f>IF('Marks Entry'!BD54="","",'Marks Entry'!BD54)</f>
        <v>15</v>
      </c>
      <c r="BQ54" s="105">
        <f>IF(AND('Marks Entry'!BE54="",'Marks Entry'!BF54=""),"",SUM('Marks Entry'!BE54:BF54))</f>
        <v>25</v>
      </c>
      <c r="BR54" s="105">
        <f>IF(AND('Marks Entry'!BG54="",'Marks Entry'!BH54=""),"",SUM('Marks Entry'!BG54:BH54))</f>
        <v>82</v>
      </c>
      <c r="BS54" s="105">
        <f t="shared" si="56"/>
        <v>137</v>
      </c>
      <c r="BT54" s="105" t="str">
        <f t="shared" si="57"/>
        <v/>
      </c>
      <c r="BU54" s="105" t="str">
        <f t="shared" si="58"/>
        <v/>
      </c>
      <c r="BV54" s="105">
        <f>IF('Marks Entry'!BJ54="","",'Marks Entry'!BJ54)</f>
        <v>15</v>
      </c>
      <c r="BW54" s="105">
        <f>IF('Marks Entry'!BK54="","",'Marks Entry'!BK54)</f>
        <v>15</v>
      </c>
      <c r="BX54" s="105">
        <f>IF(AND('Marks Entry'!BL54="",'Marks Entry'!BM54=""),"",SUM('Marks Entry'!BL54:BM54))</f>
        <v>25</v>
      </c>
      <c r="BY54" s="105">
        <f>IF(AND('Marks Entry'!BN54="",'Marks Entry'!BO54=""),"",SUM('Marks Entry'!BN54:BO54))</f>
        <v>82</v>
      </c>
      <c r="BZ54" s="105">
        <f t="shared" si="59"/>
        <v>137</v>
      </c>
      <c r="CA54" s="105" t="str">
        <f t="shared" si="60"/>
        <v/>
      </c>
      <c r="CB54" s="105" t="str">
        <f t="shared" si="61"/>
        <v/>
      </c>
      <c r="CC54" s="105" t="str">
        <f>IF('Marks Entry'!BQ54="","",'Marks Entry'!BQ54)</f>
        <v/>
      </c>
      <c r="CD54" s="105" t="str">
        <f>IF('Marks Entry'!BR54="","",'Marks Entry'!BR54)</f>
        <v/>
      </c>
      <c r="CE54" s="105" t="str">
        <f>IF(AND('Marks Entry'!BS54="",'Marks Entry'!BT54=""),"",SUM('Marks Entry'!BS54:BT54))</f>
        <v/>
      </c>
      <c r="CF54" s="105" t="str">
        <f>IF(AND('Marks Entry'!BU54="",'Marks Entry'!BV54=""),"",SUM('Marks Entry'!BU54:BV54))</f>
        <v/>
      </c>
      <c r="CG54" s="105" t="str">
        <f t="shared" si="62"/>
        <v/>
      </c>
      <c r="CH54" s="105" t="str">
        <f t="shared" si="63"/>
        <v/>
      </c>
      <c r="CI54" s="105" t="str">
        <f t="shared" si="64"/>
        <v/>
      </c>
      <c r="CJ54" s="81"/>
      <c r="CK54" s="50" t="str">
        <f t="shared" si="73"/>
        <v/>
      </c>
      <c r="CM54" s="105" t="str">
        <f t="shared" si="74"/>
        <v/>
      </c>
      <c r="CN54" s="105" t="str">
        <f t="shared" si="75"/>
        <v/>
      </c>
      <c r="CO54" s="105" t="str">
        <f t="shared" si="76"/>
        <v/>
      </c>
      <c r="CP54" s="105" t="str">
        <f t="shared" si="77"/>
        <v/>
      </c>
      <c r="CQ54" s="105" t="str">
        <f t="shared" si="78"/>
        <v/>
      </c>
      <c r="CS54" s="105">
        <f t="shared" si="79"/>
        <v>0</v>
      </c>
      <c r="CT54" s="105">
        <f t="shared" si="80"/>
        <v>0</v>
      </c>
      <c r="CU54" s="105">
        <f t="shared" si="81"/>
        <v>0</v>
      </c>
      <c r="CV54" s="105">
        <f t="shared" si="82"/>
        <v>0</v>
      </c>
      <c r="CW54" s="81"/>
      <c r="CX54" s="105" t="str">
        <f t="shared" si="83"/>
        <v/>
      </c>
      <c r="CY54" s="105" t="str">
        <f t="shared" si="84"/>
        <v/>
      </c>
      <c r="CZ54" s="105" t="str">
        <f t="shared" si="85"/>
        <v/>
      </c>
      <c r="DA54" s="105" t="str">
        <f t="shared" si="86"/>
        <v/>
      </c>
      <c r="DB54" s="105" t="str">
        <f t="shared" si="87"/>
        <v/>
      </c>
      <c r="DD54" s="105" t="str">
        <f t="shared" si="88"/>
        <v/>
      </c>
      <c r="DE54" s="105" t="str">
        <f t="shared" si="89"/>
        <v/>
      </c>
      <c r="DF54" s="105" t="str">
        <f t="shared" si="90"/>
        <v/>
      </c>
      <c r="DG54" s="105" t="str">
        <f t="shared" si="91"/>
        <v/>
      </c>
      <c r="DH54" s="105" t="str">
        <f t="shared" si="92"/>
        <v/>
      </c>
      <c r="DI54" s="105" t="str">
        <f t="shared" si="93"/>
        <v/>
      </c>
      <c r="DJ54" s="105" t="str">
        <f t="shared" si="94"/>
        <v/>
      </c>
      <c r="DK54" s="105" t="str">
        <f t="shared" si="95"/>
        <v/>
      </c>
      <c r="DL54" s="105" t="str">
        <f t="shared" si="96"/>
        <v/>
      </c>
      <c r="DM54" s="105" t="str">
        <f t="shared" si="97"/>
        <v/>
      </c>
      <c r="DN54" s="105" t="str">
        <f t="shared" si="98"/>
        <v/>
      </c>
      <c r="DO54" s="105" t="str">
        <f t="shared" si="99"/>
        <v/>
      </c>
      <c r="DP54" s="105" t="str">
        <f t="shared" si="100"/>
        <v/>
      </c>
      <c r="DR54" s="118" t="str">
        <f t="shared" si="65"/>
        <v xml:space="preserve">    </v>
      </c>
      <c r="DS54" s="75"/>
      <c r="DT54" s="119" t="str">
        <f t="shared" si="66"/>
        <v xml:space="preserve">    </v>
      </c>
      <c r="DU54" s="136"/>
      <c r="DV54" s="119" t="str">
        <f t="shared" si="67"/>
        <v xml:space="preserve">    </v>
      </c>
      <c r="DW54" s="75"/>
      <c r="DX54" s="119" t="str">
        <f t="shared" si="68"/>
        <v xml:space="preserve">     </v>
      </c>
      <c r="DY54" s="75"/>
      <c r="DZ54" s="119" t="str">
        <f t="shared" si="69"/>
        <v xml:space="preserve">    </v>
      </c>
    </row>
    <row r="55" spans="1:130" ht="30" customHeight="1" x14ac:dyDescent="0.25">
      <c r="A55" s="105" t="str">
        <f>IF('Marks Entry'!A55="","",'Marks Entry'!A55)</f>
        <v/>
      </c>
      <c r="B55" s="105" t="str">
        <f>IF('Marks Entry'!B55="","",'Marks Entry'!B55)</f>
        <v/>
      </c>
      <c r="C55" s="105" t="str">
        <f>IF('Marks Entry'!C55="","",'Marks Entry'!C55)</f>
        <v/>
      </c>
      <c r="D55" s="48" t="str">
        <f>IF('Marks Entry'!D55="","",'Marks Entry'!D55)</f>
        <v/>
      </c>
      <c r="E55" s="48" t="str">
        <f>IF('Marks Entry'!E55="","",'Marks Entry'!E55)</f>
        <v/>
      </c>
      <c r="F55" s="48" t="str">
        <f>IF('Marks Entry'!F55="","",'Marks Entry'!F55)</f>
        <v/>
      </c>
      <c r="G55" s="105" t="str">
        <f>IF('Marks Entry'!G55="","",'Marks Entry'!G55)</f>
        <v/>
      </c>
      <c r="H55" s="49" t="str">
        <f>IF('Marks Entry'!H55="","",'Marks Entry'!H55)</f>
        <v/>
      </c>
      <c r="I55" s="105" t="str">
        <f>IF('Marks Entry'!I55="","",'Marks Entry'!I55)</f>
        <v/>
      </c>
      <c r="J55" s="105">
        <f>IF('Marks Entry'!K55="","",'Marks Entry'!K55)</f>
        <v>10</v>
      </c>
      <c r="K55" s="105">
        <f>IF('Marks Entry'!L55="","",'Marks Entry'!L55)</f>
        <v>20</v>
      </c>
      <c r="L55" s="105">
        <f>IF(AND('Marks Entry'!M55="",'Marks Entry'!N55=""),"",SUM('Marks Entry'!M55:N55))</f>
        <v>15</v>
      </c>
      <c r="M55" s="105">
        <f>IF(AND('Marks Entry'!O55="",'Marks Entry'!P55=""),"",SUM('Marks Entry'!O55:P55))</f>
        <v>93</v>
      </c>
      <c r="N55" s="105">
        <f t="shared" si="70"/>
        <v>138</v>
      </c>
      <c r="O55" s="105" t="str">
        <f t="shared" si="33"/>
        <v/>
      </c>
      <c r="P55" s="105" t="str">
        <f t="shared" si="34"/>
        <v/>
      </c>
      <c r="Q55" s="105">
        <f>IF('Marks Entry'!R55="","",'Marks Entry'!R55)</f>
        <v>10</v>
      </c>
      <c r="R55" s="105">
        <f>IF('Marks Entry'!S55="","",'Marks Entry'!S55)</f>
        <v>10</v>
      </c>
      <c r="S55" s="105">
        <f>IF(AND('Marks Entry'!T55="",'Marks Entry'!U55=""),"",SUM('Marks Entry'!T55:U55))</f>
        <v>40</v>
      </c>
      <c r="T55" s="105">
        <f>IF(AND('Marks Entry'!V55="",'Marks Entry'!W55=""),"",SUM('Marks Entry'!V55:W55))</f>
        <v>84</v>
      </c>
      <c r="U55" s="105">
        <f t="shared" si="35"/>
        <v>144</v>
      </c>
      <c r="V55" s="105" t="str">
        <f t="shared" si="36"/>
        <v/>
      </c>
      <c r="W55" s="105" t="str">
        <f t="shared" si="37"/>
        <v/>
      </c>
      <c r="X55" s="47" t="str">
        <f>IF(B55="","",IF('Marks Entry'!Y55="",'Marks Entry'!$Y$4,'Marks Entry'!Y55))</f>
        <v/>
      </c>
      <c r="Y55" s="105">
        <f>IF('Marks Entry'!Z55="","",'Marks Entry'!Z55)</f>
        <v>10</v>
      </c>
      <c r="Z55" s="105">
        <f>IF('Marks Entry'!AA55="","",'Marks Entry'!AA55)</f>
        <v>10</v>
      </c>
      <c r="AA55" s="105">
        <f>IF(AND('Marks Entry'!AB55="",'Marks Entry'!AC55=""),"",SUM('Marks Entry'!AB55:AC55))</f>
        <v>40</v>
      </c>
      <c r="AB55" s="105" t="str">
        <f>IF('Marks Entry'!AD55="","",'Marks Entry'!AD55)</f>
        <v/>
      </c>
      <c r="AC55" s="105">
        <f t="shared" si="38"/>
        <v>40</v>
      </c>
      <c r="AD55" s="105">
        <f>IF(AND('Marks Entry'!AE55="",'Marks Entry'!AF55=""),"",SUM('Marks Entry'!AE55:AF55))</f>
        <v>41</v>
      </c>
      <c r="AE55" s="105" t="str">
        <f>IF('Marks Entry'!AG55="","",'Marks Entry'!AG55)</f>
        <v/>
      </c>
      <c r="AF55" s="105">
        <f t="shared" si="39"/>
        <v>41</v>
      </c>
      <c r="AG55" s="105">
        <f t="shared" si="40"/>
        <v>101</v>
      </c>
      <c r="AH55" s="105" t="str">
        <f t="shared" si="41"/>
        <v/>
      </c>
      <c r="AI55" s="105" t="str">
        <f t="shared" si="42"/>
        <v/>
      </c>
      <c r="AJ55" s="47" t="str">
        <f>IF(B55="","",IF('Marks Entry'!AI55="",'Marks Entry'!$AI$4,'Marks Entry'!AI55))</f>
        <v/>
      </c>
      <c r="AK55" s="105">
        <f>IF('Marks Entry'!AJ55="","",'Marks Entry'!AJ55)</f>
        <v>10</v>
      </c>
      <c r="AL55" s="105">
        <f>IF('Marks Entry'!AK55="","",'Marks Entry'!AK55)</f>
        <v>10</v>
      </c>
      <c r="AM55" s="105">
        <f>IF(AND('Marks Entry'!AL55="",'Marks Entry'!AM55=""),"",SUM('Marks Entry'!AL55:AM55))</f>
        <v>40</v>
      </c>
      <c r="AN55" s="105" t="str">
        <f>IF('Marks Entry'!AN55="","",'Marks Entry'!AN55)</f>
        <v/>
      </c>
      <c r="AO55" s="105">
        <f t="shared" si="43"/>
        <v>40</v>
      </c>
      <c r="AP55" s="105">
        <f>IF(AND('Marks Entry'!AO55="",'Marks Entry'!AP55=""),"",SUM('Marks Entry'!AO55:AP55))</f>
        <v>65</v>
      </c>
      <c r="AQ55" s="105" t="str">
        <f>IF('Marks Entry'!AQ55="","",'Marks Entry'!AQ55)</f>
        <v/>
      </c>
      <c r="AR55" s="105">
        <f t="shared" si="44"/>
        <v>65</v>
      </c>
      <c r="AS55" s="105">
        <f t="shared" si="45"/>
        <v>125</v>
      </c>
      <c r="AT55" s="105" t="str">
        <f t="shared" si="46"/>
        <v/>
      </c>
      <c r="AU55" s="105" t="str">
        <f t="shared" si="47"/>
        <v/>
      </c>
      <c r="AV55" s="47" t="str">
        <f>IF(B55="","",IF('Marks Entry'!AS55="",'Marks Entry'!$AS$4,'Marks Entry'!AS55))</f>
        <v/>
      </c>
      <c r="AW55" s="105">
        <f>IF('Marks Entry'!AT55="","",'Marks Entry'!AT55)</f>
        <v>10</v>
      </c>
      <c r="AX55" s="105">
        <f>IF('Marks Entry'!AU55="","",'Marks Entry'!AU55)</f>
        <v>10</v>
      </c>
      <c r="AY55" s="105">
        <f>IF(AND('Marks Entry'!AV55="",'Marks Entry'!AW55=""),"",SUM('Marks Entry'!AV55:AW55))</f>
        <v>20</v>
      </c>
      <c r="AZ55" s="105">
        <f>IF('Marks Entry'!AX55="","",'Marks Entry'!AX55)</f>
        <v>10</v>
      </c>
      <c r="BA55" s="105">
        <f t="shared" si="48"/>
        <v>30</v>
      </c>
      <c r="BB55" s="105">
        <f>IF(AND('Marks Entry'!AY55="",'Marks Entry'!AZ55=""),"",SUM('Marks Entry'!AY55:AZ55))</f>
        <v>38</v>
      </c>
      <c r="BC55" s="105">
        <f>IF('Marks Entry'!BA55="","",'Marks Entry'!BA55)</f>
        <v>16</v>
      </c>
      <c r="BD55" s="105">
        <f t="shared" si="49"/>
        <v>54</v>
      </c>
      <c r="BE55" s="105">
        <f t="shared" si="50"/>
        <v>104</v>
      </c>
      <c r="BF55" s="105" t="str">
        <f t="shared" si="51"/>
        <v/>
      </c>
      <c r="BG55" s="105" t="str">
        <f t="shared" si="52"/>
        <v/>
      </c>
      <c r="BH55" s="105" t="str">
        <f t="shared" si="53"/>
        <v/>
      </c>
      <c r="BI55" s="50" t="str">
        <f t="shared" si="71"/>
        <v/>
      </c>
      <c r="BJ55" s="47" t="str">
        <f t="shared" si="72"/>
        <v/>
      </c>
      <c r="BK55" s="105" t="str">
        <f t="shared" si="54"/>
        <v/>
      </c>
      <c r="BL55" s="105" t="str">
        <f t="shared" si="55"/>
        <v/>
      </c>
      <c r="BM55" s="105" t="str">
        <f>IF(OR(B55="",'Marks Entry'!BY55=""),"",'Marks Entry'!BY55)</f>
        <v/>
      </c>
      <c r="BN55" s="105" t="str">
        <f>IF(OR(B55="",'Marks Entry'!BZ55=""),"",'Marks Entry'!BZ55)</f>
        <v/>
      </c>
      <c r="BO55" s="105">
        <f>IF('Marks Entry'!BC55="","",'Marks Entry'!BC55)</f>
        <v>15</v>
      </c>
      <c r="BP55" s="105">
        <f>IF('Marks Entry'!BD55="","",'Marks Entry'!BD55)</f>
        <v>15</v>
      </c>
      <c r="BQ55" s="105">
        <f>IF(AND('Marks Entry'!BE55="",'Marks Entry'!BF55=""),"",SUM('Marks Entry'!BE55:BF55))</f>
        <v>25</v>
      </c>
      <c r="BR55" s="105">
        <f>IF(AND('Marks Entry'!BG55="",'Marks Entry'!BH55=""),"",SUM('Marks Entry'!BG55:BH55))</f>
        <v>82</v>
      </c>
      <c r="BS55" s="105">
        <f t="shared" si="56"/>
        <v>137</v>
      </c>
      <c r="BT55" s="105" t="str">
        <f t="shared" si="57"/>
        <v/>
      </c>
      <c r="BU55" s="105" t="str">
        <f t="shared" si="58"/>
        <v/>
      </c>
      <c r="BV55" s="105">
        <f>IF('Marks Entry'!BJ55="","",'Marks Entry'!BJ55)</f>
        <v>15</v>
      </c>
      <c r="BW55" s="105">
        <f>IF('Marks Entry'!BK55="","",'Marks Entry'!BK55)</f>
        <v>15</v>
      </c>
      <c r="BX55" s="105">
        <f>IF(AND('Marks Entry'!BL55="",'Marks Entry'!BM55=""),"",SUM('Marks Entry'!BL55:BM55))</f>
        <v>25</v>
      </c>
      <c r="BY55" s="105">
        <f>IF(AND('Marks Entry'!BN55="",'Marks Entry'!BO55=""),"",SUM('Marks Entry'!BN55:BO55))</f>
        <v>82</v>
      </c>
      <c r="BZ55" s="105">
        <f t="shared" si="59"/>
        <v>137</v>
      </c>
      <c r="CA55" s="105" t="str">
        <f t="shared" si="60"/>
        <v/>
      </c>
      <c r="CB55" s="105" t="str">
        <f t="shared" si="61"/>
        <v/>
      </c>
      <c r="CC55" s="105" t="str">
        <f>IF('Marks Entry'!BQ55="","",'Marks Entry'!BQ55)</f>
        <v/>
      </c>
      <c r="CD55" s="105" t="str">
        <f>IF('Marks Entry'!BR55="","",'Marks Entry'!BR55)</f>
        <v/>
      </c>
      <c r="CE55" s="105" t="str">
        <f>IF(AND('Marks Entry'!BS55="",'Marks Entry'!BT55=""),"",SUM('Marks Entry'!BS55:BT55))</f>
        <v/>
      </c>
      <c r="CF55" s="105" t="str">
        <f>IF(AND('Marks Entry'!BU55="",'Marks Entry'!BV55=""),"",SUM('Marks Entry'!BU55:BV55))</f>
        <v/>
      </c>
      <c r="CG55" s="105" t="str">
        <f t="shared" si="62"/>
        <v/>
      </c>
      <c r="CH55" s="105" t="str">
        <f t="shared" si="63"/>
        <v/>
      </c>
      <c r="CI55" s="105" t="str">
        <f t="shared" si="64"/>
        <v/>
      </c>
      <c r="CJ55" s="81"/>
      <c r="CK55" s="50" t="str">
        <f t="shared" si="73"/>
        <v/>
      </c>
      <c r="CM55" s="105" t="str">
        <f t="shared" si="74"/>
        <v/>
      </c>
      <c r="CN55" s="105" t="str">
        <f t="shared" si="75"/>
        <v/>
      </c>
      <c r="CO55" s="105" t="str">
        <f t="shared" si="76"/>
        <v/>
      </c>
      <c r="CP55" s="105" t="str">
        <f t="shared" si="77"/>
        <v/>
      </c>
      <c r="CQ55" s="105" t="str">
        <f t="shared" si="78"/>
        <v/>
      </c>
      <c r="CS55" s="105">
        <f t="shared" si="79"/>
        <v>0</v>
      </c>
      <c r="CT55" s="105">
        <f t="shared" si="80"/>
        <v>0</v>
      </c>
      <c r="CU55" s="105">
        <f t="shared" si="81"/>
        <v>0</v>
      </c>
      <c r="CV55" s="105">
        <f t="shared" si="82"/>
        <v>0</v>
      </c>
      <c r="CW55" s="81"/>
      <c r="CX55" s="105" t="str">
        <f t="shared" si="83"/>
        <v/>
      </c>
      <c r="CY55" s="105" t="str">
        <f t="shared" si="84"/>
        <v/>
      </c>
      <c r="CZ55" s="105" t="str">
        <f t="shared" si="85"/>
        <v/>
      </c>
      <c r="DA55" s="105" t="str">
        <f t="shared" si="86"/>
        <v/>
      </c>
      <c r="DB55" s="105" t="str">
        <f t="shared" si="87"/>
        <v/>
      </c>
      <c r="DD55" s="105" t="str">
        <f t="shared" si="88"/>
        <v/>
      </c>
      <c r="DE55" s="105" t="str">
        <f t="shared" si="89"/>
        <v/>
      </c>
      <c r="DF55" s="105" t="str">
        <f t="shared" si="90"/>
        <v/>
      </c>
      <c r="DG55" s="105" t="str">
        <f t="shared" si="91"/>
        <v/>
      </c>
      <c r="DH55" s="105" t="str">
        <f t="shared" si="92"/>
        <v/>
      </c>
      <c r="DI55" s="105" t="str">
        <f t="shared" si="93"/>
        <v/>
      </c>
      <c r="DJ55" s="105" t="str">
        <f t="shared" si="94"/>
        <v/>
      </c>
      <c r="DK55" s="105" t="str">
        <f t="shared" si="95"/>
        <v/>
      </c>
      <c r="DL55" s="105" t="str">
        <f t="shared" si="96"/>
        <v/>
      </c>
      <c r="DM55" s="105" t="str">
        <f t="shared" si="97"/>
        <v/>
      </c>
      <c r="DN55" s="105" t="str">
        <f t="shared" si="98"/>
        <v/>
      </c>
      <c r="DO55" s="105" t="str">
        <f t="shared" si="99"/>
        <v/>
      </c>
      <c r="DP55" s="105" t="str">
        <f t="shared" si="100"/>
        <v/>
      </c>
      <c r="DR55" s="118" t="str">
        <f t="shared" si="65"/>
        <v xml:space="preserve">    </v>
      </c>
      <c r="DS55" s="75"/>
      <c r="DT55" s="119" t="str">
        <f t="shared" si="66"/>
        <v xml:space="preserve">    </v>
      </c>
      <c r="DU55" s="136"/>
      <c r="DV55" s="119" t="str">
        <f t="shared" si="67"/>
        <v xml:space="preserve">    </v>
      </c>
      <c r="DW55" s="75"/>
      <c r="DX55" s="119" t="str">
        <f t="shared" si="68"/>
        <v xml:space="preserve">     </v>
      </c>
      <c r="DY55" s="75"/>
      <c r="DZ55" s="119" t="str">
        <f t="shared" si="69"/>
        <v xml:space="preserve">    </v>
      </c>
    </row>
    <row r="56" spans="1:130" ht="30" customHeight="1" x14ac:dyDescent="0.25">
      <c r="A56" s="105" t="str">
        <f>IF('Marks Entry'!A56="","",'Marks Entry'!A56)</f>
        <v/>
      </c>
      <c r="B56" s="105" t="str">
        <f>IF('Marks Entry'!B56="","",'Marks Entry'!B56)</f>
        <v/>
      </c>
      <c r="C56" s="105" t="str">
        <f>IF('Marks Entry'!C56="","",'Marks Entry'!C56)</f>
        <v/>
      </c>
      <c r="D56" s="48" t="str">
        <f>IF('Marks Entry'!D56="","",'Marks Entry'!D56)</f>
        <v/>
      </c>
      <c r="E56" s="48" t="str">
        <f>IF('Marks Entry'!E56="","",'Marks Entry'!E56)</f>
        <v/>
      </c>
      <c r="F56" s="48" t="str">
        <f>IF('Marks Entry'!F56="","",'Marks Entry'!F56)</f>
        <v/>
      </c>
      <c r="G56" s="105" t="str">
        <f>IF('Marks Entry'!G56="","",'Marks Entry'!G56)</f>
        <v/>
      </c>
      <c r="H56" s="49" t="str">
        <f>IF('Marks Entry'!H56="","",'Marks Entry'!H56)</f>
        <v/>
      </c>
      <c r="I56" s="105" t="str">
        <f>IF('Marks Entry'!I56="","",'Marks Entry'!I56)</f>
        <v/>
      </c>
      <c r="J56" s="105">
        <f>IF('Marks Entry'!K56="","",'Marks Entry'!K56)</f>
        <v>10</v>
      </c>
      <c r="K56" s="105">
        <f>IF('Marks Entry'!L56="","",'Marks Entry'!L56)</f>
        <v>20</v>
      </c>
      <c r="L56" s="105">
        <f>IF(AND('Marks Entry'!M56="",'Marks Entry'!N56=""),"",SUM('Marks Entry'!M56:N56))</f>
        <v>15</v>
      </c>
      <c r="M56" s="105">
        <f>IF(AND('Marks Entry'!O56="",'Marks Entry'!P56=""),"",SUM('Marks Entry'!O56:P56))</f>
        <v>94</v>
      </c>
      <c r="N56" s="105">
        <f t="shared" si="70"/>
        <v>139</v>
      </c>
      <c r="O56" s="105" t="str">
        <f t="shared" si="33"/>
        <v/>
      </c>
      <c r="P56" s="105" t="str">
        <f t="shared" si="34"/>
        <v/>
      </c>
      <c r="Q56" s="105">
        <f>IF('Marks Entry'!R56="","",'Marks Entry'!R56)</f>
        <v>10</v>
      </c>
      <c r="R56" s="105">
        <f>IF('Marks Entry'!S56="","",'Marks Entry'!S56)</f>
        <v>10</v>
      </c>
      <c r="S56" s="105">
        <f>IF(AND('Marks Entry'!T56="",'Marks Entry'!U56=""),"",SUM('Marks Entry'!T56:U56))</f>
        <v>40</v>
      </c>
      <c r="T56" s="105">
        <f>IF(AND('Marks Entry'!V56="",'Marks Entry'!W56=""),"",SUM('Marks Entry'!V56:W56))</f>
        <v>85</v>
      </c>
      <c r="U56" s="105">
        <f t="shared" si="35"/>
        <v>145</v>
      </c>
      <c r="V56" s="105" t="str">
        <f t="shared" si="36"/>
        <v/>
      </c>
      <c r="W56" s="105" t="str">
        <f t="shared" si="37"/>
        <v/>
      </c>
      <c r="X56" s="47" t="str">
        <f>IF(B56="","",IF('Marks Entry'!Y56="",'Marks Entry'!$Y$4,'Marks Entry'!Y56))</f>
        <v/>
      </c>
      <c r="Y56" s="105">
        <f>IF('Marks Entry'!Z56="","",'Marks Entry'!Z56)</f>
        <v>10</v>
      </c>
      <c r="Z56" s="105">
        <f>IF('Marks Entry'!AA56="","",'Marks Entry'!AA56)</f>
        <v>10</v>
      </c>
      <c r="AA56" s="105">
        <f>IF(AND('Marks Entry'!AB56="",'Marks Entry'!AC56=""),"",SUM('Marks Entry'!AB56:AC56))</f>
        <v>40</v>
      </c>
      <c r="AB56" s="105" t="str">
        <f>IF('Marks Entry'!AD56="","",'Marks Entry'!AD56)</f>
        <v/>
      </c>
      <c r="AC56" s="105">
        <f t="shared" si="38"/>
        <v>40</v>
      </c>
      <c r="AD56" s="105">
        <f>IF(AND('Marks Entry'!AE56="",'Marks Entry'!AF56=""),"",SUM('Marks Entry'!AE56:AF56))</f>
        <v>41</v>
      </c>
      <c r="AE56" s="105" t="str">
        <f>IF('Marks Entry'!AG56="","",'Marks Entry'!AG56)</f>
        <v/>
      </c>
      <c r="AF56" s="105">
        <f t="shared" si="39"/>
        <v>41</v>
      </c>
      <c r="AG56" s="105">
        <f t="shared" si="40"/>
        <v>101</v>
      </c>
      <c r="AH56" s="105" t="str">
        <f t="shared" si="41"/>
        <v/>
      </c>
      <c r="AI56" s="105" t="str">
        <f t="shared" si="42"/>
        <v/>
      </c>
      <c r="AJ56" s="47" t="str">
        <f>IF(B56="","",IF('Marks Entry'!AI56="",'Marks Entry'!$AI$4,'Marks Entry'!AI56))</f>
        <v/>
      </c>
      <c r="AK56" s="105">
        <f>IF('Marks Entry'!AJ56="","",'Marks Entry'!AJ56)</f>
        <v>10</v>
      </c>
      <c r="AL56" s="105">
        <f>IF('Marks Entry'!AK56="","",'Marks Entry'!AK56)</f>
        <v>10</v>
      </c>
      <c r="AM56" s="105">
        <f>IF(AND('Marks Entry'!AL56="",'Marks Entry'!AM56=""),"",SUM('Marks Entry'!AL56:AM56))</f>
        <v>40</v>
      </c>
      <c r="AN56" s="105" t="str">
        <f>IF('Marks Entry'!AN56="","",'Marks Entry'!AN56)</f>
        <v/>
      </c>
      <c r="AO56" s="105">
        <f t="shared" si="43"/>
        <v>40</v>
      </c>
      <c r="AP56" s="105">
        <f>IF(AND('Marks Entry'!AO56="",'Marks Entry'!AP56=""),"",SUM('Marks Entry'!AO56:AP56))</f>
        <v>60</v>
      </c>
      <c r="AQ56" s="105" t="str">
        <f>IF('Marks Entry'!AQ56="","",'Marks Entry'!AQ56)</f>
        <v/>
      </c>
      <c r="AR56" s="105">
        <f t="shared" si="44"/>
        <v>60</v>
      </c>
      <c r="AS56" s="105">
        <f t="shared" si="45"/>
        <v>120</v>
      </c>
      <c r="AT56" s="105" t="str">
        <f t="shared" si="46"/>
        <v/>
      </c>
      <c r="AU56" s="105" t="str">
        <f t="shared" si="47"/>
        <v/>
      </c>
      <c r="AV56" s="47" t="str">
        <f>IF(B56="","",IF('Marks Entry'!AS56="",'Marks Entry'!$AS$4,'Marks Entry'!AS56))</f>
        <v/>
      </c>
      <c r="AW56" s="105">
        <f>IF('Marks Entry'!AT56="","",'Marks Entry'!AT56)</f>
        <v>10</v>
      </c>
      <c r="AX56" s="105">
        <f>IF('Marks Entry'!AU56="","",'Marks Entry'!AU56)</f>
        <v>10</v>
      </c>
      <c r="AY56" s="105">
        <f>IF(AND('Marks Entry'!AV56="",'Marks Entry'!AW56=""),"",SUM('Marks Entry'!AV56:AW56))</f>
        <v>23</v>
      </c>
      <c r="AZ56" s="105">
        <f>IF('Marks Entry'!AX56="","",'Marks Entry'!AX56)</f>
        <v>12</v>
      </c>
      <c r="BA56" s="105">
        <f t="shared" si="48"/>
        <v>35</v>
      </c>
      <c r="BB56" s="105">
        <f>IF(AND('Marks Entry'!AY56="",'Marks Entry'!AZ56=""),"",SUM('Marks Entry'!AY56:AZ56))</f>
        <v>37</v>
      </c>
      <c r="BC56" s="105">
        <f>IF('Marks Entry'!BA56="","",'Marks Entry'!BA56)</f>
        <v>14</v>
      </c>
      <c r="BD56" s="105">
        <f t="shared" si="49"/>
        <v>51</v>
      </c>
      <c r="BE56" s="105">
        <f t="shared" si="50"/>
        <v>106</v>
      </c>
      <c r="BF56" s="105" t="str">
        <f t="shared" si="51"/>
        <v/>
      </c>
      <c r="BG56" s="105" t="str">
        <f t="shared" si="52"/>
        <v/>
      </c>
      <c r="BH56" s="105" t="str">
        <f t="shared" si="53"/>
        <v/>
      </c>
      <c r="BI56" s="50" t="str">
        <f t="shared" si="71"/>
        <v/>
      </c>
      <c r="BJ56" s="47" t="str">
        <f t="shared" si="72"/>
        <v/>
      </c>
      <c r="BK56" s="105" t="str">
        <f t="shared" si="54"/>
        <v/>
      </c>
      <c r="BL56" s="105" t="str">
        <f t="shared" si="55"/>
        <v/>
      </c>
      <c r="BM56" s="105" t="str">
        <f>IF(OR(B56="",'Marks Entry'!BY56=""),"",'Marks Entry'!BY56)</f>
        <v/>
      </c>
      <c r="BN56" s="105" t="str">
        <f>IF(OR(B56="",'Marks Entry'!BZ56=""),"",'Marks Entry'!BZ56)</f>
        <v/>
      </c>
      <c r="BO56" s="105">
        <f>IF('Marks Entry'!BC56="","",'Marks Entry'!BC56)</f>
        <v>15</v>
      </c>
      <c r="BP56" s="105">
        <f>IF('Marks Entry'!BD56="","",'Marks Entry'!BD56)</f>
        <v>15</v>
      </c>
      <c r="BQ56" s="105">
        <f>IF(AND('Marks Entry'!BE56="",'Marks Entry'!BF56=""),"",SUM('Marks Entry'!BE56:BF56))</f>
        <v>25</v>
      </c>
      <c r="BR56" s="105">
        <f>IF(AND('Marks Entry'!BG56="",'Marks Entry'!BH56=""),"",SUM('Marks Entry'!BG56:BH56))</f>
        <v>82</v>
      </c>
      <c r="BS56" s="105">
        <f t="shared" si="56"/>
        <v>137</v>
      </c>
      <c r="BT56" s="105" t="str">
        <f t="shared" si="57"/>
        <v/>
      </c>
      <c r="BU56" s="105" t="str">
        <f t="shared" si="58"/>
        <v/>
      </c>
      <c r="BV56" s="105">
        <f>IF('Marks Entry'!BJ56="","",'Marks Entry'!BJ56)</f>
        <v>15</v>
      </c>
      <c r="BW56" s="105">
        <f>IF('Marks Entry'!BK56="","",'Marks Entry'!BK56)</f>
        <v>15</v>
      </c>
      <c r="BX56" s="105">
        <f>IF(AND('Marks Entry'!BL56="",'Marks Entry'!BM56=""),"",SUM('Marks Entry'!BL56:BM56))</f>
        <v>25</v>
      </c>
      <c r="BY56" s="105">
        <f>IF(AND('Marks Entry'!BN56="",'Marks Entry'!BO56=""),"",SUM('Marks Entry'!BN56:BO56))</f>
        <v>82</v>
      </c>
      <c r="BZ56" s="105">
        <f t="shared" si="59"/>
        <v>137</v>
      </c>
      <c r="CA56" s="105" t="str">
        <f t="shared" si="60"/>
        <v/>
      </c>
      <c r="CB56" s="105" t="str">
        <f t="shared" si="61"/>
        <v/>
      </c>
      <c r="CC56" s="105" t="str">
        <f>IF('Marks Entry'!BQ56="","",'Marks Entry'!BQ56)</f>
        <v/>
      </c>
      <c r="CD56" s="105" t="str">
        <f>IF('Marks Entry'!BR56="","",'Marks Entry'!BR56)</f>
        <v/>
      </c>
      <c r="CE56" s="105" t="str">
        <f>IF(AND('Marks Entry'!BS56="",'Marks Entry'!BT56=""),"",SUM('Marks Entry'!BS56:BT56))</f>
        <v/>
      </c>
      <c r="CF56" s="105" t="str">
        <f>IF(AND('Marks Entry'!BU56="",'Marks Entry'!BV56=""),"",SUM('Marks Entry'!BU56:BV56))</f>
        <v/>
      </c>
      <c r="CG56" s="105" t="str">
        <f t="shared" si="62"/>
        <v/>
      </c>
      <c r="CH56" s="105" t="str">
        <f t="shared" si="63"/>
        <v/>
      </c>
      <c r="CI56" s="105" t="str">
        <f t="shared" si="64"/>
        <v/>
      </c>
      <c r="CJ56" s="81"/>
      <c r="CK56" s="50" t="str">
        <f t="shared" si="73"/>
        <v/>
      </c>
      <c r="CM56" s="105" t="str">
        <f t="shared" si="74"/>
        <v/>
      </c>
      <c r="CN56" s="105" t="str">
        <f t="shared" si="75"/>
        <v/>
      </c>
      <c r="CO56" s="105" t="str">
        <f t="shared" si="76"/>
        <v/>
      </c>
      <c r="CP56" s="105" t="str">
        <f t="shared" si="77"/>
        <v/>
      </c>
      <c r="CQ56" s="105" t="str">
        <f t="shared" si="78"/>
        <v/>
      </c>
      <c r="CS56" s="105">
        <f t="shared" si="79"/>
        <v>0</v>
      </c>
      <c r="CT56" s="105">
        <f t="shared" si="80"/>
        <v>0</v>
      </c>
      <c r="CU56" s="105">
        <f t="shared" si="81"/>
        <v>0</v>
      </c>
      <c r="CV56" s="105">
        <f t="shared" si="82"/>
        <v>0</v>
      </c>
      <c r="CW56" s="81"/>
      <c r="CX56" s="105" t="str">
        <f t="shared" si="83"/>
        <v/>
      </c>
      <c r="CY56" s="105" t="str">
        <f t="shared" si="84"/>
        <v/>
      </c>
      <c r="CZ56" s="105" t="str">
        <f t="shared" si="85"/>
        <v/>
      </c>
      <c r="DA56" s="105" t="str">
        <f t="shared" si="86"/>
        <v/>
      </c>
      <c r="DB56" s="105" t="str">
        <f t="shared" si="87"/>
        <v/>
      </c>
      <c r="DD56" s="105" t="str">
        <f t="shared" si="88"/>
        <v/>
      </c>
      <c r="DE56" s="105" t="str">
        <f t="shared" si="89"/>
        <v/>
      </c>
      <c r="DF56" s="105" t="str">
        <f t="shared" si="90"/>
        <v/>
      </c>
      <c r="DG56" s="105" t="str">
        <f t="shared" si="91"/>
        <v/>
      </c>
      <c r="DH56" s="105" t="str">
        <f t="shared" si="92"/>
        <v/>
      </c>
      <c r="DI56" s="105" t="str">
        <f t="shared" si="93"/>
        <v/>
      </c>
      <c r="DJ56" s="105" t="str">
        <f t="shared" si="94"/>
        <v/>
      </c>
      <c r="DK56" s="105" t="str">
        <f t="shared" si="95"/>
        <v/>
      </c>
      <c r="DL56" s="105" t="str">
        <f t="shared" si="96"/>
        <v/>
      </c>
      <c r="DM56" s="105" t="str">
        <f t="shared" si="97"/>
        <v/>
      </c>
      <c r="DN56" s="105" t="str">
        <f t="shared" si="98"/>
        <v/>
      </c>
      <c r="DO56" s="105" t="str">
        <f t="shared" si="99"/>
        <v/>
      </c>
      <c r="DP56" s="105" t="str">
        <f t="shared" si="100"/>
        <v/>
      </c>
      <c r="DR56" s="118" t="str">
        <f t="shared" si="65"/>
        <v xml:space="preserve">    </v>
      </c>
      <c r="DS56" s="75"/>
      <c r="DT56" s="119" t="str">
        <f t="shared" si="66"/>
        <v xml:space="preserve">    </v>
      </c>
      <c r="DU56" s="136"/>
      <c r="DV56" s="119" t="str">
        <f t="shared" si="67"/>
        <v xml:space="preserve">    </v>
      </c>
      <c r="DW56" s="75"/>
      <c r="DX56" s="119" t="str">
        <f t="shared" si="68"/>
        <v xml:space="preserve">     </v>
      </c>
      <c r="DY56" s="75"/>
      <c r="DZ56" s="119" t="str">
        <f t="shared" si="69"/>
        <v xml:space="preserve">    </v>
      </c>
    </row>
    <row r="57" spans="1:130" ht="30" customHeight="1" x14ac:dyDescent="0.25">
      <c r="A57" s="105" t="str">
        <f>IF('Marks Entry'!A57="","",'Marks Entry'!A57)</f>
        <v/>
      </c>
      <c r="B57" s="105" t="str">
        <f>IF('Marks Entry'!B57="","",'Marks Entry'!B57)</f>
        <v/>
      </c>
      <c r="C57" s="105" t="str">
        <f>IF('Marks Entry'!C57="","",'Marks Entry'!C57)</f>
        <v/>
      </c>
      <c r="D57" s="48" t="str">
        <f>IF('Marks Entry'!D57="","",'Marks Entry'!D57)</f>
        <v/>
      </c>
      <c r="E57" s="48" t="str">
        <f>IF('Marks Entry'!E57="","",'Marks Entry'!E57)</f>
        <v/>
      </c>
      <c r="F57" s="48" t="str">
        <f>IF('Marks Entry'!F57="","",'Marks Entry'!F57)</f>
        <v/>
      </c>
      <c r="G57" s="105" t="str">
        <f>IF('Marks Entry'!G57="","",'Marks Entry'!G57)</f>
        <v/>
      </c>
      <c r="H57" s="49" t="str">
        <f>IF('Marks Entry'!H57="","",'Marks Entry'!H57)</f>
        <v/>
      </c>
      <c r="I57" s="105" t="str">
        <f>IF('Marks Entry'!I57="","",'Marks Entry'!I57)</f>
        <v/>
      </c>
      <c r="J57" s="105">
        <f>IF('Marks Entry'!K57="","",'Marks Entry'!K57)</f>
        <v>10</v>
      </c>
      <c r="K57" s="105">
        <f>IF('Marks Entry'!L57="","",'Marks Entry'!L57)</f>
        <v>10</v>
      </c>
      <c r="L57" s="105">
        <f>IF(AND('Marks Entry'!M57="",'Marks Entry'!N57=""),"",SUM('Marks Entry'!M57:N57))</f>
        <v>40</v>
      </c>
      <c r="M57" s="105">
        <f>IF(AND('Marks Entry'!O57="",'Marks Entry'!P57=""),"",SUM('Marks Entry'!O57:P57))</f>
        <v>95</v>
      </c>
      <c r="N57" s="105">
        <f t="shared" si="70"/>
        <v>155</v>
      </c>
      <c r="O57" s="105" t="str">
        <f t="shared" si="33"/>
        <v/>
      </c>
      <c r="P57" s="105" t="str">
        <f t="shared" si="34"/>
        <v/>
      </c>
      <c r="Q57" s="105">
        <f>IF('Marks Entry'!R57="","",'Marks Entry'!R57)</f>
        <v>15</v>
      </c>
      <c r="R57" s="105">
        <f>IF('Marks Entry'!S57="","",'Marks Entry'!S57)</f>
        <v>15</v>
      </c>
      <c r="S57" s="105">
        <f>IF(AND('Marks Entry'!T57="",'Marks Entry'!U57=""),"",SUM('Marks Entry'!T57:U57))</f>
        <v>40</v>
      </c>
      <c r="T57" s="105">
        <f>IF(AND('Marks Entry'!V57="",'Marks Entry'!W57=""),"",SUM('Marks Entry'!V57:W57))</f>
        <v>86</v>
      </c>
      <c r="U57" s="105">
        <f t="shared" si="35"/>
        <v>156</v>
      </c>
      <c r="V57" s="105" t="str">
        <f t="shared" si="36"/>
        <v/>
      </c>
      <c r="W57" s="105" t="str">
        <f t="shared" si="37"/>
        <v/>
      </c>
      <c r="X57" s="47" t="str">
        <f>IF(B57="","",IF('Marks Entry'!Y57="",'Marks Entry'!$Y$4,'Marks Entry'!Y57))</f>
        <v/>
      </c>
      <c r="Y57" s="105">
        <f>IF('Marks Entry'!Z57="","",'Marks Entry'!Z57)</f>
        <v>15</v>
      </c>
      <c r="Z57" s="105">
        <f>IF('Marks Entry'!AA57="","",'Marks Entry'!AA57)</f>
        <v>15</v>
      </c>
      <c r="AA57" s="105">
        <f>IF(AND('Marks Entry'!AB57="",'Marks Entry'!AC57=""),"",SUM('Marks Entry'!AB57:AC57))</f>
        <v>40</v>
      </c>
      <c r="AB57" s="105" t="str">
        <f>IF('Marks Entry'!AD57="","",'Marks Entry'!AD57)</f>
        <v/>
      </c>
      <c r="AC57" s="105">
        <f t="shared" si="38"/>
        <v>40</v>
      </c>
      <c r="AD57" s="105">
        <f>IF(AND('Marks Entry'!AE57="",'Marks Entry'!AF57=""),"",SUM('Marks Entry'!AE57:AF57))</f>
        <v>71</v>
      </c>
      <c r="AE57" s="105" t="str">
        <f>IF('Marks Entry'!AG57="","",'Marks Entry'!AG57)</f>
        <v/>
      </c>
      <c r="AF57" s="105">
        <f t="shared" si="39"/>
        <v>71</v>
      </c>
      <c r="AG57" s="105">
        <f t="shared" si="40"/>
        <v>141</v>
      </c>
      <c r="AH57" s="105" t="str">
        <f t="shared" si="41"/>
        <v/>
      </c>
      <c r="AI57" s="105" t="str">
        <f t="shared" si="42"/>
        <v/>
      </c>
      <c r="AJ57" s="47" t="str">
        <f>IF(B57="","",IF('Marks Entry'!AI57="",'Marks Entry'!$AI$4,'Marks Entry'!AI57))</f>
        <v/>
      </c>
      <c r="AK57" s="105">
        <f>IF('Marks Entry'!AJ57="","",'Marks Entry'!AJ57)</f>
        <v>15</v>
      </c>
      <c r="AL57" s="105">
        <f>IF('Marks Entry'!AK57="","",'Marks Entry'!AK57)</f>
        <v>15</v>
      </c>
      <c r="AM57" s="105">
        <f>IF(AND('Marks Entry'!AL57="",'Marks Entry'!AM57=""),"",SUM('Marks Entry'!AL57:AM57))</f>
        <v>40</v>
      </c>
      <c r="AN57" s="105" t="str">
        <f>IF('Marks Entry'!AN57="","",'Marks Entry'!AN57)</f>
        <v/>
      </c>
      <c r="AO57" s="105">
        <f t="shared" si="43"/>
        <v>40</v>
      </c>
      <c r="AP57" s="105">
        <f>IF(AND('Marks Entry'!AO57="",'Marks Entry'!AP57=""),"",SUM('Marks Entry'!AO57:AP57))</f>
        <v>65</v>
      </c>
      <c r="AQ57" s="105" t="str">
        <f>IF('Marks Entry'!AQ57="","",'Marks Entry'!AQ57)</f>
        <v/>
      </c>
      <c r="AR57" s="105">
        <f t="shared" si="44"/>
        <v>65</v>
      </c>
      <c r="AS57" s="105">
        <f t="shared" si="45"/>
        <v>135</v>
      </c>
      <c r="AT57" s="105" t="str">
        <f t="shared" si="46"/>
        <v/>
      </c>
      <c r="AU57" s="105" t="str">
        <f t="shared" si="47"/>
        <v/>
      </c>
      <c r="AV57" s="47" t="str">
        <f>IF(B57="","",IF('Marks Entry'!AS57="",'Marks Entry'!$AS$4,'Marks Entry'!AS57))</f>
        <v/>
      </c>
      <c r="AW57" s="105">
        <f>IF('Marks Entry'!AT57="","",'Marks Entry'!AT57)</f>
        <v>15</v>
      </c>
      <c r="AX57" s="105">
        <f>IF('Marks Entry'!AU57="","",'Marks Entry'!AU57)</f>
        <v>15</v>
      </c>
      <c r="AY57" s="105">
        <f>IF(AND('Marks Entry'!AV57="",'Marks Entry'!AW57=""),"",SUM('Marks Entry'!AV57:AW57))</f>
        <v>20</v>
      </c>
      <c r="AZ57" s="105">
        <f>IF('Marks Entry'!AX57="","",'Marks Entry'!AX57)</f>
        <v>10</v>
      </c>
      <c r="BA57" s="105">
        <f t="shared" si="48"/>
        <v>30</v>
      </c>
      <c r="BB57" s="105">
        <f>IF(AND('Marks Entry'!AY57="",'Marks Entry'!AZ57=""),"",SUM('Marks Entry'!AY57:AZ57))</f>
        <v>25</v>
      </c>
      <c r="BC57" s="105">
        <f>IF('Marks Entry'!BA57="","",'Marks Entry'!BA57)</f>
        <v>12</v>
      </c>
      <c r="BD57" s="105">
        <f t="shared" si="49"/>
        <v>37</v>
      </c>
      <c r="BE57" s="105">
        <f t="shared" si="50"/>
        <v>97</v>
      </c>
      <c r="BF57" s="105" t="str">
        <f t="shared" si="51"/>
        <v/>
      </c>
      <c r="BG57" s="105" t="str">
        <f t="shared" si="52"/>
        <v/>
      </c>
      <c r="BH57" s="105" t="str">
        <f t="shared" si="53"/>
        <v/>
      </c>
      <c r="BI57" s="50" t="str">
        <f t="shared" si="71"/>
        <v/>
      </c>
      <c r="BJ57" s="47" t="str">
        <f t="shared" si="72"/>
        <v/>
      </c>
      <c r="BK57" s="105" t="str">
        <f t="shared" si="54"/>
        <v/>
      </c>
      <c r="BL57" s="105" t="str">
        <f t="shared" si="55"/>
        <v/>
      </c>
      <c r="BM57" s="105" t="str">
        <f>IF(OR(B57="",'Marks Entry'!BY57=""),"",'Marks Entry'!BY57)</f>
        <v/>
      </c>
      <c r="BN57" s="105" t="str">
        <f>IF(OR(B57="",'Marks Entry'!BZ57=""),"",'Marks Entry'!BZ57)</f>
        <v/>
      </c>
      <c r="BO57" s="105">
        <f>IF('Marks Entry'!BC57="","",'Marks Entry'!BC57)</f>
        <v>15</v>
      </c>
      <c r="BP57" s="105">
        <f>IF('Marks Entry'!BD57="","",'Marks Entry'!BD57)</f>
        <v>15</v>
      </c>
      <c r="BQ57" s="105">
        <f>IF(AND('Marks Entry'!BE57="",'Marks Entry'!BF57=""),"",SUM('Marks Entry'!BE57:BF57))</f>
        <v>25</v>
      </c>
      <c r="BR57" s="105">
        <f>IF(AND('Marks Entry'!BG57="",'Marks Entry'!BH57=""),"",SUM('Marks Entry'!BG57:BH57))</f>
        <v>82</v>
      </c>
      <c r="BS57" s="105">
        <f t="shared" si="56"/>
        <v>137</v>
      </c>
      <c r="BT57" s="105" t="str">
        <f t="shared" si="57"/>
        <v/>
      </c>
      <c r="BU57" s="105" t="str">
        <f t="shared" si="58"/>
        <v/>
      </c>
      <c r="BV57" s="105">
        <f>IF('Marks Entry'!BJ57="","",'Marks Entry'!BJ57)</f>
        <v>15</v>
      </c>
      <c r="BW57" s="105">
        <f>IF('Marks Entry'!BK57="","",'Marks Entry'!BK57)</f>
        <v>15</v>
      </c>
      <c r="BX57" s="105">
        <f>IF(AND('Marks Entry'!BL57="",'Marks Entry'!BM57=""),"",SUM('Marks Entry'!BL57:BM57))</f>
        <v>25</v>
      </c>
      <c r="BY57" s="105">
        <f>IF(AND('Marks Entry'!BN57="",'Marks Entry'!BO57=""),"",SUM('Marks Entry'!BN57:BO57))</f>
        <v>82</v>
      </c>
      <c r="BZ57" s="105">
        <f t="shared" si="59"/>
        <v>137</v>
      </c>
      <c r="CA57" s="105" t="str">
        <f t="shared" si="60"/>
        <v/>
      </c>
      <c r="CB57" s="105" t="str">
        <f t="shared" si="61"/>
        <v/>
      </c>
      <c r="CC57" s="105" t="str">
        <f>IF('Marks Entry'!BQ57="","",'Marks Entry'!BQ57)</f>
        <v/>
      </c>
      <c r="CD57" s="105" t="str">
        <f>IF('Marks Entry'!BR57="","",'Marks Entry'!BR57)</f>
        <v/>
      </c>
      <c r="CE57" s="105" t="str">
        <f>IF(AND('Marks Entry'!BS57="",'Marks Entry'!BT57=""),"",SUM('Marks Entry'!BS57:BT57))</f>
        <v/>
      </c>
      <c r="CF57" s="105" t="str">
        <f>IF(AND('Marks Entry'!BU57="",'Marks Entry'!BV57=""),"",SUM('Marks Entry'!BU57:BV57))</f>
        <v/>
      </c>
      <c r="CG57" s="105" t="str">
        <f t="shared" si="62"/>
        <v/>
      </c>
      <c r="CH57" s="105" t="str">
        <f t="shared" si="63"/>
        <v/>
      </c>
      <c r="CI57" s="105" t="str">
        <f t="shared" si="64"/>
        <v/>
      </c>
      <c r="CJ57" s="81"/>
      <c r="CK57" s="50" t="str">
        <f t="shared" si="73"/>
        <v/>
      </c>
      <c r="CM57" s="105" t="str">
        <f t="shared" si="74"/>
        <v/>
      </c>
      <c r="CN57" s="105" t="str">
        <f t="shared" si="75"/>
        <v/>
      </c>
      <c r="CO57" s="105" t="str">
        <f t="shared" si="76"/>
        <v/>
      </c>
      <c r="CP57" s="105" t="str">
        <f t="shared" si="77"/>
        <v/>
      </c>
      <c r="CQ57" s="105" t="str">
        <f t="shared" si="78"/>
        <v/>
      </c>
      <c r="CS57" s="105">
        <f t="shared" si="79"/>
        <v>0</v>
      </c>
      <c r="CT57" s="105">
        <f t="shared" si="80"/>
        <v>0</v>
      </c>
      <c r="CU57" s="105">
        <f t="shared" si="81"/>
        <v>0</v>
      </c>
      <c r="CV57" s="105">
        <f t="shared" si="82"/>
        <v>0</v>
      </c>
      <c r="CW57" s="81"/>
      <c r="CX57" s="105" t="str">
        <f t="shared" si="83"/>
        <v/>
      </c>
      <c r="CY57" s="105" t="str">
        <f t="shared" si="84"/>
        <v/>
      </c>
      <c r="CZ57" s="105" t="str">
        <f t="shared" si="85"/>
        <v/>
      </c>
      <c r="DA57" s="105" t="str">
        <f t="shared" si="86"/>
        <v/>
      </c>
      <c r="DB57" s="105" t="str">
        <f t="shared" si="87"/>
        <v/>
      </c>
      <c r="DD57" s="105" t="str">
        <f t="shared" si="88"/>
        <v/>
      </c>
      <c r="DE57" s="105" t="str">
        <f t="shared" si="89"/>
        <v/>
      </c>
      <c r="DF57" s="105" t="str">
        <f t="shared" si="90"/>
        <v/>
      </c>
      <c r="DG57" s="105" t="str">
        <f t="shared" si="91"/>
        <v/>
      </c>
      <c r="DH57" s="105" t="str">
        <f t="shared" si="92"/>
        <v/>
      </c>
      <c r="DI57" s="105" t="str">
        <f t="shared" si="93"/>
        <v/>
      </c>
      <c r="DJ57" s="105" t="str">
        <f t="shared" si="94"/>
        <v/>
      </c>
      <c r="DK57" s="105" t="str">
        <f t="shared" si="95"/>
        <v/>
      </c>
      <c r="DL57" s="105" t="str">
        <f t="shared" si="96"/>
        <v/>
      </c>
      <c r="DM57" s="105" t="str">
        <f t="shared" si="97"/>
        <v/>
      </c>
      <c r="DN57" s="105" t="str">
        <f t="shared" si="98"/>
        <v/>
      </c>
      <c r="DO57" s="105" t="str">
        <f t="shared" si="99"/>
        <v/>
      </c>
      <c r="DP57" s="105" t="str">
        <f t="shared" si="100"/>
        <v/>
      </c>
      <c r="DR57" s="118" t="str">
        <f t="shared" si="65"/>
        <v xml:space="preserve">    </v>
      </c>
      <c r="DS57" s="75"/>
      <c r="DT57" s="119" t="str">
        <f t="shared" si="66"/>
        <v xml:space="preserve">    </v>
      </c>
      <c r="DU57" s="136"/>
      <c r="DV57" s="119" t="str">
        <f t="shared" si="67"/>
        <v xml:space="preserve">    </v>
      </c>
      <c r="DW57" s="75"/>
      <c r="DX57" s="119" t="str">
        <f t="shared" si="68"/>
        <v xml:space="preserve">     </v>
      </c>
      <c r="DY57" s="75"/>
      <c r="DZ57" s="119" t="str">
        <f t="shared" si="69"/>
        <v xml:space="preserve">    </v>
      </c>
    </row>
    <row r="58" spans="1:130" ht="30" customHeight="1" x14ac:dyDescent="0.25">
      <c r="A58" s="105" t="str">
        <f>IF('Marks Entry'!A58="","",'Marks Entry'!A58)</f>
        <v/>
      </c>
      <c r="B58" s="105" t="str">
        <f>IF('Marks Entry'!B58="","",'Marks Entry'!B58)</f>
        <v/>
      </c>
      <c r="C58" s="105" t="str">
        <f>IF('Marks Entry'!C58="","",'Marks Entry'!C58)</f>
        <v/>
      </c>
      <c r="D58" s="48" t="str">
        <f>IF('Marks Entry'!D58="","",'Marks Entry'!D58)</f>
        <v/>
      </c>
      <c r="E58" s="48" t="str">
        <f>IF('Marks Entry'!E58="","",'Marks Entry'!E58)</f>
        <v/>
      </c>
      <c r="F58" s="48" t="str">
        <f>IF('Marks Entry'!F58="","",'Marks Entry'!F58)</f>
        <v/>
      </c>
      <c r="G58" s="105" t="str">
        <f>IF('Marks Entry'!G58="","",'Marks Entry'!G58)</f>
        <v/>
      </c>
      <c r="H58" s="49" t="str">
        <f>IF('Marks Entry'!H58="","",'Marks Entry'!H58)</f>
        <v/>
      </c>
      <c r="I58" s="105" t="str">
        <f>IF('Marks Entry'!I58="","",'Marks Entry'!I58)</f>
        <v/>
      </c>
      <c r="J58" s="105">
        <f>IF('Marks Entry'!K58="","",'Marks Entry'!K58)</f>
        <v>10</v>
      </c>
      <c r="K58" s="105">
        <f>IF('Marks Entry'!L58="","",'Marks Entry'!L58)</f>
        <v>10</v>
      </c>
      <c r="L58" s="105">
        <f>IF(AND('Marks Entry'!M58="",'Marks Entry'!N58=""),"",SUM('Marks Entry'!M58:N58))</f>
        <v>16</v>
      </c>
      <c r="M58" s="105">
        <f>IF(AND('Marks Entry'!O58="",'Marks Entry'!P58=""),"",SUM('Marks Entry'!O58:P58))</f>
        <v>96</v>
      </c>
      <c r="N58" s="105">
        <f t="shared" si="70"/>
        <v>132</v>
      </c>
      <c r="O58" s="105" t="str">
        <f t="shared" si="33"/>
        <v/>
      </c>
      <c r="P58" s="105" t="str">
        <f t="shared" si="34"/>
        <v/>
      </c>
      <c r="Q58" s="105">
        <f>IF('Marks Entry'!R58="","",'Marks Entry'!R58)</f>
        <v>5</v>
      </c>
      <c r="R58" s="105">
        <f>IF('Marks Entry'!S58="","",'Marks Entry'!S58)</f>
        <v>10</v>
      </c>
      <c r="S58" s="105">
        <f>IF(AND('Marks Entry'!T58="",'Marks Entry'!U58=""),"",SUM('Marks Entry'!T58:U58))</f>
        <v>16</v>
      </c>
      <c r="T58" s="105">
        <f>IF(AND('Marks Entry'!V58="",'Marks Entry'!W58=""),"",SUM('Marks Entry'!V58:W58))</f>
        <v>87</v>
      </c>
      <c r="U58" s="105">
        <f t="shared" si="35"/>
        <v>118</v>
      </c>
      <c r="V58" s="105" t="str">
        <f t="shared" si="36"/>
        <v/>
      </c>
      <c r="W58" s="105" t="str">
        <f t="shared" si="37"/>
        <v/>
      </c>
      <c r="X58" s="47" t="str">
        <f>IF(B58="","",IF('Marks Entry'!Y58="",'Marks Entry'!$Y$4,'Marks Entry'!Y58))</f>
        <v/>
      </c>
      <c r="Y58" s="105">
        <f>IF('Marks Entry'!Z58="","",'Marks Entry'!Z58)</f>
        <v>12</v>
      </c>
      <c r="Z58" s="105">
        <f>IF('Marks Entry'!AA58="","",'Marks Entry'!AA58)</f>
        <v>10</v>
      </c>
      <c r="AA58" s="105">
        <f>IF(AND('Marks Entry'!AB58="",'Marks Entry'!AC58=""),"",SUM('Marks Entry'!AB58:AC58))</f>
        <v>16</v>
      </c>
      <c r="AB58" s="105" t="str">
        <f>IF('Marks Entry'!AD58="","",'Marks Entry'!AD58)</f>
        <v/>
      </c>
      <c r="AC58" s="105">
        <f t="shared" si="38"/>
        <v>16</v>
      </c>
      <c r="AD58" s="105">
        <f>IF(AND('Marks Entry'!AE58="",'Marks Entry'!AF58=""),"",SUM('Marks Entry'!AE58:AF58))</f>
        <v>51</v>
      </c>
      <c r="AE58" s="105" t="str">
        <f>IF('Marks Entry'!AG58="","",'Marks Entry'!AG58)</f>
        <v/>
      </c>
      <c r="AF58" s="105">
        <f t="shared" si="39"/>
        <v>51</v>
      </c>
      <c r="AG58" s="105">
        <f t="shared" si="40"/>
        <v>89</v>
      </c>
      <c r="AH58" s="105" t="str">
        <f t="shared" si="41"/>
        <v/>
      </c>
      <c r="AI58" s="105" t="str">
        <f t="shared" si="42"/>
        <v/>
      </c>
      <c r="AJ58" s="47" t="str">
        <f>IF(B58="","",IF('Marks Entry'!AI58="",'Marks Entry'!$AI$4,'Marks Entry'!AI58))</f>
        <v/>
      </c>
      <c r="AK58" s="105">
        <f>IF('Marks Entry'!AJ58="","",'Marks Entry'!AJ58)</f>
        <v>6</v>
      </c>
      <c r="AL58" s="105">
        <f>IF('Marks Entry'!AK58="","",'Marks Entry'!AK58)</f>
        <v>10</v>
      </c>
      <c r="AM58" s="105">
        <f>IF(AND('Marks Entry'!AL58="",'Marks Entry'!AM58=""),"",SUM('Marks Entry'!AL58:AM58))</f>
        <v>16</v>
      </c>
      <c r="AN58" s="105" t="str">
        <f>IF('Marks Entry'!AN58="","",'Marks Entry'!AN58)</f>
        <v/>
      </c>
      <c r="AO58" s="105">
        <f t="shared" si="43"/>
        <v>16</v>
      </c>
      <c r="AP58" s="105">
        <f>IF(AND('Marks Entry'!AO58="",'Marks Entry'!AP58=""),"",SUM('Marks Entry'!AO58:AP58))</f>
        <v>44</v>
      </c>
      <c r="AQ58" s="105" t="str">
        <f>IF('Marks Entry'!AQ58="","",'Marks Entry'!AQ58)</f>
        <v/>
      </c>
      <c r="AR58" s="105">
        <f t="shared" si="44"/>
        <v>44</v>
      </c>
      <c r="AS58" s="105">
        <f t="shared" si="45"/>
        <v>76</v>
      </c>
      <c r="AT58" s="105" t="str">
        <f t="shared" si="46"/>
        <v/>
      </c>
      <c r="AU58" s="105" t="str">
        <f t="shared" si="47"/>
        <v/>
      </c>
      <c r="AV58" s="47" t="str">
        <f>IF(B58="","",IF('Marks Entry'!AS58="",'Marks Entry'!$AS$4,'Marks Entry'!AS58))</f>
        <v/>
      </c>
      <c r="AW58" s="105">
        <f>IF('Marks Entry'!AT58="","",'Marks Entry'!AT58)</f>
        <v>15</v>
      </c>
      <c r="AX58" s="105">
        <f>IF('Marks Entry'!AU58="","",'Marks Entry'!AU58)</f>
        <v>10</v>
      </c>
      <c r="AY58" s="105">
        <f>IF(AND('Marks Entry'!AV58="",'Marks Entry'!AW58=""),"",SUM('Marks Entry'!AV58:AW58))</f>
        <v>20</v>
      </c>
      <c r="AZ58" s="105">
        <f>IF('Marks Entry'!AX58="","",'Marks Entry'!AX58)</f>
        <v>4</v>
      </c>
      <c r="BA58" s="105">
        <f t="shared" si="48"/>
        <v>24</v>
      </c>
      <c r="BB58" s="105">
        <f>IF(AND('Marks Entry'!AY58="",'Marks Entry'!AZ58=""),"",SUM('Marks Entry'!AY58:AZ58))</f>
        <v>32</v>
      </c>
      <c r="BC58" s="105">
        <f>IF('Marks Entry'!BA58="","",'Marks Entry'!BA58)</f>
        <v>13</v>
      </c>
      <c r="BD58" s="105">
        <f t="shared" si="49"/>
        <v>45</v>
      </c>
      <c r="BE58" s="105">
        <f t="shared" si="50"/>
        <v>94</v>
      </c>
      <c r="BF58" s="105" t="str">
        <f t="shared" si="51"/>
        <v/>
      </c>
      <c r="BG58" s="105" t="str">
        <f t="shared" si="52"/>
        <v/>
      </c>
      <c r="BH58" s="105" t="str">
        <f t="shared" si="53"/>
        <v/>
      </c>
      <c r="BI58" s="50" t="str">
        <f t="shared" si="71"/>
        <v/>
      </c>
      <c r="BJ58" s="47" t="str">
        <f t="shared" si="72"/>
        <v/>
      </c>
      <c r="BK58" s="105" t="str">
        <f t="shared" si="54"/>
        <v/>
      </c>
      <c r="BL58" s="105" t="str">
        <f t="shared" si="55"/>
        <v/>
      </c>
      <c r="BM58" s="105" t="str">
        <f>IF(OR(B58="",'Marks Entry'!BY58=""),"",'Marks Entry'!BY58)</f>
        <v/>
      </c>
      <c r="BN58" s="105" t="str">
        <f>IF(OR(B58="",'Marks Entry'!BZ58=""),"",'Marks Entry'!BZ58)</f>
        <v/>
      </c>
      <c r="BO58" s="105">
        <f>IF('Marks Entry'!BC58="","",'Marks Entry'!BC58)</f>
        <v>15</v>
      </c>
      <c r="BP58" s="105">
        <f>IF('Marks Entry'!BD58="","",'Marks Entry'!BD58)</f>
        <v>15</v>
      </c>
      <c r="BQ58" s="105">
        <f>IF(AND('Marks Entry'!BE58="",'Marks Entry'!BF58=""),"",SUM('Marks Entry'!BE58:BF58))</f>
        <v>25</v>
      </c>
      <c r="BR58" s="105">
        <f>IF(AND('Marks Entry'!BG58="",'Marks Entry'!BH58=""),"",SUM('Marks Entry'!BG58:BH58))</f>
        <v>82</v>
      </c>
      <c r="BS58" s="105">
        <f t="shared" si="56"/>
        <v>137</v>
      </c>
      <c r="BT58" s="105" t="str">
        <f t="shared" si="57"/>
        <v/>
      </c>
      <c r="BU58" s="105" t="str">
        <f t="shared" si="58"/>
        <v/>
      </c>
      <c r="BV58" s="105">
        <f>IF('Marks Entry'!BJ58="","",'Marks Entry'!BJ58)</f>
        <v>15</v>
      </c>
      <c r="BW58" s="105">
        <f>IF('Marks Entry'!BK58="","",'Marks Entry'!BK58)</f>
        <v>15</v>
      </c>
      <c r="BX58" s="105">
        <f>IF(AND('Marks Entry'!BL58="",'Marks Entry'!BM58=""),"",SUM('Marks Entry'!BL58:BM58))</f>
        <v>25</v>
      </c>
      <c r="BY58" s="105">
        <f>IF(AND('Marks Entry'!BN58="",'Marks Entry'!BO58=""),"",SUM('Marks Entry'!BN58:BO58))</f>
        <v>82</v>
      </c>
      <c r="BZ58" s="105">
        <f t="shared" si="59"/>
        <v>137</v>
      </c>
      <c r="CA58" s="105" t="str">
        <f t="shared" si="60"/>
        <v/>
      </c>
      <c r="CB58" s="105" t="str">
        <f t="shared" si="61"/>
        <v/>
      </c>
      <c r="CC58" s="105" t="str">
        <f>IF('Marks Entry'!BQ58="","",'Marks Entry'!BQ58)</f>
        <v/>
      </c>
      <c r="CD58" s="105" t="str">
        <f>IF('Marks Entry'!BR58="","",'Marks Entry'!BR58)</f>
        <v/>
      </c>
      <c r="CE58" s="105" t="str">
        <f>IF(AND('Marks Entry'!BS58="",'Marks Entry'!BT58=""),"",SUM('Marks Entry'!BS58:BT58))</f>
        <v/>
      </c>
      <c r="CF58" s="105" t="str">
        <f>IF(AND('Marks Entry'!BU58="",'Marks Entry'!BV58=""),"",SUM('Marks Entry'!BU58:BV58))</f>
        <v/>
      </c>
      <c r="CG58" s="105" t="str">
        <f t="shared" si="62"/>
        <v/>
      </c>
      <c r="CH58" s="105" t="str">
        <f t="shared" si="63"/>
        <v/>
      </c>
      <c r="CI58" s="105" t="str">
        <f t="shared" si="64"/>
        <v/>
      </c>
      <c r="CJ58" s="81"/>
      <c r="CK58" s="50" t="str">
        <f t="shared" si="73"/>
        <v/>
      </c>
      <c r="CM58" s="105" t="str">
        <f t="shared" si="74"/>
        <v/>
      </c>
      <c r="CN58" s="105" t="str">
        <f t="shared" si="75"/>
        <v/>
      </c>
      <c r="CO58" s="105" t="str">
        <f t="shared" si="76"/>
        <v/>
      </c>
      <c r="CP58" s="105" t="str">
        <f t="shared" si="77"/>
        <v/>
      </c>
      <c r="CQ58" s="105" t="str">
        <f t="shared" si="78"/>
        <v/>
      </c>
      <c r="CS58" s="105">
        <f t="shared" si="79"/>
        <v>0</v>
      </c>
      <c r="CT58" s="105">
        <f t="shared" si="80"/>
        <v>0</v>
      </c>
      <c r="CU58" s="105">
        <f t="shared" si="81"/>
        <v>0</v>
      </c>
      <c r="CV58" s="105">
        <f t="shared" si="82"/>
        <v>0</v>
      </c>
      <c r="CW58" s="81"/>
      <c r="CX58" s="105" t="str">
        <f t="shared" si="83"/>
        <v/>
      </c>
      <c r="CY58" s="105" t="str">
        <f t="shared" si="84"/>
        <v/>
      </c>
      <c r="CZ58" s="105" t="str">
        <f t="shared" si="85"/>
        <v/>
      </c>
      <c r="DA58" s="105" t="str">
        <f t="shared" si="86"/>
        <v/>
      </c>
      <c r="DB58" s="105" t="str">
        <f t="shared" si="87"/>
        <v/>
      </c>
      <c r="DD58" s="105" t="str">
        <f t="shared" si="88"/>
        <v/>
      </c>
      <c r="DE58" s="105" t="str">
        <f t="shared" si="89"/>
        <v/>
      </c>
      <c r="DF58" s="105" t="str">
        <f t="shared" si="90"/>
        <v/>
      </c>
      <c r="DG58" s="105" t="str">
        <f t="shared" si="91"/>
        <v/>
      </c>
      <c r="DH58" s="105" t="str">
        <f t="shared" si="92"/>
        <v/>
      </c>
      <c r="DI58" s="105" t="str">
        <f t="shared" si="93"/>
        <v/>
      </c>
      <c r="DJ58" s="105" t="str">
        <f t="shared" si="94"/>
        <v/>
      </c>
      <c r="DK58" s="105" t="str">
        <f t="shared" si="95"/>
        <v/>
      </c>
      <c r="DL58" s="105" t="str">
        <f t="shared" si="96"/>
        <v/>
      </c>
      <c r="DM58" s="105" t="str">
        <f t="shared" si="97"/>
        <v/>
      </c>
      <c r="DN58" s="105" t="str">
        <f t="shared" si="98"/>
        <v/>
      </c>
      <c r="DO58" s="105" t="str">
        <f t="shared" si="99"/>
        <v/>
      </c>
      <c r="DP58" s="105" t="str">
        <f t="shared" si="100"/>
        <v/>
      </c>
      <c r="DR58" s="118" t="str">
        <f t="shared" si="65"/>
        <v xml:space="preserve">    </v>
      </c>
      <c r="DS58" s="75"/>
      <c r="DT58" s="119" t="str">
        <f t="shared" si="66"/>
        <v xml:space="preserve">    </v>
      </c>
      <c r="DU58" s="136"/>
      <c r="DV58" s="119" t="str">
        <f t="shared" si="67"/>
        <v xml:space="preserve">    </v>
      </c>
      <c r="DW58" s="75"/>
      <c r="DX58" s="119" t="str">
        <f t="shared" si="68"/>
        <v xml:space="preserve">     </v>
      </c>
      <c r="DY58" s="75"/>
      <c r="DZ58" s="119" t="str">
        <f t="shared" si="69"/>
        <v xml:space="preserve">    </v>
      </c>
    </row>
    <row r="59" spans="1:130" ht="30" customHeight="1" x14ac:dyDescent="0.25">
      <c r="A59" s="105" t="str">
        <f>IF('Marks Entry'!A59="","",'Marks Entry'!A59)</f>
        <v/>
      </c>
      <c r="B59" s="105" t="str">
        <f>IF('Marks Entry'!B59="","",'Marks Entry'!B59)</f>
        <v/>
      </c>
      <c r="C59" s="105" t="str">
        <f>IF('Marks Entry'!C59="","",'Marks Entry'!C59)</f>
        <v/>
      </c>
      <c r="D59" s="48" t="str">
        <f>IF('Marks Entry'!D59="","",'Marks Entry'!D59)</f>
        <v/>
      </c>
      <c r="E59" s="48" t="str">
        <f>IF('Marks Entry'!E59="","",'Marks Entry'!E59)</f>
        <v/>
      </c>
      <c r="F59" s="48" t="str">
        <f>IF('Marks Entry'!F59="","",'Marks Entry'!F59)</f>
        <v/>
      </c>
      <c r="G59" s="105" t="str">
        <f>IF('Marks Entry'!G59="","",'Marks Entry'!G59)</f>
        <v/>
      </c>
      <c r="H59" s="49" t="str">
        <f>IF('Marks Entry'!H59="","",'Marks Entry'!H59)</f>
        <v/>
      </c>
      <c r="I59" s="105" t="str">
        <f>IF('Marks Entry'!I59="","",'Marks Entry'!I59)</f>
        <v/>
      </c>
      <c r="J59" s="105">
        <f>IF('Marks Entry'!K59="","",'Marks Entry'!K59)</f>
        <v>15</v>
      </c>
      <c r="K59" s="105">
        <f>IF('Marks Entry'!L59="","",'Marks Entry'!L59)</f>
        <v>15</v>
      </c>
      <c r="L59" s="105">
        <f>IF(AND('Marks Entry'!M59="",'Marks Entry'!N59=""),"",SUM('Marks Entry'!M59:N59))</f>
        <v>30</v>
      </c>
      <c r="M59" s="105">
        <f>IF(AND('Marks Entry'!O59="",'Marks Entry'!P59=""),"",SUM('Marks Entry'!O59:P59))</f>
        <v>97</v>
      </c>
      <c r="N59" s="105">
        <f t="shared" si="70"/>
        <v>157</v>
      </c>
      <c r="O59" s="105" t="str">
        <f t="shared" si="33"/>
        <v/>
      </c>
      <c r="P59" s="105" t="str">
        <f t="shared" si="34"/>
        <v/>
      </c>
      <c r="Q59" s="105">
        <f>IF('Marks Entry'!R59="","",'Marks Entry'!R59)</f>
        <v>10</v>
      </c>
      <c r="R59" s="105">
        <f>IF('Marks Entry'!S59="","",'Marks Entry'!S59)</f>
        <v>10</v>
      </c>
      <c r="S59" s="105">
        <f>IF(AND('Marks Entry'!T59="",'Marks Entry'!U59=""),"",SUM('Marks Entry'!T59:U59))</f>
        <v>20</v>
      </c>
      <c r="T59" s="105">
        <f>IF(AND('Marks Entry'!V59="",'Marks Entry'!W59=""),"",SUM('Marks Entry'!V59:W59))</f>
        <v>88</v>
      </c>
      <c r="U59" s="105">
        <f t="shared" si="35"/>
        <v>128</v>
      </c>
      <c r="V59" s="105" t="str">
        <f t="shared" si="36"/>
        <v/>
      </c>
      <c r="W59" s="105" t="str">
        <f t="shared" si="37"/>
        <v/>
      </c>
      <c r="X59" s="47" t="str">
        <f>IF(B59="","",IF('Marks Entry'!Y59="",'Marks Entry'!$Y$4,'Marks Entry'!Y59))</f>
        <v/>
      </c>
      <c r="Y59" s="105">
        <f>IF('Marks Entry'!Z59="","",'Marks Entry'!Z59)</f>
        <v>10</v>
      </c>
      <c r="Z59" s="105">
        <f>IF('Marks Entry'!AA59="","",'Marks Entry'!AA59)</f>
        <v>10</v>
      </c>
      <c r="AA59" s="105">
        <f>IF(AND('Marks Entry'!AB59="",'Marks Entry'!AC59=""),"",SUM('Marks Entry'!AB59:AC59))</f>
        <v>40</v>
      </c>
      <c r="AB59" s="105" t="str">
        <f>IF('Marks Entry'!AD59="","",'Marks Entry'!AD59)</f>
        <v/>
      </c>
      <c r="AC59" s="105">
        <f t="shared" si="38"/>
        <v>40</v>
      </c>
      <c r="AD59" s="105">
        <f>IF(AND('Marks Entry'!AE59="",'Marks Entry'!AF59=""),"",SUM('Marks Entry'!AE59:AF59))</f>
        <v>41</v>
      </c>
      <c r="AE59" s="105" t="str">
        <f>IF('Marks Entry'!AG59="","",'Marks Entry'!AG59)</f>
        <v/>
      </c>
      <c r="AF59" s="105">
        <f t="shared" si="39"/>
        <v>41</v>
      </c>
      <c r="AG59" s="105">
        <f t="shared" si="40"/>
        <v>101</v>
      </c>
      <c r="AH59" s="105" t="str">
        <f t="shared" si="41"/>
        <v/>
      </c>
      <c r="AI59" s="105" t="str">
        <f t="shared" si="42"/>
        <v/>
      </c>
      <c r="AJ59" s="47" t="str">
        <f>IF(B59="","",IF('Marks Entry'!AI59="",'Marks Entry'!$AI$4,'Marks Entry'!AI59))</f>
        <v/>
      </c>
      <c r="AK59" s="105">
        <f>IF('Marks Entry'!AJ59="","",'Marks Entry'!AJ59)</f>
        <v>10</v>
      </c>
      <c r="AL59" s="105">
        <f>IF('Marks Entry'!AK59="","",'Marks Entry'!AK59)</f>
        <v>10</v>
      </c>
      <c r="AM59" s="105">
        <f>IF(AND('Marks Entry'!AL59="",'Marks Entry'!AM59=""),"",SUM('Marks Entry'!AL59:AM59))</f>
        <v>40</v>
      </c>
      <c r="AN59" s="105" t="str">
        <f>IF('Marks Entry'!AN59="","",'Marks Entry'!AN59)</f>
        <v/>
      </c>
      <c r="AO59" s="105">
        <f t="shared" si="43"/>
        <v>40</v>
      </c>
      <c r="AP59" s="105">
        <f>IF(AND('Marks Entry'!AO59="",'Marks Entry'!AP59=""),"",SUM('Marks Entry'!AO59:AP59))</f>
        <v>65</v>
      </c>
      <c r="AQ59" s="105" t="str">
        <f>IF('Marks Entry'!AQ59="","",'Marks Entry'!AQ59)</f>
        <v/>
      </c>
      <c r="AR59" s="105">
        <f t="shared" si="44"/>
        <v>65</v>
      </c>
      <c r="AS59" s="105">
        <f t="shared" si="45"/>
        <v>125</v>
      </c>
      <c r="AT59" s="105" t="str">
        <f t="shared" si="46"/>
        <v/>
      </c>
      <c r="AU59" s="105" t="str">
        <f t="shared" si="47"/>
        <v/>
      </c>
      <c r="AV59" s="47" t="str">
        <f>IF(B59="","",IF('Marks Entry'!AS59="",'Marks Entry'!$AS$4,'Marks Entry'!AS59))</f>
        <v/>
      </c>
      <c r="AW59" s="105">
        <f>IF('Marks Entry'!AT59="","",'Marks Entry'!AT59)</f>
        <v>10</v>
      </c>
      <c r="AX59" s="105">
        <f>IF('Marks Entry'!AU59="","",'Marks Entry'!AU59)</f>
        <v>10</v>
      </c>
      <c r="AY59" s="105">
        <f>IF(AND('Marks Entry'!AV59="",'Marks Entry'!AW59=""),"",SUM('Marks Entry'!AV59:AW59))</f>
        <v>25</v>
      </c>
      <c r="AZ59" s="105">
        <f>IF('Marks Entry'!AX59="","",'Marks Entry'!AX59)</f>
        <v>10</v>
      </c>
      <c r="BA59" s="105">
        <f t="shared" si="48"/>
        <v>35</v>
      </c>
      <c r="BB59" s="105">
        <f>IF(AND('Marks Entry'!AY59="",'Marks Entry'!AZ59=""),"",SUM('Marks Entry'!AY59:AZ59))</f>
        <v>38</v>
      </c>
      <c r="BC59" s="105">
        <f>IF('Marks Entry'!BA59="","",'Marks Entry'!BA59)</f>
        <v>14</v>
      </c>
      <c r="BD59" s="105">
        <f t="shared" si="49"/>
        <v>52</v>
      </c>
      <c r="BE59" s="105">
        <f t="shared" si="50"/>
        <v>107</v>
      </c>
      <c r="BF59" s="105" t="str">
        <f t="shared" si="51"/>
        <v/>
      </c>
      <c r="BG59" s="105" t="str">
        <f t="shared" si="52"/>
        <v/>
      </c>
      <c r="BH59" s="105" t="str">
        <f t="shared" si="53"/>
        <v/>
      </c>
      <c r="BI59" s="50" t="str">
        <f t="shared" si="71"/>
        <v/>
      </c>
      <c r="BJ59" s="47" t="str">
        <f t="shared" si="72"/>
        <v/>
      </c>
      <c r="BK59" s="105" t="str">
        <f t="shared" si="54"/>
        <v/>
      </c>
      <c r="BL59" s="105" t="str">
        <f t="shared" si="55"/>
        <v/>
      </c>
      <c r="BM59" s="105" t="str">
        <f>IF(OR(B59="",'Marks Entry'!BY59=""),"",'Marks Entry'!BY59)</f>
        <v/>
      </c>
      <c r="BN59" s="105" t="str">
        <f>IF(OR(B59="",'Marks Entry'!BZ59=""),"",'Marks Entry'!BZ59)</f>
        <v/>
      </c>
      <c r="BO59" s="105">
        <f>IF('Marks Entry'!BC59="","",'Marks Entry'!BC59)</f>
        <v>15</v>
      </c>
      <c r="BP59" s="105">
        <f>IF('Marks Entry'!BD59="","",'Marks Entry'!BD59)</f>
        <v>15</v>
      </c>
      <c r="BQ59" s="105">
        <f>IF(AND('Marks Entry'!BE59="",'Marks Entry'!BF59=""),"",SUM('Marks Entry'!BE59:BF59))</f>
        <v>25</v>
      </c>
      <c r="BR59" s="105">
        <f>IF(AND('Marks Entry'!BG59="",'Marks Entry'!BH59=""),"",SUM('Marks Entry'!BG59:BH59))</f>
        <v>82</v>
      </c>
      <c r="BS59" s="105">
        <f t="shared" si="56"/>
        <v>137</v>
      </c>
      <c r="BT59" s="105" t="str">
        <f t="shared" si="57"/>
        <v/>
      </c>
      <c r="BU59" s="105" t="str">
        <f t="shared" si="58"/>
        <v/>
      </c>
      <c r="BV59" s="105">
        <f>IF('Marks Entry'!BJ59="","",'Marks Entry'!BJ59)</f>
        <v>15</v>
      </c>
      <c r="BW59" s="105">
        <f>IF('Marks Entry'!BK59="","",'Marks Entry'!BK59)</f>
        <v>15</v>
      </c>
      <c r="BX59" s="105">
        <f>IF(AND('Marks Entry'!BL59="",'Marks Entry'!BM59=""),"",SUM('Marks Entry'!BL59:BM59))</f>
        <v>25</v>
      </c>
      <c r="BY59" s="105">
        <f>IF(AND('Marks Entry'!BN59="",'Marks Entry'!BO59=""),"",SUM('Marks Entry'!BN59:BO59))</f>
        <v>82</v>
      </c>
      <c r="BZ59" s="105">
        <f t="shared" si="59"/>
        <v>137</v>
      </c>
      <c r="CA59" s="105" t="str">
        <f t="shared" si="60"/>
        <v/>
      </c>
      <c r="CB59" s="105" t="str">
        <f t="shared" si="61"/>
        <v/>
      </c>
      <c r="CC59" s="105" t="str">
        <f>IF('Marks Entry'!BQ59="","",'Marks Entry'!BQ59)</f>
        <v/>
      </c>
      <c r="CD59" s="105" t="str">
        <f>IF('Marks Entry'!BR59="","",'Marks Entry'!BR59)</f>
        <v/>
      </c>
      <c r="CE59" s="105" t="str">
        <f>IF(AND('Marks Entry'!BS59="",'Marks Entry'!BT59=""),"",SUM('Marks Entry'!BS59:BT59))</f>
        <v/>
      </c>
      <c r="CF59" s="105" t="str">
        <f>IF(AND('Marks Entry'!BU59="",'Marks Entry'!BV59=""),"",SUM('Marks Entry'!BU59:BV59))</f>
        <v/>
      </c>
      <c r="CG59" s="105" t="str">
        <f t="shared" si="62"/>
        <v/>
      </c>
      <c r="CH59" s="105" t="str">
        <f t="shared" si="63"/>
        <v/>
      </c>
      <c r="CI59" s="105" t="str">
        <f t="shared" si="64"/>
        <v/>
      </c>
      <c r="CJ59" s="81"/>
      <c r="CK59" s="50" t="str">
        <f t="shared" si="73"/>
        <v/>
      </c>
      <c r="CM59" s="105" t="str">
        <f t="shared" si="74"/>
        <v/>
      </c>
      <c r="CN59" s="105" t="str">
        <f t="shared" si="75"/>
        <v/>
      </c>
      <c r="CO59" s="105" t="str">
        <f t="shared" si="76"/>
        <v/>
      </c>
      <c r="CP59" s="105" t="str">
        <f t="shared" si="77"/>
        <v/>
      </c>
      <c r="CQ59" s="105" t="str">
        <f t="shared" si="78"/>
        <v/>
      </c>
      <c r="CS59" s="105">
        <f t="shared" si="79"/>
        <v>0</v>
      </c>
      <c r="CT59" s="105">
        <f t="shared" si="80"/>
        <v>0</v>
      </c>
      <c r="CU59" s="105">
        <f t="shared" si="81"/>
        <v>0</v>
      </c>
      <c r="CV59" s="105">
        <f t="shared" si="82"/>
        <v>0</v>
      </c>
      <c r="CW59" s="81"/>
      <c r="CX59" s="105" t="str">
        <f t="shared" si="83"/>
        <v/>
      </c>
      <c r="CY59" s="105" t="str">
        <f t="shared" si="84"/>
        <v/>
      </c>
      <c r="CZ59" s="105" t="str">
        <f t="shared" si="85"/>
        <v/>
      </c>
      <c r="DA59" s="105" t="str">
        <f t="shared" si="86"/>
        <v/>
      </c>
      <c r="DB59" s="105" t="str">
        <f t="shared" si="87"/>
        <v/>
      </c>
      <c r="DD59" s="105" t="str">
        <f t="shared" si="88"/>
        <v/>
      </c>
      <c r="DE59" s="105" t="str">
        <f t="shared" si="89"/>
        <v/>
      </c>
      <c r="DF59" s="105" t="str">
        <f t="shared" si="90"/>
        <v/>
      </c>
      <c r="DG59" s="105" t="str">
        <f t="shared" si="91"/>
        <v/>
      </c>
      <c r="DH59" s="105" t="str">
        <f t="shared" si="92"/>
        <v/>
      </c>
      <c r="DI59" s="105" t="str">
        <f t="shared" si="93"/>
        <v/>
      </c>
      <c r="DJ59" s="105" t="str">
        <f t="shared" si="94"/>
        <v/>
      </c>
      <c r="DK59" s="105" t="str">
        <f t="shared" si="95"/>
        <v/>
      </c>
      <c r="DL59" s="105" t="str">
        <f t="shared" si="96"/>
        <v/>
      </c>
      <c r="DM59" s="105" t="str">
        <f t="shared" si="97"/>
        <v/>
      </c>
      <c r="DN59" s="105" t="str">
        <f t="shared" si="98"/>
        <v/>
      </c>
      <c r="DO59" s="105" t="str">
        <f t="shared" si="99"/>
        <v/>
      </c>
      <c r="DP59" s="105" t="str">
        <f t="shared" si="100"/>
        <v/>
      </c>
      <c r="DR59" s="118" t="str">
        <f t="shared" si="65"/>
        <v xml:space="preserve">    </v>
      </c>
      <c r="DS59" s="75"/>
      <c r="DT59" s="119" t="str">
        <f t="shared" si="66"/>
        <v xml:space="preserve">    </v>
      </c>
      <c r="DU59" s="136"/>
      <c r="DV59" s="119" t="str">
        <f t="shared" si="67"/>
        <v xml:space="preserve">    </v>
      </c>
      <c r="DW59" s="75"/>
      <c r="DX59" s="119" t="str">
        <f t="shared" si="68"/>
        <v xml:space="preserve">     </v>
      </c>
      <c r="DY59" s="75"/>
      <c r="DZ59" s="119" t="str">
        <f t="shared" si="69"/>
        <v xml:space="preserve">    </v>
      </c>
    </row>
    <row r="60" spans="1:130" ht="30" customHeight="1" x14ac:dyDescent="0.25">
      <c r="A60" s="105" t="str">
        <f>IF('Marks Entry'!A60="","",'Marks Entry'!A60)</f>
        <v/>
      </c>
      <c r="B60" s="105" t="str">
        <f>IF('Marks Entry'!B60="","",'Marks Entry'!B60)</f>
        <v/>
      </c>
      <c r="C60" s="105" t="str">
        <f>IF('Marks Entry'!C60="","",'Marks Entry'!C60)</f>
        <v/>
      </c>
      <c r="D60" s="48" t="str">
        <f>IF('Marks Entry'!D60="","",'Marks Entry'!D60)</f>
        <v/>
      </c>
      <c r="E60" s="48" t="str">
        <f>IF('Marks Entry'!E60="","",'Marks Entry'!E60)</f>
        <v/>
      </c>
      <c r="F60" s="48" t="str">
        <f>IF('Marks Entry'!F60="","",'Marks Entry'!F60)</f>
        <v/>
      </c>
      <c r="G60" s="105" t="str">
        <f>IF('Marks Entry'!G60="","",'Marks Entry'!G60)</f>
        <v/>
      </c>
      <c r="H60" s="49" t="str">
        <f>IF('Marks Entry'!H60="","",'Marks Entry'!H60)</f>
        <v/>
      </c>
      <c r="I60" s="105" t="str">
        <f>IF('Marks Entry'!I60="","",'Marks Entry'!I60)</f>
        <v/>
      </c>
      <c r="J60" s="105">
        <f>IF('Marks Entry'!K60="","",'Marks Entry'!K60)</f>
        <v>5</v>
      </c>
      <c r="K60" s="105">
        <f>IF('Marks Entry'!L60="","",'Marks Entry'!L60)</f>
        <v>5</v>
      </c>
      <c r="L60" s="105">
        <f>IF(AND('Marks Entry'!M60="",'Marks Entry'!N60=""),"",SUM('Marks Entry'!M60:N60))</f>
        <v>10</v>
      </c>
      <c r="M60" s="105">
        <f>IF(AND('Marks Entry'!O60="",'Marks Entry'!P60=""),"",SUM('Marks Entry'!O60:P60))</f>
        <v>98</v>
      </c>
      <c r="N60" s="105">
        <f t="shared" si="70"/>
        <v>118</v>
      </c>
      <c r="O60" s="105" t="str">
        <f t="shared" si="33"/>
        <v/>
      </c>
      <c r="P60" s="105" t="str">
        <f t="shared" si="34"/>
        <v/>
      </c>
      <c r="Q60" s="105">
        <f>IF('Marks Entry'!R60="","",'Marks Entry'!R60)</f>
        <v>5</v>
      </c>
      <c r="R60" s="105">
        <f>IF('Marks Entry'!S60="","",'Marks Entry'!S60)</f>
        <v>5</v>
      </c>
      <c r="S60" s="105">
        <f>IF(AND('Marks Entry'!T60="",'Marks Entry'!U60=""),"",SUM('Marks Entry'!T60:U60))</f>
        <v>10</v>
      </c>
      <c r="T60" s="105">
        <f>IF(AND('Marks Entry'!V60="",'Marks Entry'!W60=""),"",SUM('Marks Entry'!V60:W60))</f>
        <v>89</v>
      </c>
      <c r="U60" s="105">
        <f t="shared" si="35"/>
        <v>109</v>
      </c>
      <c r="V60" s="105" t="str">
        <f t="shared" si="36"/>
        <v/>
      </c>
      <c r="W60" s="105" t="str">
        <f t="shared" si="37"/>
        <v/>
      </c>
      <c r="X60" s="47" t="str">
        <f>IF(B60="","",IF('Marks Entry'!Y60="",'Marks Entry'!$Y$4,'Marks Entry'!Y60))</f>
        <v/>
      </c>
      <c r="Y60" s="105">
        <f>IF('Marks Entry'!Z60="","",'Marks Entry'!Z60)</f>
        <v>5</v>
      </c>
      <c r="Z60" s="105">
        <f>IF('Marks Entry'!AA60="","",'Marks Entry'!AA60)</f>
        <v>5</v>
      </c>
      <c r="AA60" s="105">
        <f>IF(AND('Marks Entry'!AB60="",'Marks Entry'!AC60=""),"",SUM('Marks Entry'!AB60:AC60))</f>
        <v>10</v>
      </c>
      <c r="AB60" s="105" t="str">
        <f>IF('Marks Entry'!AD60="","",'Marks Entry'!AD60)</f>
        <v/>
      </c>
      <c r="AC60" s="105">
        <f t="shared" si="38"/>
        <v>10</v>
      </c>
      <c r="AD60" s="105">
        <f>IF(AND('Marks Entry'!AE60="",'Marks Entry'!AF60=""),"",SUM('Marks Entry'!AE60:AF60))</f>
        <v>16</v>
      </c>
      <c r="AE60" s="105" t="str">
        <f>IF('Marks Entry'!AG60="","",'Marks Entry'!AG60)</f>
        <v/>
      </c>
      <c r="AF60" s="105">
        <f t="shared" si="39"/>
        <v>16</v>
      </c>
      <c r="AG60" s="105">
        <f t="shared" si="40"/>
        <v>36</v>
      </c>
      <c r="AH60" s="105" t="str">
        <f t="shared" si="41"/>
        <v/>
      </c>
      <c r="AI60" s="105" t="str">
        <f t="shared" si="42"/>
        <v/>
      </c>
      <c r="AJ60" s="47" t="str">
        <f>IF(B60="","",IF('Marks Entry'!AI60="",'Marks Entry'!$AI$4,'Marks Entry'!AI60))</f>
        <v/>
      </c>
      <c r="AK60" s="105">
        <f>IF('Marks Entry'!AJ60="","",'Marks Entry'!AJ60)</f>
        <v>5</v>
      </c>
      <c r="AL60" s="105">
        <f>IF('Marks Entry'!AK60="","",'Marks Entry'!AK60)</f>
        <v>5</v>
      </c>
      <c r="AM60" s="105">
        <f>IF(AND('Marks Entry'!AL60="",'Marks Entry'!AM60=""),"",SUM('Marks Entry'!AL60:AM60))</f>
        <v>10</v>
      </c>
      <c r="AN60" s="105" t="str">
        <f>IF('Marks Entry'!AN60="","",'Marks Entry'!AN60)</f>
        <v/>
      </c>
      <c r="AO60" s="105">
        <f t="shared" si="43"/>
        <v>10</v>
      </c>
      <c r="AP60" s="105">
        <f>IF(AND('Marks Entry'!AO60="",'Marks Entry'!AP60=""),"",SUM('Marks Entry'!AO60:AP60))</f>
        <v>15</v>
      </c>
      <c r="AQ60" s="105" t="str">
        <f>IF('Marks Entry'!AQ60="","",'Marks Entry'!AQ60)</f>
        <v/>
      </c>
      <c r="AR60" s="105">
        <f t="shared" si="44"/>
        <v>15</v>
      </c>
      <c r="AS60" s="105">
        <f t="shared" si="45"/>
        <v>35</v>
      </c>
      <c r="AT60" s="105" t="str">
        <f t="shared" si="46"/>
        <v/>
      </c>
      <c r="AU60" s="105" t="str">
        <f t="shared" si="47"/>
        <v/>
      </c>
      <c r="AV60" s="47" t="str">
        <f>IF(B60="","",IF('Marks Entry'!AS60="",'Marks Entry'!$AS$4,'Marks Entry'!AS60))</f>
        <v/>
      </c>
      <c r="AW60" s="105">
        <f>IF('Marks Entry'!AT60="","",'Marks Entry'!AT60)</f>
        <v>5</v>
      </c>
      <c r="AX60" s="105">
        <f>IF('Marks Entry'!AU60="","",'Marks Entry'!AU60)</f>
        <v>5</v>
      </c>
      <c r="AY60" s="105">
        <f>IF(AND('Marks Entry'!AV60="",'Marks Entry'!AW60=""),"",SUM('Marks Entry'!AV60:AW60))</f>
        <v>21</v>
      </c>
      <c r="AZ60" s="105">
        <f>IF('Marks Entry'!AX60="","",'Marks Entry'!AX60)</f>
        <v>15</v>
      </c>
      <c r="BA60" s="105">
        <f t="shared" si="48"/>
        <v>36</v>
      </c>
      <c r="BB60" s="105">
        <f>IF(AND('Marks Entry'!AY60="",'Marks Entry'!AZ60=""),"",SUM('Marks Entry'!AY60:AZ60))</f>
        <v>36</v>
      </c>
      <c r="BC60" s="105">
        <f>IF('Marks Entry'!BA60="","",'Marks Entry'!BA60)</f>
        <v>15</v>
      </c>
      <c r="BD60" s="105">
        <f t="shared" si="49"/>
        <v>51</v>
      </c>
      <c r="BE60" s="105">
        <f t="shared" si="50"/>
        <v>97</v>
      </c>
      <c r="BF60" s="105" t="str">
        <f t="shared" si="51"/>
        <v/>
      </c>
      <c r="BG60" s="105" t="str">
        <f t="shared" si="52"/>
        <v/>
      </c>
      <c r="BH60" s="105" t="str">
        <f t="shared" si="53"/>
        <v/>
      </c>
      <c r="BI60" s="50" t="str">
        <f t="shared" si="71"/>
        <v/>
      </c>
      <c r="BJ60" s="47" t="str">
        <f t="shared" si="72"/>
        <v/>
      </c>
      <c r="BK60" s="105" t="str">
        <f t="shared" si="54"/>
        <v/>
      </c>
      <c r="BL60" s="105" t="str">
        <f t="shared" si="55"/>
        <v/>
      </c>
      <c r="BM60" s="105" t="str">
        <f>IF(OR(B60="",'Marks Entry'!BY60=""),"",'Marks Entry'!BY60)</f>
        <v/>
      </c>
      <c r="BN60" s="105" t="str">
        <f>IF(OR(B60="",'Marks Entry'!BZ60=""),"",'Marks Entry'!BZ60)</f>
        <v/>
      </c>
      <c r="BO60" s="105">
        <f>IF('Marks Entry'!BC60="","",'Marks Entry'!BC60)</f>
        <v>15</v>
      </c>
      <c r="BP60" s="105">
        <f>IF('Marks Entry'!BD60="","",'Marks Entry'!BD60)</f>
        <v>15</v>
      </c>
      <c r="BQ60" s="105">
        <f>IF(AND('Marks Entry'!BE60="",'Marks Entry'!BF60=""),"",SUM('Marks Entry'!BE60:BF60))</f>
        <v>25</v>
      </c>
      <c r="BR60" s="105">
        <f>IF(AND('Marks Entry'!BG60="",'Marks Entry'!BH60=""),"",SUM('Marks Entry'!BG60:BH60))</f>
        <v>82</v>
      </c>
      <c r="BS60" s="105">
        <f t="shared" si="56"/>
        <v>137</v>
      </c>
      <c r="BT60" s="105" t="str">
        <f t="shared" si="57"/>
        <v/>
      </c>
      <c r="BU60" s="105" t="str">
        <f t="shared" si="58"/>
        <v/>
      </c>
      <c r="BV60" s="105">
        <f>IF('Marks Entry'!BJ60="","",'Marks Entry'!BJ60)</f>
        <v>15</v>
      </c>
      <c r="BW60" s="105">
        <f>IF('Marks Entry'!BK60="","",'Marks Entry'!BK60)</f>
        <v>15</v>
      </c>
      <c r="BX60" s="105">
        <f>IF(AND('Marks Entry'!BL60="",'Marks Entry'!BM60=""),"",SUM('Marks Entry'!BL60:BM60))</f>
        <v>25</v>
      </c>
      <c r="BY60" s="105">
        <f>IF(AND('Marks Entry'!BN60="",'Marks Entry'!BO60=""),"",SUM('Marks Entry'!BN60:BO60))</f>
        <v>82</v>
      </c>
      <c r="BZ60" s="105">
        <f t="shared" si="59"/>
        <v>137</v>
      </c>
      <c r="CA60" s="105" t="str">
        <f t="shared" si="60"/>
        <v/>
      </c>
      <c r="CB60" s="105" t="str">
        <f t="shared" si="61"/>
        <v/>
      </c>
      <c r="CC60" s="105" t="str">
        <f>IF('Marks Entry'!BQ60="","",'Marks Entry'!BQ60)</f>
        <v/>
      </c>
      <c r="CD60" s="105" t="str">
        <f>IF('Marks Entry'!BR60="","",'Marks Entry'!BR60)</f>
        <v/>
      </c>
      <c r="CE60" s="105" t="str">
        <f>IF(AND('Marks Entry'!BS60="",'Marks Entry'!BT60=""),"",SUM('Marks Entry'!BS60:BT60))</f>
        <v/>
      </c>
      <c r="CF60" s="105" t="str">
        <f>IF(AND('Marks Entry'!BU60="",'Marks Entry'!BV60=""),"",SUM('Marks Entry'!BU60:BV60))</f>
        <v/>
      </c>
      <c r="CG60" s="105" t="str">
        <f t="shared" si="62"/>
        <v/>
      </c>
      <c r="CH60" s="105" t="str">
        <f t="shared" si="63"/>
        <v/>
      </c>
      <c r="CI60" s="105" t="str">
        <f t="shared" si="64"/>
        <v/>
      </c>
      <c r="CJ60" s="81"/>
      <c r="CK60" s="50" t="str">
        <f t="shared" si="73"/>
        <v/>
      </c>
      <c r="CM60" s="105" t="str">
        <f t="shared" si="74"/>
        <v/>
      </c>
      <c r="CN60" s="105" t="str">
        <f t="shared" si="75"/>
        <v/>
      </c>
      <c r="CO60" s="105" t="str">
        <f t="shared" si="76"/>
        <v/>
      </c>
      <c r="CP60" s="105" t="str">
        <f t="shared" si="77"/>
        <v/>
      </c>
      <c r="CQ60" s="105" t="str">
        <f t="shared" si="78"/>
        <v/>
      </c>
      <c r="CS60" s="105">
        <f t="shared" si="79"/>
        <v>0</v>
      </c>
      <c r="CT60" s="105">
        <f t="shared" si="80"/>
        <v>0</v>
      </c>
      <c r="CU60" s="105">
        <f t="shared" si="81"/>
        <v>0</v>
      </c>
      <c r="CV60" s="105">
        <f t="shared" si="82"/>
        <v>0</v>
      </c>
      <c r="CW60" s="81"/>
      <c r="CX60" s="105" t="str">
        <f t="shared" si="83"/>
        <v/>
      </c>
      <c r="CY60" s="105" t="str">
        <f t="shared" si="84"/>
        <v/>
      </c>
      <c r="CZ60" s="105" t="str">
        <f t="shared" si="85"/>
        <v/>
      </c>
      <c r="DA60" s="105" t="str">
        <f t="shared" si="86"/>
        <v/>
      </c>
      <c r="DB60" s="105" t="str">
        <f t="shared" si="87"/>
        <v/>
      </c>
      <c r="DD60" s="105" t="str">
        <f t="shared" si="88"/>
        <v/>
      </c>
      <c r="DE60" s="105" t="str">
        <f t="shared" si="89"/>
        <v/>
      </c>
      <c r="DF60" s="105" t="str">
        <f t="shared" si="90"/>
        <v/>
      </c>
      <c r="DG60" s="105" t="str">
        <f t="shared" si="91"/>
        <v/>
      </c>
      <c r="DH60" s="105" t="str">
        <f t="shared" si="92"/>
        <v/>
      </c>
      <c r="DI60" s="105" t="str">
        <f t="shared" si="93"/>
        <v/>
      </c>
      <c r="DJ60" s="105" t="str">
        <f t="shared" si="94"/>
        <v/>
      </c>
      <c r="DK60" s="105" t="str">
        <f t="shared" si="95"/>
        <v/>
      </c>
      <c r="DL60" s="105" t="str">
        <f t="shared" si="96"/>
        <v/>
      </c>
      <c r="DM60" s="105" t="str">
        <f t="shared" si="97"/>
        <v/>
      </c>
      <c r="DN60" s="105" t="str">
        <f t="shared" si="98"/>
        <v/>
      </c>
      <c r="DO60" s="105" t="str">
        <f t="shared" si="99"/>
        <v/>
      </c>
      <c r="DP60" s="105" t="str">
        <f t="shared" si="100"/>
        <v/>
      </c>
      <c r="DR60" s="118" t="str">
        <f t="shared" si="65"/>
        <v xml:space="preserve">    </v>
      </c>
      <c r="DS60" s="75"/>
      <c r="DT60" s="119" t="str">
        <f t="shared" si="66"/>
        <v xml:space="preserve">    </v>
      </c>
      <c r="DU60" s="136"/>
      <c r="DV60" s="119" t="str">
        <f t="shared" si="67"/>
        <v xml:space="preserve">    </v>
      </c>
      <c r="DW60" s="75"/>
      <c r="DX60" s="119" t="str">
        <f t="shared" si="68"/>
        <v xml:space="preserve">     </v>
      </c>
      <c r="DY60" s="75"/>
      <c r="DZ60" s="119" t="str">
        <f t="shared" si="69"/>
        <v xml:space="preserve">    </v>
      </c>
    </row>
    <row r="61" spans="1:130" ht="30" customHeight="1" x14ac:dyDescent="0.25">
      <c r="A61" s="105" t="str">
        <f>IF('Marks Entry'!A61="","",'Marks Entry'!A61)</f>
        <v/>
      </c>
      <c r="B61" s="105" t="str">
        <f>IF('Marks Entry'!B61="","",'Marks Entry'!B61)</f>
        <v/>
      </c>
      <c r="C61" s="105" t="str">
        <f>IF('Marks Entry'!C61="","",'Marks Entry'!C61)</f>
        <v/>
      </c>
      <c r="D61" s="48" t="str">
        <f>IF('Marks Entry'!D61="","",'Marks Entry'!D61)</f>
        <v/>
      </c>
      <c r="E61" s="48" t="str">
        <f>IF('Marks Entry'!E61="","",'Marks Entry'!E61)</f>
        <v/>
      </c>
      <c r="F61" s="48" t="str">
        <f>IF('Marks Entry'!F61="","",'Marks Entry'!F61)</f>
        <v/>
      </c>
      <c r="G61" s="105" t="str">
        <f>IF('Marks Entry'!G61="","",'Marks Entry'!G61)</f>
        <v/>
      </c>
      <c r="H61" s="49" t="str">
        <f>IF('Marks Entry'!H61="","",'Marks Entry'!H61)</f>
        <v/>
      </c>
      <c r="I61" s="105" t="str">
        <f>IF('Marks Entry'!I61="","",'Marks Entry'!I61)</f>
        <v/>
      </c>
      <c r="J61" s="105">
        <f>IF('Marks Entry'!K61="","",'Marks Entry'!K61)</f>
        <v>10</v>
      </c>
      <c r="K61" s="105">
        <f>IF('Marks Entry'!L61="","",'Marks Entry'!L61)</f>
        <v>9</v>
      </c>
      <c r="L61" s="105">
        <f>IF(AND('Marks Entry'!M61="",'Marks Entry'!N61=""),"",SUM('Marks Entry'!M61:N61))</f>
        <v>10</v>
      </c>
      <c r="M61" s="105">
        <f>IF(AND('Marks Entry'!O61="",'Marks Entry'!P61=""),"",SUM('Marks Entry'!O61:P61))</f>
        <v>99</v>
      </c>
      <c r="N61" s="105">
        <f t="shared" si="70"/>
        <v>128</v>
      </c>
      <c r="O61" s="105" t="str">
        <f t="shared" si="33"/>
        <v/>
      </c>
      <c r="P61" s="105" t="str">
        <f t="shared" si="34"/>
        <v/>
      </c>
      <c r="Q61" s="105">
        <f>IF('Marks Entry'!R61="","",'Marks Entry'!R61)</f>
        <v>10</v>
      </c>
      <c r="R61" s="105">
        <f>IF('Marks Entry'!S61="","",'Marks Entry'!S61)</f>
        <v>10</v>
      </c>
      <c r="S61" s="105">
        <f>IF(AND('Marks Entry'!T61="",'Marks Entry'!U61=""),"",SUM('Marks Entry'!T61:U61))</f>
        <v>40</v>
      </c>
      <c r="T61" s="105">
        <f>IF(AND('Marks Entry'!V61="",'Marks Entry'!W61=""),"",SUM('Marks Entry'!V61:W61))</f>
        <v>90</v>
      </c>
      <c r="U61" s="105">
        <f t="shared" si="35"/>
        <v>150</v>
      </c>
      <c r="V61" s="105" t="str">
        <f t="shared" si="36"/>
        <v/>
      </c>
      <c r="W61" s="105" t="str">
        <f t="shared" si="37"/>
        <v/>
      </c>
      <c r="X61" s="47" t="str">
        <f>IF(B61="","",IF('Marks Entry'!Y61="",'Marks Entry'!$Y$4,'Marks Entry'!Y61))</f>
        <v/>
      </c>
      <c r="Y61" s="105">
        <f>IF('Marks Entry'!Z61="","",'Marks Entry'!Z61)</f>
        <v>18</v>
      </c>
      <c r="Z61" s="105">
        <f>IF('Marks Entry'!AA61="","",'Marks Entry'!AA61)</f>
        <v>18</v>
      </c>
      <c r="AA61" s="105">
        <f>IF(AND('Marks Entry'!AB61="",'Marks Entry'!AC61=""),"",SUM('Marks Entry'!AB61:AC61))</f>
        <v>50</v>
      </c>
      <c r="AB61" s="105" t="str">
        <f>IF('Marks Entry'!AD61="","",'Marks Entry'!AD61)</f>
        <v/>
      </c>
      <c r="AC61" s="105">
        <f t="shared" si="38"/>
        <v>50</v>
      </c>
      <c r="AD61" s="105">
        <f>IF(AND('Marks Entry'!AE61="",'Marks Entry'!AF61=""),"",SUM('Marks Entry'!AE61:AF61))</f>
        <v>76</v>
      </c>
      <c r="AE61" s="105" t="str">
        <f>IF('Marks Entry'!AG61="","",'Marks Entry'!AG61)</f>
        <v/>
      </c>
      <c r="AF61" s="105">
        <f t="shared" si="39"/>
        <v>76</v>
      </c>
      <c r="AG61" s="105">
        <f t="shared" si="40"/>
        <v>162</v>
      </c>
      <c r="AH61" s="105" t="str">
        <f t="shared" si="41"/>
        <v/>
      </c>
      <c r="AI61" s="105" t="str">
        <f t="shared" si="42"/>
        <v/>
      </c>
      <c r="AJ61" s="47" t="str">
        <f>IF(B61="","",IF('Marks Entry'!AI61="",'Marks Entry'!$AI$4,'Marks Entry'!AI61))</f>
        <v/>
      </c>
      <c r="AK61" s="105">
        <f>IF('Marks Entry'!AJ61="","",'Marks Entry'!AJ61)</f>
        <v>5</v>
      </c>
      <c r="AL61" s="105">
        <f>IF('Marks Entry'!AK61="","",'Marks Entry'!AK61)</f>
        <v>5</v>
      </c>
      <c r="AM61" s="105">
        <f>IF(AND('Marks Entry'!AL61="",'Marks Entry'!AM61=""),"",SUM('Marks Entry'!AL61:AM61))</f>
        <v>28</v>
      </c>
      <c r="AN61" s="105" t="str">
        <f>IF('Marks Entry'!AN61="","",'Marks Entry'!AN61)</f>
        <v/>
      </c>
      <c r="AO61" s="105">
        <f t="shared" si="43"/>
        <v>28</v>
      </c>
      <c r="AP61" s="105">
        <f>IF(AND('Marks Entry'!AO61="",'Marks Entry'!AP61=""),"",SUM('Marks Entry'!AO61:AP61))</f>
        <v>39</v>
      </c>
      <c r="AQ61" s="105" t="str">
        <f>IF('Marks Entry'!AQ61="","",'Marks Entry'!AQ61)</f>
        <v/>
      </c>
      <c r="AR61" s="105">
        <f t="shared" si="44"/>
        <v>39</v>
      </c>
      <c r="AS61" s="105">
        <f t="shared" si="45"/>
        <v>77</v>
      </c>
      <c r="AT61" s="105" t="str">
        <f t="shared" si="46"/>
        <v/>
      </c>
      <c r="AU61" s="105" t="str">
        <f t="shared" si="47"/>
        <v/>
      </c>
      <c r="AV61" s="47" t="str">
        <f>IF(B61="","",IF('Marks Entry'!AS61="",'Marks Entry'!$AS$4,'Marks Entry'!AS61))</f>
        <v/>
      </c>
      <c r="AW61" s="105">
        <f>IF('Marks Entry'!AT61="","",'Marks Entry'!AT61)</f>
        <v>10</v>
      </c>
      <c r="AX61" s="105">
        <f>IF('Marks Entry'!AU61="","",'Marks Entry'!AU61)</f>
        <v>10</v>
      </c>
      <c r="AY61" s="105">
        <f>IF(AND('Marks Entry'!AV61="",'Marks Entry'!AW61=""),"",SUM('Marks Entry'!AV61:AW61))</f>
        <v>24</v>
      </c>
      <c r="AZ61" s="105">
        <f>IF('Marks Entry'!AX61="","",'Marks Entry'!AX61)</f>
        <v>10</v>
      </c>
      <c r="BA61" s="105">
        <f t="shared" si="48"/>
        <v>34</v>
      </c>
      <c r="BB61" s="105">
        <f>IF(AND('Marks Entry'!AY61="",'Marks Entry'!AZ61=""),"",SUM('Marks Entry'!AY61:AZ61))</f>
        <v>41</v>
      </c>
      <c r="BC61" s="105">
        <f>IF('Marks Entry'!BA61="","",'Marks Entry'!BA61)</f>
        <v>16</v>
      </c>
      <c r="BD61" s="105">
        <f t="shared" si="49"/>
        <v>57</v>
      </c>
      <c r="BE61" s="105">
        <f t="shared" si="50"/>
        <v>111</v>
      </c>
      <c r="BF61" s="105" t="str">
        <f t="shared" si="51"/>
        <v/>
      </c>
      <c r="BG61" s="105" t="str">
        <f t="shared" si="52"/>
        <v/>
      </c>
      <c r="BH61" s="105" t="str">
        <f t="shared" si="53"/>
        <v/>
      </c>
      <c r="BI61" s="50" t="str">
        <f t="shared" si="71"/>
        <v/>
      </c>
      <c r="BJ61" s="47" t="str">
        <f t="shared" si="72"/>
        <v/>
      </c>
      <c r="BK61" s="105" t="str">
        <f t="shared" si="54"/>
        <v/>
      </c>
      <c r="BL61" s="105" t="str">
        <f t="shared" si="55"/>
        <v/>
      </c>
      <c r="BM61" s="105" t="str">
        <f>IF(OR(B61="",'Marks Entry'!BY61=""),"",'Marks Entry'!BY61)</f>
        <v/>
      </c>
      <c r="BN61" s="105" t="str">
        <f>IF(OR(B61="",'Marks Entry'!BZ61=""),"",'Marks Entry'!BZ61)</f>
        <v/>
      </c>
      <c r="BO61" s="105">
        <f>IF('Marks Entry'!BC61="","",'Marks Entry'!BC61)</f>
        <v>15</v>
      </c>
      <c r="BP61" s="105">
        <f>IF('Marks Entry'!BD61="","",'Marks Entry'!BD61)</f>
        <v>15</v>
      </c>
      <c r="BQ61" s="105">
        <f>IF(AND('Marks Entry'!BE61="",'Marks Entry'!BF61=""),"",SUM('Marks Entry'!BE61:BF61))</f>
        <v>25</v>
      </c>
      <c r="BR61" s="105">
        <f>IF(AND('Marks Entry'!BG61="",'Marks Entry'!BH61=""),"",SUM('Marks Entry'!BG61:BH61))</f>
        <v>82</v>
      </c>
      <c r="BS61" s="105">
        <f t="shared" si="56"/>
        <v>137</v>
      </c>
      <c r="BT61" s="105" t="str">
        <f t="shared" si="57"/>
        <v/>
      </c>
      <c r="BU61" s="105" t="str">
        <f t="shared" si="58"/>
        <v/>
      </c>
      <c r="BV61" s="105">
        <f>IF('Marks Entry'!BJ61="","",'Marks Entry'!BJ61)</f>
        <v>15</v>
      </c>
      <c r="BW61" s="105">
        <f>IF('Marks Entry'!BK61="","",'Marks Entry'!BK61)</f>
        <v>15</v>
      </c>
      <c r="BX61" s="105">
        <f>IF(AND('Marks Entry'!BL61="",'Marks Entry'!BM61=""),"",SUM('Marks Entry'!BL61:BM61))</f>
        <v>25</v>
      </c>
      <c r="BY61" s="105">
        <f>IF(AND('Marks Entry'!BN61="",'Marks Entry'!BO61=""),"",SUM('Marks Entry'!BN61:BO61))</f>
        <v>82</v>
      </c>
      <c r="BZ61" s="105">
        <f t="shared" si="59"/>
        <v>137</v>
      </c>
      <c r="CA61" s="105" t="str">
        <f t="shared" si="60"/>
        <v/>
      </c>
      <c r="CB61" s="105" t="str">
        <f t="shared" si="61"/>
        <v/>
      </c>
      <c r="CC61" s="105" t="str">
        <f>IF('Marks Entry'!BQ61="","",'Marks Entry'!BQ61)</f>
        <v/>
      </c>
      <c r="CD61" s="105" t="str">
        <f>IF('Marks Entry'!BR61="","",'Marks Entry'!BR61)</f>
        <v/>
      </c>
      <c r="CE61" s="105" t="str">
        <f>IF(AND('Marks Entry'!BS61="",'Marks Entry'!BT61=""),"",SUM('Marks Entry'!BS61:BT61))</f>
        <v/>
      </c>
      <c r="CF61" s="105" t="str">
        <f>IF(AND('Marks Entry'!BU61="",'Marks Entry'!BV61=""),"",SUM('Marks Entry'!BU61:BV61))</f>
        <v/>
      </c>
      <c r="CG61" s="105" t="str">
        <f t="shared" si="62"/>
        <v/>
      </c>
      <c r="CH61" s="105" t="str">
        <f t="shared" si="63"/>
        <v/>
      </c>
      <c r="CI61" s="105" t="str">
        <f t="shared" si="64"/>
        <v/>
      </c>
      <c r="CJ61" s="81"/>
      <c r="CK61" s="50" t="str">
        <f t="shared" si="73"/>
        <v/>
      </c>
      <c r="CM61" s="105" t="str">
        <f t="shared" si="74"/>
        <v/>
      </c>
      <c r="CN61" s="105" t="str">
        <f t="shared" si="75"/>
        <v/>
      </c>
      <c r="CO61" s="105" t="str">
        <f t="shared" si="76"/>
        <v/>
      </c>
      <c r="CP61" s="105" t="str">
        <f t="shared" si="77"/>
        <v/>
      </c>
      <c r="CQ61" s="105" t="str">
        <f t="shared" si="78"/>
        <v/>
      </c>
      <c r="CS61" s="105">
        <f t="shared" si="79"/>
        <v>0</v>
      </c>
      <c r="CT61" s="105">
        <f t="shared" si="80"/>
        <v>0</v>
      </c>
      <c r="CU61" s="105">
        <f t="shared" si="81"/>
        <v>0</v>
      </c>
      <c r="CV61" s="105">
        <f t="shared" si="82"/>
        <v>0</v>
      </c>
      <c r="CW61" s="81"/>
      <c r="CX61" s="105" t="str">
        <f t="shared" si="83"/>
        <v/>
      </c>
      <c r="CY61" s="105" t="str">
        <f t="shared" si="84"/>
        <v/>
      </c>
      <c r="CZ61" s="105" t="str">
        <f t="shared" si="85"/>
        <v/>
      </c>
      <c r="DA61" s="105" t="str">
        <f t="shared" si="86"/>
        <v/>
      </c>
      <c r="DB61" s="105" t="str">
        <f t="shared" si="87"/>
        <v/>
      </c>
      <c r="DD61" s="105" t="str">
        <f t="shared" si="88"/>
        <v/>
      </c>
      <c r="DE61" s="105" t="str">
        <f t="shared" si="89"/>
        <v/>
      </c>
      <c r="DF61" s="105" t="str">
        <f t="shared" si="90"/>
        <v/>
      </c>
      <c r="DG61" s="105" t="str">
        <f t="shared" si="91"/>
        <v/>
      </c>
      <c r="DH61" s="105" t="str">
        <f t="shared" si="92"/>
        <v/>
      </c>
      <c r="DI61" s="105" t="str">
        <f t="shared" si="93"/>
        <v/>
      </c>
      <c r="DJ61" s="105" t="str">
        <f t="shared" si="94"/>
        <v/>
      </c>
      <c r="DK61" s="105" t="str">
        <f t="shared" si="95"/>
        <v/>
      </c>
      <c r="DL61" s="105" t="str">
        <f t="shared" si="96"/>
        <v/>
      </c>
      <c r="DM61" s="105" t="str">
        <f t="shared" si="97"/>
        <v/>
      </c>
      <c r="DN61" s="105" t="str">
        <f t="shared" si="98"/>
        <v/>
      </c>
      <c r="DO61" s="105" t="str">
        <f t="shared" si="99"/>
        <v/>
      </c>
      <c r="DP61" s="105" t="str">
        <f t="shared" si="100"/>
        <v/>
      </c>
      <c r="DR61" s="118" t="str">
        <f t="shared" si="65"/>
        <v xml:space="preserve">    </v>
      </c>
      <c r="DS61" s="75"/>
      <c r="DT61" s="119" t="str">
        <f t="shared" si="66"/>
        <v xml:space="preserve">    </v>
      </c>
      <c r="DU61" s="136"/>
      <c r="DV61" s="119" t="str">
        <f t="shared" si="67"/>
        <v xml:space="preserve">    </v>
      </c>
      <c r="DW61" s="75"/>
      <c r="DX61" s="119" t="str">
        <f t="shared" si="68"/>
        <v xml:space="preserve">     </v>
      </c>
      <c r="DY61" s="75"/>
      <c r="DZ61" s="119" t="str">
        <f t="shared" si="69"/>
        <v xml:space="preserve">    </v>
      </c>
    </row>
    <row r="62" spans="1:130" ht="30" customHeight="1" x14ac:dyDescent="0.25">
      <c r="A62" s="105" t="str">
        <f>IF('Marks Entry'!A62="","",'Marks Entry'!A62)</f>
        <v/>
      </c>
      <c r="B62" s="105" t="str">
        <f>IF('Marks Entry'!B62="","",'Marks Entry'!B62)</f>
        <v/>
      </c>
      <c r="C62" s="105" t="str">
        <f>IF('Marks Entry'!C62="","",'Marks Entry'!C62)</f>
        <v/>
      </c>
      <c r="D62" s="48" t="str">
        <f>IF('Marks Entry'!D62="","",'Marks Entry'!D62)</f>
        <v/>
      </c>
      <c r="E62" s="48" t="str">
        <f>IF('Marks Entry'!E62="","",'Marks Entry'!E62)</f>
        <v/>
      </c>
      <c r="F62" s="48" t="str">
        <f>IF('Marks Entry'!F62="","",'Marks Entry'!F62)</f>
        <v/>
      </c>
      <c r="G62" s="105" t="str">
        <f>IF('Marks Entry'!G62="","",'Marks Entry'!G62)</f>
        <v/>
      </c>
      <c r="H62" s="49" t="str">
        <f>IF('Marks Entry'!H62="","",'Marks Entry'!H62)</f>
        <v/>
      </c>
      <c r="I62" s="105" t="str">
        <f>IF('Marks Entry'!I62="","",'Marks Entry'!I62)</f>
        <v/>
      </c>
      <c r="J62" s="105">
        <f>IF('Marks Entry'!K62="","",'Marks Entry'!K62)</f>
        <v>10</v>
      </c>
      <c r="K62" s="105">
        <f>IF('Marks Entry'!L62="","",'Marks Entry'!L62)</f>
        <v>20</v>
      </c>
      <c r="L62" s="105">
        <f>IF(AND('Marks Entry'!M62="",'Marks Entry'!N62=""),"",SUM('Marks Entry'!M62:N62))</f>
        <v>15</v>
      </c>
      <c r="M62" s="105">
        <f>IF(AND('Marks Entry'!O62="",'Marks Entry'!P62=""),"",SUM('Marks Entry'!O62:P62))</f>
        <v>100</v>
      </c>
      <c r="N62" s="105">
        <f t="shared" si="70"/>
        <v>145</v>
      </c>
      <c r="O62" s="105" t="str">
        <f t="shared" si="33"/>
        <v/>
      </c>
      <c r="P62" s="105" t="str">
        <f t="shared" si="34"/>
        <v/>
      </c>
      <c r="Q62" s="105">
        <f>IF('Marks Entry'!R62="","",'Marks Entry'!R62)</f>
        <v>10</v>
      </c>
      <c r="R62" s="105">
        <f>IF('Marks Entry'!S62="","",'Marks Entry'!S62)</f>
        <v>10</v>
      </c>
      <c r="S62" s="105">
        <f>IF(AND('Marks Entry'!T62="",'Marks Entry'!U62=""),"",SUM('Marks Entry'!T62:U62))</f>
        <v>40</v>
      </c>
      <c r="T62" s="105">
        <f>IF(AND('Marks Entry'!V62="",'Marks Entry'!W62=""),"",SUM('Marks Entry'!V62:W62))</f>
        <v>91</v>
      </c>
      <c r="U62" s="105">
        <f t="shared" si="35"/>
        <v>151</v>
      </c>
      <c r="V62" s="105" t="str">
        <f t="shared" si="36"/>
        <v/>
      </c>
      <c r="W62" s="105" t="str">
        <f t="shared" si="37"/>
        <v/>
      </c>
      <c r="X62" s="47" t="str">
        <f>IF(B62="","",IF('Marks Entry'!Y62="",'Marks Entry'!$Y$4,'Marks Entry'!Y62))</f>
        <v/>
      </c>
      <c r="Y62" s="105">
        <f>IF('Marks Entry'!Z62="","",'Marks Entry'!Z62)</f>
        <v>10</v>
      </c>
      <c r="Z62" s="105">
        <f>IF('Marks Entry'!AA62="","",'Marks Entry'!AA62)</f>
        <v>10</v>
      </c>
      <c r="AA62" s="105">
        <f>IF(AND('Marks Entry'!AB62="",'Marks Entry'!AC62=""),"",SUM('Marks Entry'!AB62:AC62))</f>
        <v>40</v>
      </c>
      <c r="AB62" s="105" t="str">
        <f>IF('Marks Entry'!AD62="","",'Marks Entry'!AD62)</f>
        <v/>
      </c>
      <c r="AC62" s="105">
        <f t="shared" si="38"/>
        <v>40</v>
      </c>
      <c r="AD62" s="105">
        <f>IF(AND('Marks Entry'!AE62="",'Marks Entry'!AF62=""),"",SUM('Marks Entry'!AE62:AF62))</f>
        <v>41</v>
      </c>
      <c r="AE62" s="105" t="str">
        <f>IF('Marks Entry'!AG62="","",'Marks Entry'!AG62)</f>
        <v/>
      </c>
      <c r="AF62" s="105">
        <f t="shared" si="39"/>
        <v>41</v>
      </c>
      <c r="AG62" s="105">
        <f t="shared" si="40"/>
        <v>101</v>
      </c>
      <c r="AH62" s="105" t="str">
        <f t="shared" si="41"/>
        <v/>
      </c>
      <c r="AI62" s="105" t="str">
        <f t="shared" si="42"/>
        <v/>
      </c>
      <c r="AJ62" s="47" t="str">
        <f>IF(B62="","",IF('Marks Entry'!AI62="",'Marks Entry'!$AI$4,'Marks Entry'!AI62))</f>
        <v/>
      </c>
      <c r="AK62" s="105">
        <f>IF('Marks Entry'!AJ62="","",'Marks Entry'!AJ62)</f>
        <v>10</v>
      </c>
      <c r="AL62" s="105">
        <f>IF('Marks Entry'!AK62="","",'Marks Entry'!AK62)</f>
        <v>10</v>
      </c>
      <c r="AM62" s="105">
        <f>IF(AND('Marks Entry'!AL62="",'Marks Entry'!AM62=""),"",SUM('Marks Entry'!AL62:AM62))</f>
        <v>40</v>
      </c>
      <c r="AN62" s="105" t="str">
        <f>IF('Marks Entry'!AN62="","",'Marks Entry'!AN62)</f>
        <v/>
      </c>
      <c r="AO62" s="105">
        <f t="shared" si="43"/>
        <v>40</v>
      </c>
      <c r="AP62" s="105">
        <f>IF(AND('Marks Entry'!AO62="",'Marks Entry'!AP62=""),"",SUM('Marks Entry'!AO62:AP62))</f>
        <v>58</v>
      </c>
      <c r="AQ62" s="105" t="str">
        <f>IF('Marks Entry'!AQ62="","",'Marks Entry'!AQ62)</f>
        <v/>
      </c>
      <c r="AR62" s="105">
        <f t="shared" si="44"/>
        <v>58</v>
      </c>
      <c r="AS62" s="105">
        <f t="shared" si="45"/>
        <v>118</v>
      </c>
      <c r="AT62" s="105" t="str">
        <f t="shared" si="46"/>
        <v/>
      </c>
      <c r="AU62" s="105" t="str">
        <f t="shared" si="47"/>
        <v/>
      </c>
      <c r="AV62" s="47" t="str">
        <f>IF(B62="","",IF('Marks Entry'!AS62="",'Marks Entry'!$AS$4,'Marks Entry'!AS62))</f>
        <v/>
      </c>
      <c r="AW62" s="105">
        <f>IF('Marks Entry'!AT62="","",'Marks Entry'!AT62)</f>
        <v>10</v>
      </c>
      <c r="AX62" s="105">
        <f>IF('Marks Entry'!AU62="","",'Marks Entry'!AU62)</f>
        <v>10</v>
      </c>
      <c r="AY62" s="105">
        <f>IF(AND('Marks Entry'!AV62="",'Marks Entry'!AW62=""),"",SUM('Marks Entry'!AV62:AW62))</f>
        <v>22</v>
      </c>
      <c r="AZ62" s="105">
        <f>IF('Marks Entry'!AX62="","",'Marks Entry'!AX62)</f>
        <v>11</v>
      </c>
      <c r="BA62" s="105">
        <f t="shared" si="48"/>
        <v>33</v>
      </c>
      <c r="BB62" s="105">
        <f>IF(AND('Marks Entry'!AY62="",'Marks Entry'!AZ62=""),"",SUM('Marks Entry'!AY62:AZ62))</f>
        <v>40</v>
      </c>
      <c r="BC62" s="105">
        <f>IF('Marks Entry'!BA62="","",'Marks Entry'!BA62)</f>
        <v>10</v>
      </c>
      <c r="BD62" s="105">
        <f t="shared" si="49"/>
        <v>50</v>
      </c>
      <c r="BE62" s="105">
        <f t="shared" si="50"/>
        <v>103</v>
      </c>
      <c r="BF62" s="105" t="str">
        <f t="shared" si="51"/>
        <v/>
      </c>
      <c r="BG62" s="105" t="str">
        <f t="shared" si="52"/>
        <v/>
      </c>
      <c r="BH62" s="105" t="str">
        <f t="shared" si="53"/>
        <v/>
      </c>
      <c r="BI62" s="50" t="str">
        <f t="shared" si="71"/>
        <v/>
      </c>
      <c r="BJ62" s="47" t="str">
        <f t="shared" si="72"/>
        <v/>
      </c>
      <c r="BK62" s="105" t="str">
        <f t="shared" si="54"/>
        <v/>
      </c>
      <c r="BL62" s="105" t="str">
        <f t="shared" si="55"/>
        <v/>
      </c>
      <c r="BM62" s="105" t="str">
        <f>IF(OR(B62="",'Marks Entry'!BY62=""),"",'Marks Entry'!BY62)</f>
        <v/>
      </c>
      <c r="BN62" s="105" t="str">
        <f>IF(OR(B62="",'Marks Entry'!BZ62=""),"",'Marks Entry'!BZ62)</f>
        <v/>
      </c>
      <c r="BO62" s="105">
        <f>IF('Marks Entry'!BC62="","",'Marks Entry'!BC62)</f>
        <v>15</v>
      </c>
      <c r="BP62" s="105">
        <f>IF('Marks Entry'!BD62="","",'Marks Entry'!BD62)</f>
        <v>15</v>
      </c>
      <c r="BQ62" s="105">
        <f>IF(AND('Marks Entry'!BE62="",'Marks Entry'!BF62=""),"",SUM('Marks Entry'!BE62:BF62))</f>
        <v>25</v>
      </c>
      <c r="BR62" s="105">
        <f>IF(AND('Marks Entry'!BG62="",'Marks Entry'!BH62=""),"",SUM('Marks Entry'!BG62:BH62))</f>
        <v>82</v>
      </c>
      <c r="BS62" s="105">
        <f t="shared" si="56"/>
        <v>137</v>
      </c>
      <c r="BT62" s="105" t="str">
        <f t="shared" si="57"/>
        <v/>
      </c>
      <c r="BU62" s="105" t="str">
        <f t="shared" si="58"/>
        <v/>
      </c>
      <c r="BV62" s="105">
        <f>IF('Marks Entry'!BJ62="","",'Marks Entry'!BJ62)</f>
        <v>15</v>
      </c>
      <c r="BW62" s="105">
        <f>IF('Marks Entry'!BK62="","",'Marks Entry'!BK62)</f>
        <v>15</v>
      </c>
      <c r="BX62" s="105">
        <f>IF(AND('Marks Entry'!BL62="",'Marks Entry'!BM62=""),"",SUM('Marks Entry'!BL62:BM62))</f>
        <v>25</v>
      </c>
      <c r="BY62" s="105">
        <f>IF(AND('Marks Entry'!BN62="",'Marks Entry'!BO62=""),"",SUM('Marks Entry'!BN62:BO62))</f>
        <v>82</v>
      </c>
      <c r="BZ62" s="105">
        <f t="shared" si="59"/>
        <v>137</v>
      </c>
      <c r="CA62" s="105" t="str">
        <f t="shared" si="60"/>
        <v/>
      </c>
      <c r="CB62" s="105" t="str">
        <f t="shared" si="61"/>
        <v/>
      </c>
      <c r="CC62" s="105" t="str">
        <f>IF('Marks Entry'!BQ62="","",'Marks Entry'!BQ62)</f>
        <v/>
      </c>
      <c r="CD62" s="105" t="str">
        <f>IF('Marks Entry'!BR62="","",'Marks Entry'!BR62)</f>
        <v/>
      </c>
      <c r="CE62" s="105" t="str">
        <f>IF(AND('Marks Entry'!BS62="",'Marks Entry'!BT62=""),"",SUM('Marks Entry'!BS62:BT62))</f>
        <v/>
      </c>
      <c r="CF62" s="105" t="str">
        <f>IF(AND('Marks Entry'!BU62="",'Marks Entry'!BV62=""),"",SUM('Marks Entry'!BU62:BV62))</f>
        <v/>
      </c>
      <c r="CG62" s="105" t="str">
        <f t="shared" si="62"/>
        <v/>
      </c>
      <c r="CH62" s="105" t="str">
        <f t="shared" si="63"/>
        <v/>
      </c>
      <c r="CI62" s="105" t="str">
        <f t="shared" si="64"/>
        <v/>
      </c>
      <c r="CJ62" s="81"/>
      <c r="CK62" s="50" t="str">
        <f t="shared" si="73"/>
        <v/>
      </c>
      <c r="CM62" s="105" t="str">
        <f t="shared" si="74"/>
        <v/>
      </c>
      <c r="CN62" s="105" t="str">
        <f t="shared" si="75"/>
        <v/>
      </c>
      <c r="CO62" s="105" t="str">
        <f t="shared" si="76"/>
        <v/>
      </c>
      <c r="CP62" s="105" t="str">
        <f t="shared" si="77"/>
        <v/>
      </c>
      <c r="CQ62" s="105" t="str">
        <f t="shared" si="78"/>
        <v/>
      </c>
      <c r="CS62" s="105">
        <f t="shared" si="79"/>
        <v>0</v>
      </c>
      <c r="CT62" s="105">
        <f t="shared" si="80"/>
        <v>0</v>
      </c>
      <c r="CU62" s="105">
        <f t="shared" si="81"/>
        <v>0</v>
      </c>
      <c r="CV62" s="105">
        <f t="shared" si="82"/>
        <v>0</v>
      </c>
      <c r="CW62" s="81"/>
      <c r="CX62" s="105" t="str">
        <f t="shared" si="83"/>
        <v/>
      </c>
      <c r="CY62" s="105" t="str">
        <f t="shared" si="84"/>
        <v/>
      </c>
      <c r="CZ62" s="105" t="str">
        <f t="shared" si="85"/>
        <v/>
      </c>
      <c r="DA62" s="105" t="str">
        <f t="shared" si="86"/>
        <v/>
      </c>
      <c r="DB62" s="105" t="str">
        <f t="shared" si="87"/>
        <v/>
      </c>
      <c r="DD62" s="105" t="str">
        <f t="shared" si="88"/>
        <v/>
      </c>
      <c r="DE62" s="105" t="str">
        <f t="shared" si="89"/>
        <v/>
      </c>
      <c r="DF62" s="105" t="str">
        <f t="shared" si="90"/>
        <v/>
      </c>
      <c r="DG62" s="105" t="str">
        <f t="shared" si="91"/>
        <v/>
      </c>
      <c r="DH62" s="105" t="str">
        <f t="shared" si="92"/>
        <v/>
      </c>
      <c r="DI62" s="105" t="str">
        <f t="shared" si="93"/>
        <v/>
      </c>
      <c r="DJ62" s="105" t="str">
        <f t="shared" si="94"/>
        <v/>
      </c>
      <c r="DK62" s="105" t="str">
        <f t="shared" si="95"/>
        <v/>
      </c>
      <c r="DL62" s="105" t="str">
        <f t="shared" si="96"/>
        <v/>
      </c>
      <c r="DM62" s="105" t="str">
        <f t="shared" si="97"/>
        <v/>
      </c>
      <c r="DN62" s="105" t="str">
        <f t="shared" si="98"/>
        <v/>
      </c>
      <c r="DO62" s="105" t="str">
        <f t="shared" si="99"/>
        <v/>
      </c>
      <c r="DP62" s="105" t="str">
        <f t="shared" si="100"/>
        <v/>
      </c>
      <c r="DR62" s="118" t="str">
        <f t="shared" si="65"/>
        <v xml:space="preserve">    </v>
      </c>
      <c r="DS62" s="75"/>
      <c r="DT62" s="119" t="str">
        <f t="shared" si="66"/>
        <v xml:space="preserve">    </v>
      </c>
      <c r="DU62" s="136"/>
      <c r="DV62" s="119" t="str">
        <f t="shared" si="67"/>
        <v xml:space="preserve">    </v>
      </c>
      <c r="DW62" s="75"/>
      <c r="DX62" s="119" t="str">
        <f t="shared" si="68"/>
        <v xml:space="preserve">     </v>
      </c>
      <c r="DY62" s="75"/>
      <c r="DZ62" s="119" t="str">
        <f t="shared" si="69"/>
        <v xml:space="preserve">    </v>
      </c>
    </row>
    <row r="63" spans="1:130" ht="30" customHeight="1" x14ac:dyDescent="0.25">
      <c r="A63" s="105" t="str">
        <f>IF('Marks Entry'!A63="","",'Marks Entry'!A63)</f>
        <v/>
      </c>
      <c r="B63" s="105" t="str">
        <f>IF('Marks Entry'!B63="","",'Marks Entry'!B63)</f>
        <v/>
      </c>
      <c r="C63" s="105" t="str">
        <f>IF('Marks Entry'!C63="","",'Marks Entry'!C63)</f>
        <v/>
      </c>
      <c r="D63" s="48" t="str">
        <f>IF('Marks Entry'!D63="","",'Marks Entry'!D63)</f>
        <v/>
      </c>
      <c r="E63" s="48" t="str">
        <f>IF('Marks Entry'!E63="","",'Marks Entry'!E63)</f>
        <v/>
      </c>
      <c r="F63" s="48" t="str">
        <f>IF('Marks Entry'!F63="","",'Marks Entry'!F63)</f>
        <v/>
      </c>
      <c r="G63" s="105" t="str">
        <f>IF('Marks Entry'!G63="","",'Marks Entry'!G63)</f>
        <v/>
      </c>
      <c r="H63" s="49" t="str">
        <f>IF('Marks Entry'!H63="","",'Marks Entry'!H63)</f>
        <v/>
      </c>
      <c r="I63" s="105" t="str">
        <f>IF('Marks Entry'!I63="","",'Marks Entry'!I63)</f>
        <v/>
      </c>
      <c r="J63" s="105">
        <f>IF('Marks Entry'!K63="","",'Marks Entry'!K63)</f>
        <v>10</v>
      </c>
      <c r="K63" s="105">
        <f>IF('Marks Entry'!L63="","",'Marks Entry'!L63)</f>
        <v>20</v>
      </c>
      <c r="L63" s="105">
        <f>IF(AND('Marks Entry'!M63="",'Marks Entry'!N63=""),"",SUM('Marks Entry'!M63:N63))</f>
        <v>15</v>
      </c>
      <c r="M63" s="105">
        <f>IF(AND('Marks Entry'!O63="",'Marks Entry'!P63=""),"",SUM('Marks Entry'!O63:P63))</f>
        <v>101</v>
      </c>
      <c r="N63" s="105">
        <f t="shared" si="70"/>
        <v>146</v>
      </c>
      <c r="O63" s="105" t="str">
        <f t="shared" si="33"/>
        <v/>
      </c>
      <c r="P63" s="105" t="str">
        <f t="shared" si="34"/>
        <v/>
      </c>
      <c r="Q63" s="105">
        <f>IF('Marks Entry'!R63="","",'Marks Entry'!R63)</f>
        <v>10</v>
      </c>
      <c r="R63" s="105">
        <f>IF('Marks Entry'!S63="","",'Marks Entry'!S63)</f>
        <v>10</v>
      </c>
      <c r="S63" s="105">
        <f>IF(AND('Marks Entry'!T63="",'Marks Entry'!U63=""),"",SUM('Marks Entry'!T63:U63))</f>
        <v>40</v>
      </c>
      <c r="T63" s="105">
        <f>IF(AND('Marks Entry'!V63="",'Marks Entry'!W63=""),"",SUM('Marks Entry'!V63:W63))</f>
        <v>92</v>
      </c>
      <c r="U63" s="105">
        <f t="shared" si="35"/>
        <v>152</v>
      </c>
      <c r="V63" s="105" t="str">
        <f t="shared" si="36"/>
        <v/>
      </c>
      <c r="W63" s="105" t="str">
        <f t="shared" si="37"/>
        <v/>
      </c>
      <c r="X63" s="47" t="str">
        <f>IF(B63="","",IF('Marks Entry'!Y63="",'Marks Entry'!$Y$4,'Marks Entry'!Y63))</f>
        <v/>
      </c>
      <c r="Y63" s="105">
        <f>IF('Marks Entry'!Z63="","",'Marks Entry'!Z63)</f>
        <v>10</v>
      </c>
      <c r="Z63" s="105">
        <f>IF('Marks Entry'!AA63="","",'Marks Entry'!AA63)</f>
        <v>10</v>
      </c>
      <c r="AA63" s="105">
        <f>IF(AND('Marks Entry'!AB63="",'Marks Entry'!AC63=""),"",SUM('Marks Entry'!AB63:AC63))</f>
        <v>40</v>
      </c>
      <c r="AB63" s="105" t="str">
        <f>IF('Marks Entry'!AD63="","",'Marks Entry'!AD63)</f>
        <v/>
      </c>
      <c r="AC63" s="105">
        <f t="shared" si="38"/>
        <v>40</v>
      </c>
      <c r="AD63" s="105">
        <f>IF(AND('Marks Entry'!AE63="",'Marks Entry'!AF63=""),"",SUM('Marks Entry'!AE63:AF63))</f>
        <v>41</v>
      </c>
      <c r="AE63" s="105" t="str">
        <f>IF('Marks Entry'!AG63="","",'Marks Entry'!AG63)</f>
        <v/>
      </c>
      <c r="AF63" s="105">
        <f t="shared" si="39"/>
        <v>41</v>
      </c>
      <c r="AG63" s="105">
        <f t="shared" si="40"/>
        <v>101</v>
      </c>
      <c r="AH63" s="105" t="str">
        <f t="shared" si="41"/>
        <v/>
      </c>
      <c r="AI63" s="105" t="str">
        <f t="shared" si="42"/>
        <v/>
      </c>
      <c r="AJ63" s="47" t="str">
        <f>IF(B63="","",IF('Marks Entry'!AI63="",'Marks Entry'!$AI$4,'Marks Entry'!AI63))</f>
        <v/>
      </c>
      <c r="AK63" s="105">
        <f>IF('Marks Entry'!AJ63="","",'Marks Entry'!AJ63)</f>
        <v>10</v>
      </c>
      <c r="AL63" s="105">
        <f>IF('Marks Entry'!AK63="","",'Marks Entry'!AK63)</f>
        <v>10</v>
      </c>
      <c r="AM63" s="105">
        <f>IF(AND('Marks Entry'!AL63="",'Marks Entry'!AM63=""),"",SUM('Marks Entry'!AL63:AM63))</f>
        <v>40</v>
      </c>
      <c r="AN63" s="105" t="str">
        <f>IF('Marks Entry'!AN63="","",'Marks Entry'!AN63)</f>
        <v/>
      </c>
      <c r="AO63" s="105">
        <f t="shared" si="43"/>
        <v>40</v>
      </c>
      <c r="AP63" s="105">
        <f>IF(AND('Marks Entry'!AO63="",'Marks Entry'!AP63=""),"",SUM('Marks Entry'!AO63:AP63))</f>
        <v>60</v>
      </c>
      <c r="AQ63" s="105" t="str">
        <f>IF('Marks Entry'!AQ63="","",'Marks Entry'!AQ63)</f>
        <v/>
      </c>
      <c r="AR63" s="105">
        <f t="shared" si="44"/>
        <v>60</v>
      </c>
      <c r="AS63" s="105">
        <f t="shared" si="45"/>
        <v>120</v>
      </c>
      <c r="AT63" s="105" t="str">
        <f t="shared" si="46"/>
        <v/>
      </c>
      <c r="AU63" s="105" t="str">
        <f t="shared" si="47"/>
        <v/>
      </c>
      <c r="AV63" s="47" t="str">
        <f>IF(B63="","",IF('Marks Entry'!AS63="",'Marks Entry'!$AS$4,'Marks Entry'!AS63))</f>
        <v/>
      </c>
      <c r="AW63" s="105">
        <f>IF('Marks Entry'!AT63="","",'Marks Entry'!AT63)</f>
        <v>10</v>
      </c>
      <c r="AX63" s="105">
        <f>IF('Marks Entry'!AU63="","",'Marks Entry'!AU63)</f>
        <v>10</v>
      </c>
      <c r="AY63" s="105">
        <f>IF(AND('Marks Entry'!AV63="",'Marks Entry'!AW63=""),"",SUM('Marks Entry'!AV63:AW63))</f>
        <v>20</v>
      </c>
      <c r="AZ63" s="105">
        <f>IF('Marks Entry'!AX63="","",'Marks Entry'!AX63)</f>
        <v>10</v>
      </c>
      <c r="BA63" s="105">
        <f t="shared" si="48"/>
        <v>30</v>
      </c>
      <c r="BB63" s="105">
        <f>IF(AND('Marks Entry'!AY63="",'Marks Entry'!AZ63=""),"",SUM('Marks Entry'!AY63:AZ63))</f>
        <v>40</v>
      </c>
      <c r="BC63" s="105">
        <f>IF('Marks Entry'!BA63="","",'Marks Entry'!BA63)</f>
        <v>15</v>
      </c>
      <c r="BD63" s="105">
        <f t="shared" si="49"/>
        <v>55</v>
      </c>
      <c r="BE63" s="105">
        <f t="shared" si="50"/>
        <v>105</v>
      </c>
      <c r="BF63" s="105" t="str">
        <f t="shared" si="51"/>
        <v/>
      </c>
      <c r="BG63" s="105" t="str">
        <f t="shared" si="52"/>
        <v/>
      </c>
      <c r="BH63" s="105" t="str">
        <f t="shared" si="53"/>
        <v/>
      </c>
      <c r="BI63" s="50" t="str">
        <f t="shared" si="71"/>
        <v/>
      </c>
      <c r="BJ63" s="47" t="str">
        <f t="shared" si="72"/>
        <v/>
      </c>
      <c r="BK63" s="105" t="str">
        <f t="shared" si="54"/>
        <v/>
      </c>
      <c r="BL63" s="105" t="str">
        <f t="shared" si="55"/>
        <v/>
      </c>
      <c r="BM63" s="105" t="str">
        <f>IF(OR(B63="",'Marks Entry'!BY63=""),"",'Marks Entry'!BY63)</f>
        <v/>
      </c>
      <c r="BN63" s="105" t="str">
        <f>IF(OR(B63="",'Marks Entry'!BZ63=""),"",'Marks Entry'!BZ63)</f>
        <v/>
      </c>
      <c r="BO63" s="105">
        <f>IF('Marks Entry'!BC63="","",'Marks Entry'!BC63)</f>
        <v>15</v>
      </c>
      <c r="BP63" s="105">
        <f>IF('Marks Entry'!BD63="","",'Marks Entry'!BD63)</f>
        <v>15</v>
      </c>
      <c r="BQ63" s="105">
        <f>IF(AND('Marks Entry'!BE63="",'Marks Entry'!BF63=""),"",SUM('Marks Entry'!BE63:BF63))</f>
        <v>25</v>
      </c>
      <c r="BR63" s="105">
        <f>IF(AND('Marks Entry'!BG63="",'Marks Entry'!BH63=""),"",SUM('Marks Entry'!BG63:BH63))</f>
        <v>82</v>
      </c>
      <c r="BS63" s="105">
        <f t="shared" si="56"/>
        <v>137</v>
      </c>
      <c r="BT63" s="105" t="str">
        <f t="shared" si="57"/>
        <v/>
      </c>
      <c r="BU63" s="105" t="str">
        <f t="shared" si="58"/>
        <v/>
      </c>
      <c r="BV63" s="105">
        <f>IF('Marks Entry'!BJ63="","",'Marks Entry'!BJ63)</f>
        <v>15</v>
      </c>
      <c r="BW63" s="105">
        <f>IF('Marks Entry'!BK63="","",'Marks Entry'!BK63)</f>
        <v>15</v>
      </c>
      <c r="BX63" s="105">
        <f>IF(AND('Marks Entry'!BL63="",'Marks Entry'!BM63=""),"",SUM('Marks Entry'!BL63:BM63))</f>
        <v>25</v>
      </c>
      <c r="BY63" s="105">
        <f>IF(AND('Marks Entry'!BN63="",'Marks Entry'!BO63=""),"",SUM('Marks Entry'!BN63:BO63))</f>
        <v>82</v>
      </c>
      <c r="BZ63" s="105">
        <f t="shared" si="59"/>
        <v>137</v>
      </c>
      <c r="CA63" s="105" t="str">
        <f t="shared" si="60"/>
        <v/>
      </c>
      <c r="CB63" s="105" t="str">
        <f t="shared" si="61"/>
        <v/>
      </c>
      <c r="CC63" s="105" t="str">
        <f>IF('Marks Entry'!BQ63="","",'Marks Entry'!BQ63)</f>
        <v/>
      </c>
      <c r="CD63" s="105" t="str">
        <f>IF('Marks Entry'!BR63="","",'Marks Entry'!BR63)</f>
        <v/>
      </c>
      <c r="CE63" s="105" t="str">
        <f>IF(AND('Marks Entry'!BS63="",'Marks Entry'!BT63=""),"",SUM('Marks Entry'!BS63:BT63))</f>
        <v/>
      </c>
      <c r="CF63" s="105" t="str">
        <f>IF(AND('Marks Entry'!BU63="",'Marks Entry'!BV63=""),"",SUM('Marks Entry'!BU63:BV63))</f>
        <v/>
      </c>
      <c r="CG63" s="105" t="str">
        <f t="shared" si="62"/>
        <v/>
      </c>
      <c r="CH63" s="105" t="str">
        <f t="shared" si="63"/>
        <v/>
      </c>
      <c r="CI63" s="105" t="str">
        <f t="shared" si="64"/>
        <v/>
      </c>
      <c r="CJ63" s="81"/>
      <c r="CK63" s="50" t="str">
        <f t="shared" si="73"/>
        <v/>
      </c>
      <c r="CM63" s="105" t="str">
        <f t="shared" si="74"/>
        <v/>
      </c>
      <c r="CN63" s="105" t="str">
        <f t="shared" si="75"/>
        <v/>
      </c>
      <c r="CO63" s="105" t="str">
        <f t="shared" si="76"/>
        <v/>
      </c>
      <c r="CP63" s="105" t="str">
        <f t="shared" si="77"/>
        <v/>
      </c>
      <c r="CQ63" s="105" t="str">
        <f t="shared" si="78"/>
        <v/>
      </c>
      <c r="CS63" s="105">
        <f t="shared" si="79"/>
        <v>0</v>
      </c>
      <c r="CT63" s="105">
        <f t="shared" si="80"/>
        <v>0</v>
      </c>
      <c r="CU63" s="105">
        <f t="shared" si="81"/>
        <v>0</v>
      </c>
      <c r="CV63" s="105">
        <f t="shared" si="82"/>
        <v>0</v>
      </c>
      <c r="CW63" s="81"/>
      <c r="CX63" s="105" t="str">
        <f t="shared" si="83"/>
        <v/>
      </c>
      <c r="CY63" s="105" t="str">
        <f t="shared" si="84"/>
        <v/>
      </c>
      <c r="CZ63" s="105" t="str">
        <f t="shared" si="85"/>
        <v/>
      </c>
      <c r="DA63" s="105" t="str">
        <f t="shared" si="86"/>
        <v/>
      </c>
      <c r="DB63" s="105" t="str">
        <f t="shared" si="87"/>
        <v/>
      </c>
      <c r="DD63" s="105" t="str">
        <f t="shared" si="88"/>
        <v/>
      </c>
      <c r="DE63" s="105" t="str">
        <f t="shared" si="89"/>
        <v/>
      </c>
      <c r="DF63" s="105" t="str">
        <f t="shared" si="90"/>
        <v/>
      </c>
      <c r="DG63" s="105" t="str">
        <f t="shared" si="91"/>
        <v/>
      </c>
      <c r="DH63" s="105" t="str">
        <f t="shared" si="92"/>
        <v/>
      </c>
      <c r="DI63" s="105" t="str">
        <f t="shared" si="93"/>
        <v/>
      </c>
      <c r="DJ63" s="105" t="str">
        <f t="shared" si="94"/>
        <v/>
      </c>
      <c r="DK63" s="105" t="str">
        <f t="shared" si="95"/>
        <v/>
      </c>
      <c r="DL63" s="105" t="str">
        <f t="shared" si="96"/>
        <v/>
      </c>
      <c r="DM63" s="105" t="str">
        <f t="shared" si="97"/>
        <v/>
      </c>
      <c r="DN63" s="105" t="str">
        <f t="shared" si="98"/>
        <v/>
      </c>
      <c r="DO63" s="105" t="str">
        <f t="shared" si="99"/>
        <v/>
      </c>
      <c r="DP63" s="105" t="str">
        <f t="shared" si="100"/>
        <v/>
      </c>
      <c r="DR63" s="118" t="str">
        <f t="shared" si="65"/>
        <v xml:space="preserve">    </v>
      </c>
      <c r="DS63" s="75"/>
      <c r="DT63" s="119" t="str">
        <f t="shared" si="66"/>
        <v xml:space="preserve">    </v>
      </c>
      <c r="DU63" s="136"/>
      <c r="DV63" s="119" t="str">
        <f t="shared" si="67"/>
        <v xml:space="preserve">    </v>
      </c>
      <c r="DW63" s="75"/>
      <c r="DX63" s="119" t="str">
        <f t="shared" si="68"/>
        <v xml:space="preserve">     </v>
      </c>
      <c r="DY63" s="75"/>
      <c r="DZ63" s="119" t="str">
        <f t="shared" si="69"/>
        <v xml:space="preserve">    </v>
      </c>
    </row>
    <row r="64" spans="1:130" ht="30" customHeight="1" x14ac:dyDescent="0.25">
      <c r="A64" s="105" t="str">
        <f>IF('Marks Entry'!A64="","",'Marks Entry'!A64)</f>
        <v/>
      </c>
      <c r="B64" s="105" t="str">
        <f>IF('Marks Entry'!B64="","",'Marks Entry'!B64)</f>
        <v/>
      </c>
      <c r="C64" s="105" t="str">
        <f>IF('Marks Entry'!C64="","",'Marks Entry'!C64)</f>
        <v/>
      </c>
      <c r="D64" s="48" t="str">
        <f>IF('Marks Entry'!D64="","",'Marks Entry'!D64)</f>
        <v/>
      </c>
      <c r="E64" s="48" t="str">
        <f>IF('Marks Entry'!E64="","",'Marks Entry'!E64)</f>
        <v/>
      </c>
      <c r="F64" s="48" t="str">
        <f>IF('Marks Entry'!F64="","",'Marks Entry'!F64)</f>
        <v/>
      </c>
      <c r="G64" s="105" t="str">
        <f>IF('Marks Entry'!G64="","",'Marks Entry'!G64)</f>
        <v/>
      </c>
      <c r="H64" s="49" t="str">
        <f>IF('Marks Entry'!H64="","",'Marks Entry'!H64)</f>
        <v/>
      </c>
      <c r="I64" s="105" t="str">
        <f>IF('Marks Entry'!I64="","",'Marks Entry'!I64)</f>
        <v/>
      </c>
      <c r="J64" s="105">
        <f>IF('Marks Entry'!K64="","",'Marks Entry'!K64)</f>
        <v>10</v>
      </c>
      <c r="K64" s="105">
        <f>IF('Marks Entry'!L64="","",'Marks Entry'!L64)</f>
        <v>20</v>
      </c>
      <c r="L64" s="105">
        <f>IF(AND('Marks Entry'!M64="",'Marks Entry'!N64=""),"",SUM('Marks Entry'!M64:N64))</f>
        <v>15</v>
      </c>
      <c r="M64" s="105">
        <f>IF(AND('Marks Entry'!O64="",'Marks Entry'!P64=""),"",SUM('Marks Entry'!O64:P64))</f>
        <v>102</v>
      </c>
      <c r="N64" s="105">
        <f t="shared" si="70"/>
        <v>147</v>
      </c>
      <c r="O64" s="105" t="str">
        <f t="shared" si="33"/>
        <v/>
      </c>
      <c r="P64" s="105" t="str">
        <f t="shared" si="34"/>
        <v/>
      </c>
      <c r="Q64" s="105">
        <f>IF('Marks Entry'!R64="","",'Marks Entry'!R64)</f>
        <v>10</v>
      </c>
      <c r="R64" s="105">
        <f>IF('Marks Entry'!S64="","",'Marks Entry'!S64)</f>
        <v>10</v>
      </c>
      <c r="S64" s="105">
        <f>IF(AND('Marks Entry'!T64="",'Marks Entry'!U64=""),"",SUM('Marks Entry'!T64:U64))</f>
        <v>40</v>
      </c>
      <c r="T64" s="105">
        <f>IF(AND('Marks Entry'!V64="",'Marks Entry'!W64=""),"",SUM('Marks Entry'!V64:W64))</f>
        <v>93</v>
      </c>
      <c r="U64" s="105">
        <f t="shared" si="35"/>
        <v>153</v>
      </c>
      <c r="V64" s="105" t="str">
        <f t="shared" si="36"/>
        <v/>
      </c>
      <c r="W64" s="105" t="str">
        <f t="shared" si="37"/>
        <v/>
      </c>
      <c r="X64" s="47" t="str">
        <f>IF(B64="","",IF('Marks Entry'!Y64="",'Marks Entry'!$Y$4,'Marks Entry'!Y64))</f>
        <v/>
      </c>
      <c r="Y64" s="105">
        <f>IF('Marks Entry'!Z64="","",'Marks Entry'!Z64)</f>
        <v>10</v>
      </c>
      <c r="Z64" s="105">
        <f>IF('Marks Entry'!AA64="","",'Marks Entry'!AA64)</f>
        <v>10</v>
      </c>
      <c r="AA64" s="105">
        <f>IF(AND('Marks Entry'!AB64="",'Marks Entry'!AC64=""),"",SUM('Marks Entry'!AB64:AC64))</f>
        <v>40</v>
      </c>
      <c r="AB64" s="105" t="str">
        <f>IF('Marks Entry'!AD64="","",'Marks Entry'!AD64)</f>
        <v/>
      </c>
      <c r="AC64" s="105">
        <f t="shared" si="38"/>
        <v>40</v>
      </c>
      <c r="AD64" s="105">
        <f>IF(AND('Marks Entry'!AE64="",'Marks Entry'!AF64=""),"",SUM('Marks Entry'!AE64:AF64))</f>
        <v>41</v>
      </c>
      <c r="AE64" s="105" t="str">
        <f>IF('Marks Entry'!AG64="","",'Marks Entry'!AG64)</f>
        <v/>
      </c>
      <c r="AF64" s="105">
        <f t="shared" si="39"/>
        <v>41</v>
      </c>
      <c r="AG64" s="105">
        <f t="shared" si="40"/>
        <v>101</v>
      </c>
      <c r="AH64" s="105" t="str">
        <f t="shared" si="41"/>
        <v/>
      </c>
      <c r="AI64" s="105" t="str">
        <f t="shared" si="42"/>
        <v/>
      </c>
      <c r="AJ64" s="47" t="str">
        <f>IF(B64="","",IF('Marks Entry'!AI64="",'Marks Entry'!$AI$4,'Marks Entry'!AI64))</f>
        <v/>
      </c>
      <c r="AK64" s="105">
        <f>IF('Marks Entry'!AJ64="","",'Marks Entry'!AJ64)</f>
        <v>10</v>
      </c>
      <c r="AL64" s="105">
        <f>IF('Marks Entry'!AK64="","",'Marks Entry'!AK64)</f>
        <v>10</v>
      </c>
      <c r="AM64" s="105">
        <f>IF(AND('Marks Entry'!AL64="",'Marks Entry'!AM64=""),"",SUM('Marks Entry'!AL64:AM64))</f>
        <v>40</v>
      </c>
      <c r="AN64" s="105" t="str">
        <f>IF('Marks Entry'!AN64="","",'Marks Entry'!AN64)</f>
        <v/>
      </c>
      <c r="AO64" s="105">
        <f t="shared" si="43"/>
        <v>40</v>
      </c>
      <c r="AP64" s="105">
        <f>IF(AND('Marks Entry'!AO64="",'Marks Entry'!AP64=""),"",SUM('Marks Entry'!AO64:AP64))</f>
        <v>62</v>
      </c>
      <c r="AQ64" s="105" t="str">
        <f>IF('Marks Entry'!AQ64="","",'Marks Entry'!AQ64)</f>
        <v/>
      </c>
      <c r="AR64" s="105">
        <f t="shared" si="44"/>
        <v>62</v>
      </c>
      <c r="AS64" s="105">
        <f t="shared" si="45"/>
        <v>122</v>
      </c>
      <c r="AT64" s="105" t="str">
        <f t="shared" si="46"/>
        <v/>
      </c>
      <c r="AU64" s="105" t="str">
        <f t="shared" si="47"/>
        <v/>
      </c>
      <c r="AV64" s="47" t="str">
        <f>IF(B64="","",IF('Marks Entry'!AS64="",'Marks Entry'!$AS$4,'Marks Entry'!AS64))</f>
        <v/>
      </c>
      <c r="AW64" s="105">
        <f>IF('Marks Entry'!AT64="","",'Marks Entry'!AT64)</f>
        <v>10</v>
      </c>
      <c r="AX64" s="105">
        <f>IF('Marks Entry'!AU64="","",'Marks Entry'!AU64)</f>
        <v>10</v>
      </c>
      <c r="AY64" s="105">
        <f>IF(AND('Marks Entry'!AV64="",'Marks Entry'!AW64=""),"",SUM('Marks Entry'!AV64:AW64))</f>
        <v>19</v>
      </c>
      <c r="AZ64" s="105">
        <f>IF('Marks Entry'!AX64="","",'Marks Entry'!AX64)</f>
        <v>12</v>
      </c>
      <c r="BA64" s="105">
        <f t="shared" si="48"/>
        <v>31</v>
      </c>
      <c r="BB64" s="105">
        <f>IF(AND('Marks Entry'!AY64="",'Marks Entry'!AZ64=""),"",SUM('Marks Entry'!AY64:AZ64))</f>
        <v>37</v>
      </c>
      <c r="BC64" s="105">
        <f>IF('Marks Entry'!BA64="","",'Marks Entry'!BA64)</f>
        <v>18</v>
      </c>
      <c r="BD64" s="105">
        <f t="shared" si="49"/>
        <v>55</v>
      </c>
      <c r="BE64" s="105">
        <f t="shared" si="50"/>
        <v>106</v>
      </c>
      <c r="BF64" s="105" t="str">
        <f t="shared" si="51"/>
        <v/>
      </c>
      <c r="BG64" s="105" t="str">
        <f t="shared" si="52"/>
        <v/>
      </c>
      <c r="BH64" s="105" t="str">
        <f t="shared" si="53"/>
        <v/>
      </c>
      <c r="BI64" s="50" t="str">
        <f t="shared" si="71"/>
        <v/>
      </c>
      <c r="BJ64" s="47" t="str">
        <f t="shared" si="72"/>
        <v/>
      </c>
      <c r="BK64" s="105" t="str">
        <f t="shared" si="54"/>
        <v/>
      </c>
      <c r="BL64" s="105" t="str">
        <f t="shared" si="55"/>
        <v/>
      </c>
      <c r="BM64" s="105" t="str">
        <f>IF(OR(B64="",'Marks Entry'!BY64=""),"",'Marks Entry'!BY64)</f>
        <v/>
      </c>
      <c r="BN64" s="105" t="str">
        <f>IF(OR(B64="",'Marks Entry'!BZ64=""),"",'Marks Entry'!BZ64)</f>
        <v/>
      </c>
      <c r="BO64" s="105">
        <f>IF('Marks Entry'!BC64="","",'Marks Entry'!BC64)</f>
        <v>15</v>
      </c>
      <c r="BP64" s="105">
        <f>IF('Marks Entry'!BD64="","",'Marks Entry'!BD64)</f>
        <v>15</v>
      </c>
      <c r="BQ64" s="105">
        <f>IF(AND('Marks Entry'!BE64="",'Marks Entry'!BF64=""),"",SUM('Marks Entry'!BE64:BF64))</f>
        <v>25</v>
      </c>
      <c r="BR64" s="105">
        <f>IF(AND('Marks Entry'!BG64="",'Marks Entry'!BH64=""),"",SUM('Marks Entry'!BG64:BH64))</f>
        <v>82</v>
      </c>
      <c r="BS64" s="105">
        <f t="shared" si="56"/>
        <v>137</v>
      </c>
      <c r="BT64" s="105" t="str">
        <f t="shared" si="57"/>
        <v/>
      </c>
      <c r="BU64" s="105" t="str">
        <f t="shared" si="58"/>
        <v/>
      </c>
      <c r="BV64" s="105">
        <f>IF('Marks Entry'!BJ64="","",'Marks Entry'!BJ64)</f>
        <v>15</v>
      </c>
      <c r="BW64" s="105">
        <f>IF('Marks Entry'!BK64="","",'Marks Entry'!BK64)</f>
        <v>15</v>
      </c>
      <c r="BX64" s="105">
        <f>IF(AND('Marks Entry'!BL64="",'Marks Entry'!BM64=""),"",SUM('Marks Entry'!BL64:BM64))</f>
        <v>25</v>
      </c>
      <c r="BY64" s="105">
        <f>IF(AND('Marks Entry'!BN64="",'Marks Entry'!BO64=""),"",SUM('Marks Entry'!BN64:BO64))</f>
        <v>82</v>
      </c>
      <c r="BZ64" s="105">
        <f t="shared" si="59"/>
        <v>137</v>
      </c>
      <c r="CA64" s="105" t="str">
        <f t="shared" si="60"/>
        <v/>
      </c>
      <c r="CB64" s="105" t="str">
        <f t="shared" si="61"/>
        <v/>
      </c>
      <c r="CC64" s="105" t="str">
        <f>IF('Marks Entry'!BQ64="","",'Marks Entry'!BQ64)</f>
        <v/>
      </c>
      <c r="CD64" s="105" t="str">
        <f>IF('Marks Entry'!BR64="","",'Marks Entry'!BR64)</f>
        <v/>
      </c>
      <c r="CE64" s="105" t="str">
        <f>IF(AND('Marks Entry'!BS64="",'Marks Entry'!BT64=""),"",SUM('Marks Entry'!BS64:BT64))</f>
        <v/>
      </c>
      <c r="CF64" s="105" t="str">
        <f>IF(AND('Marks Entry'!BU64="",'Marks Entry'!BV64=""),"",SUM('Marks Entry'!BU64:BV64))</f>
        <v/>
      </c>
      <c r="CG64" s="105" t="str">
        <f t="shared" si="62"/>
        <v/>
      </c>
      <c r="CH64" s="105" t="str">
        <f t="shared" si="63"/>
        <v/>
      </c>
      <c r="CI64" s="105" t="str">
        <f t="shared" si="64"/>
        <v/>
      </c>
      <c r="CJ64" s="81"/>
      <c r="CK64" s="50" t="str">
        <f t="shared" si="73"/>
        <v/>
      </c>
      <c r="CM64" s="105" t="str">
        <f t="shared" si="74"/>
        <v/>
      </c>
      <c r="CN64" s="105" t="str">
        <f t="shared" si="75"/>
        <v/>
      </c>
      <c r="CO64" s="105" t="str">
        <f t="shared" si="76"/>
        <v/>
      </c>
      <c r="CP64" s="105" t="str">
        <f t="shared" si="77"/>
        <v/>
      </c>
      <c r="CQ64" s="105" t="str">
        <f t="shared" si="78"/>
        <v/>
      </c>
      <c r="CS64" s="105">
        <f t="shared" si="79"/>
        <v>0</v>
      </c>
      <c r="CT64" s="105">
        <f t="shared" si="80"/>
        <v>0</v>
      </c>
      <c r="CU64" s="105">
        <f t="shared" si="81"/>
        <v>0</v>
      </c>
      <c r="CV64" s="105">
        <f t="shared" si="82"/>
        <v>0</v>
      </c>
      <c r="CW64" s="81"/>
      <c r="CX64" s="105" t="str">
        <f t="shared" si="83"/>
        <v/>
      </c>
      <c r="CY64" s="105" t="str">
        <f t="shared" si="84"/>
        <v/>
      </c>
      <c r="CZ64" s="105" t="str">
        <f t="shared" si="85"/>
        <v/>
      </c>
      <c r="DA64" s="105" t="str">
        <f t="shared" si="86"/>
        <v/>
      </c>
      <c r="DB64" s="105" t="str">
        <f t="shared" si="87"/>
        <v/>
      </c>
      <c r="DD64" s="105" t="str">
        <f t="shared" si="88"/>
        <v/>
      </c>
      <c r="DE64" s="105" t="str">
        <f t="shared" si="89"/>
        <v/>
      </c>
      <c r="DF64" s="105" t="str">
        <f t="shared" si="90"/>
        <v/>
      </c>
      <c r="DG64" s="105" t="str">
        <f t="shared" si="91"/>
        <v/>
      </c>
      <c r="DH64" s="105" t="str">
        <f t="shared" si="92"/>
        <v/>
      </c>
      <c r="DI64" s="105" t="str">
        <f t="shared" si="93"/>
        <v/>
      </c>
      <c r="DJ64" s="105" t="str">
        <f t="shared" si="94"/>
        <v/>
      </c>
      <c r="DK64" s="105" t="str">
        <f t="shared" si="95"/>
        <v/>
      </c>
      <c r="DL64" s="105" t="str">
        <f t="shared" si="96"/>
        <v/>
      </c>
      <c r="DM64" s="105" t="str">
        <f t="shared" si="97"/>
        <v/>
      </c>
      <c r="DN64" s="105" t="str">
        <f t="shared" si="98"/>
        <v/>
      </c>
      <c r="DO64" s="105" t="str">
        <f t="shared" si="99"/>
        <v/>
      </c>
      <c r="DP64" s="105" t="str">
        <f t="shared" si="100"/>
        <v/>
      </c>
      <c r="DR64" s="118" t="str">
        <f t="shared" si="65"/>
        <v xml:space="preserve">    </v>
      </c>
      <c r="DS64" s="75"/>
      <c r="DT64" s="119" t="str">
        <f t="shared" si="66"/>
        <v xml:space="preserve">    </v>
      </c>
      <c r="DU64" s="136"/>
      <c r="DV64" s="119" t="str">
        <f t="shared" si="67"/>
        <v xml:space="preserve">    </v>
      </c>
      <c r="DW64" s="75"/>
      <c r="DX64" s="119" t="str">
        <f t="shared" si="68"/>
        <v xml:space="preserve">     </v>
      </c>
      <c r="DY64" s="75"/>
      <c r="DZ64" s="119" t="str">
        <f t="shared" si="69"/>
        <v xml:space="preserve">    </v>
      </c>
    </row>
    <row r="65" spans="1:130" ht="30" customHeight="1" x14ac:dyDescent="0.25">
      <c r="A65" s="105" t="str">
        <f>IF('Marks Entry'!A65="","",'Marks Entry'!A65)</f>
        <v/>
      </c>
      <c r="B65" s="105" t="str">
        <f>IF('Marks Entry'!B65="","",'Marks Entry'!B65)</f>
        <v/>
      </c>
      <c r="C65" s="105" t="str">
        <f>IF('Marks Entry'!C65="","",'Marks Entry'!C65)</f>
        <v/>
      </c>
      <c r="D65" s="48" t="str">
        <f>IF('Marks Entry'!D65="","",'Marks Entry'!D65)</f>
        <v/>
      </c>
      <c r="E65" s="48" t="str">
        <f>IF('Marks Entry'!E65="","",'Marks Entry'!E65)</f>
        <v/>
      </c>
      <c r="F65" s="48" t="str">
        <f>IF('Marks Entry'!F65="","",'Marks Entry'!F65)</f>
        <v/>
      </c>
      <c r="G65" s="105" t="str">
        <f>IF('Marks Entry'!G65="","",'Marks Entry'!G65)</f>
        <v/>
      </c>
      <c r="H65" s="49" t="str">
        <f>IF('Marks Entry'!H65="","",'Marks Entry'!H65)</f>
        <v/>
      </c>
      <c r="I65" s="105" t="str">
        <f>IF('Marks Entry'!I65="","",'Marks Entry'!I65)</f>
        <v/>
      </c>
      <c r="J65" s="105">
        <f>IF('Marks Entry'!K65="","",'Marks Entry'!K65)</f>
        <v>10</v>
      </c>
      <c r="K65" s="105">
        <f>IF('Marks Entry'!L65="","",'Marks Entry'!L65)</f>
        <v>10</v>
      </c>
      <c r="L65" s="105">
        <f>IF(AND('Marks Entry'!M65="",'Marks Entry'!N65=""),"",SUM('Marks Entry'!M65:N65))</f>
        <v>40</v>
      </c>
      <c r="M65" s="105">
        <f>IF(AND('Marks Entry'!O65="",'Marks Entry'!P65=""),"",SUM('Marks Entry'!O65:P65))</f>
        <v>103</v>
      </c>
      <c r="N65" s="105">
        <f t="shared" si="70"/>
        <v>163</v>
      </c>
      <c r="O65" s="105" t="str">
        <f t="shared" si="33"/>
        <v/>
      </c>
      <c r="P65" s="105" t="str">
        <f t="shared" si="34"/>
        <v/>
      </c>
      <c r="Q65" s="105">
        <f>IF('Marks Entry'!R65="","",'Marks Entry'!R65)</f>
        <v>15</v>
      </c>
      <c r="R65" s="105">
        <f>IF('Marks Entry'!S65="","",'Marks Entry'!S65)</f>
        <v>15</v>
      </c>
      <c r="S65" s="105">
        <f>IF(AND('Marks Entry'!T65="",'Marks Entry'!U65=""),"",SUM('Marks Entry'!T65:U65))</f>
        <v>40</v>
      </c>
      <c r="T65" s="105">
        <f>IF(AND('Marks Entry'!V65="",'Marks Entry'!W65=""),"",SUM('Marks Entry'!V65:W65))</f>
        <v>93</v>
      </c>
      <c r="U65" s="105">
        <f t="shared" si="35"/>
        <v>163</v>
      </c>
      <c r="V65" s="105" t="str">
        <f t="shared" si="36"/>
        <v/>
      </c>
      <c r="W65" s="105" t="str">
        <f t="shared" si="37"/>
        <v/>
      </c>
      <c r="X65" s="47" t="str">
        <f>IF(B65="","",IF('Marks Entry'!Y65="",'Marks Entry'!$Y$4,'Marks Entry'!Y65))</f>
        <v/>
      </c>
      <c r="Y65" s="105">
        <f>IF('Marks Entry'!Z65="","",'Marks Entry'!Z65)</f>
        <v>15</v>
      </c>
      <c r="Z65" s="105">
        <f>IF('Marks Entry'!AA65="","",'Marks Entry'!AA65)</f>
        <v>15</v>
      </c>
      <c r="AA65" s="105">
        <f>IF(AND('Marks Entry'!AB65="",'Marks Entry'!AC65=""),"",SUM('Marks Entry'!AB65:AC65))</f>
        <v>40</v>
      </c>
      <c r="AB65" s="105" t="str">
        <f>IF('Marks Entry'!AD65="","",'Marks Entry'!AD65)</f>
        <v/>
      </c>
      <c r="AC65" s="105">
        <f t="shared" si="38"/>
        <v>40</v>
      </c>
      <c r="AD65" s="105">
        <f>IF(AND('Marks Entry'!AE65="",'Marks Entry'!AF65=""),"",SUM('Marks Entry'!AE65:AF65))</f>
        <v>71</v>
      </c>
      <c r="AE65" s="105" t="str">
        <f>IF('Marks Entry'!AG65="","",'Marks Entry'!AG65)</f>
        <v/>
      </c>
      <c r="AF65" s="105">
        <f t="shared" si="39"/>
        <v>71</v>
      </c>
      <c r="AG65" s="105">
        <f t="shared" si="40"/>
        <v>141</v>
      </c>
      <c r="AH65" s="105" t="str">
        <f t="shared" si="41"/>
        <v/>
      </c>
      <c r="AI65" s="105" t="str">
        <f t="shared" si="42"/>
        <v/>
      </c>
      <c r="AJ65" s="47" t="str">
        <f>IF(B65="","",IF('Marks Entry'!AI65="",'Marks Entry'!$AI$4,'Marks Entry'!AI65))</f>
        <v/>
      </c>
      <c r="AK65" s="105">
        <f>IF('Marks Entry'!AJ65="","",'Marks Entry'!AJ65)</f>
        <v>15</v>
      </c>
      <c r="AL65" s="105">
        <f>IF('Marks Entry'!AK65="","",'Marks Entry'!AK65)</f>
        <v>15</v>
      </c>
      <c r="AM65" s="105">
        <f>IF(AND('Marks Entry'!AL65="",'Marks Entry'!AM65=""),"",SUM('Marks Entry'!AL65:AM65))</f>
        <v>40</v>
      </c>
      <c r="AN65" s="105" t="str">
        <f>IF('Marks Entry'!AN65="","",'Marks Entry'!AN65)</f>
        <v/>
      </c>
      <c r="AO65" s="105">
        <f t="shared" si="43"/>
        <v>40</v>
      </c>
      <c r="AP65" s="105">
        <f>IF(AND('Marks Entry'!AO65="",'Marks Entry'!AP65=""),"",SUM('Marks Entry'!AO65:AP65))</f>
        <v>75</v>
      </c>
      <c r="AQ65" s="105" t="str">
        <f>IF('Marks Entry'!AQ65="","",'Marks Entry'!AQ65)</f>
        <v/>
      </c>
      <c r="AR65" s="105">
        <f t="shared" si="44"/>
        <v>75</v>
      </c>
      <c r="AS65" s="105">
        <f t="shared" si="45"/>
        <v>145</v>
      </c>
      <c r="AT65" s="105" t="str">
        <f t="shared" si="46"/>
        <v/>
      </c>
      <c r="AU65" s="105" t="str">
        <f t="shared" si="47"/>
        <v/>
      </c>
      <c r="AV65" s="47" t="str">
        <f>IF(B65="","",IF('Marks Entry'!AS65="",'Marks Entry'!$AS$4,'Marks Entry'!AS65))</f>
        <v/>
      </c>
      <c r="AW65" s="105">
        <f>IF('Marks Entry'!AT65="","",'Marks Entry'!AT65)</f>
        <v>15</v>
      </c>
      <c r="AX65" s="105">
        <f>IF('Marks Entry'!AU65="","",'Marks Entry'!AU65)</f>
        <v>15</v>
      </c>
      <c r="AY65" s="105">
        <f>IF(AND('Marks Entry'!AV65="",'Marks Entry'!AW65=""),"",SUM('Marks Entry'!AV65:AW65))</f>
        <v>22</v>
      </c>
      <c r="AZ65" s="105">
        <f>IF('Marks Entry'!AX65="","",'Marks Entry'!AX65)</f>
        <v>14</v>
      </c>
      <c r="BA65" s="105">
        <f t="shared" si="48"/>
        <v>36</v>
      </c>
      <c r="BB65" s="105">
        <f>IF(AND('Marks Entry'!AY65="",'Marks Entry'!AZ65=""),"",SUM('Marks Entry'!AY65:AZ65))</f>
        <v>40</v>
      </c>
      <c r="BC65" s="105">
        <f>IF('Marks Entry'!BA65="","",'Marks Entry'!BA65)</f>
        <v>18</v>
      </c>
      <c r="BD65" s="105">
        <f t="shared" si="49"/>
        <v>58</v>
      </c>
      <c r="BE65" s="105">
        <f t="shared" si="50"/>
        <v>124</v>
      </c>
      <c r="BF65" s="105" t="str">
        <f t="shared" si="51"/>
        <v/>
      </c>
      <c r="BG65" s="105" t="str">
        <f t="shared" si="52"/>
        <v/>
      </c>
      <c r="BH65" s="105" t="str">
        <f t="shared" si="53"/>
        <v/>
      </c>
      <c r="BI65" s="50" t="str">
        <f t="shared" si="71"/>
        <v/>
      </c>
      <c r="BJ65" s="47" t="str">
        <f t="shared" si="72"/>
        <v/>
      </c>
      <c r="BK65" s="105" t="str">
        <f t="shared" si="54"/>
        <v/>
      </c>
      <c r="BL65" s="105" t="str">
        <f t="shared" si="55"/>
        <v/>
      </c>
      <c r="BM65" s="105" t="str">
        <f>IF(OR(B65="",'Marks Entry'!BY65=""),"",'Marks Entry'!BY65)</f>
        <v/>
      </c>
      <c r="BN65" s="105" t="str">
        <f>IF(OR(B65="",'Marks Entry'!BZ65=""),"",'Marks Entry'!BZ65)</f>
        <v/>
      </c>
      <c r="BO65" s="105">
        <f>IF('Marks Entry'!BC65="","",'Marks Entry'!BC65)</f>
        <v>15</v>
      </c>
      <c r="BP65" s="105">
        <f>IF('Marks Entry'!BD65="","",'Marks Entry'!BD65)</f>
        <v>15</v>
      </c>
      <c r="BQ65" s="105">
        <f>IF(AND('Marks Entry'!BE65="",'Marks Entry'!BF65=""),"",SUM('Marks Entry'!BE65:BF65))</f>
        <v>25</v>
      </c>
      <c r="BR65" s="105">
        <f>IF(AND('Marks Entry'!BG65="",'Marks Entry'!BH65=""),"",SUM('Marks Entry'!BG65:BH65))</f>
        <v>82</v>
      </c>
      <c r="BS65" s="105">
        <f t="shared" si="56"/>
        <v>137</v>
      </c>
      <c r="BT65" s="105" t="str">
        <f t="shared" si="57"/>
        <v/>
      </c>
      <c r="BU65" s="105" t="str">
        <f t="shared" si="58"/>
        <v/>
      </c>
      <c r="BV65" s="105">
        <f>IF('Marks Entry'!BJ65="","",'Marks Entry'!BJ65)</f>
        <v>15</v>
      </c>
      <c r="BW65" s="105">
        <f>IF('Marks Entry'!BK65="","",'Marks Entry'!BK65)</f>
        <v>15</v>
      </c>
      <c r="BX65" s="105">
        <f>IF(AND('Marks Entry'!BL65="",'Marks Entry'!BM65=""),"",SUM('Marks Entry'!BL65:BM65))</f>
        <v>25</v>
      </c>
      <c r="BY65" s="105">
        <f>IF(AND('Marks Entry'!BN65="",'Marks Entry'!BO65=""),"",SUM('Marks Entry'!BN65:BO65))</f>
        <v>82</v>
      </c>
      <c r="BZ65" s="105">
        <f t="shared" si="59"/>
        <v>137</v>
      </c>
      <c r="CA65" s="105" t="str">
        <f t="shared" si="60"/>
        <v/>
      </c>
      <c r="CB65" s="105" t="str">
        <f t="shared" si="61"/>
        <v/>
      </c>
      <c r="CC65" s="105" t="str">
        <f>IF('Marks Entry'!BQ65="","",'Marks Entry'!BQ65)</f>
        <v/>
      </c>
      <c r="CD65" s="105" t="str">
        <f>IF('Marks Entry'!BR65="","",'Marks Entry'!BR65)</f>
        <v/>
      </c>
      <c r="CE65" s="105" t="str">
        <f>IF(AND('Marks Entry'!BS65="",'Marks Entry'!BT65=""),"",SUM('Marks Entry'!BS65:BT65))</f>
        <v/>
      </c>
      <c r="CF65" s="105" t="str">
        <f>IF(AND('Marks Entry'!BU65="",'Marks Entry'!BV65=""),"",SUM('Marks Entry'!BU65:BV65))</f>
        <v/>
      </c>
      <c r="CG65" s="105" t="str">
        <f t="shared" si="62"/>
        <v/>
      </c>
      <c r="CH65" s="105" t="str">
        <f t="shared" si="63"/>
        <v/>
      </c>
      <c r="CI65" s="105" t="str">
        <f t="shared" si="64"/>
        <v/>
      </c>
      <c r="CJ65" s="81"/>
      <c r="CK65" s="50" t="str">
        <f t="shared" si="73"/>
        <v/>
      </c>
      <c r="CM65" s="105" t="str">
        <f t="shared" si="74"/>
        <v/>
      </c>
      <c r="CN65" s="105" t="str">
        <f t="shared" si="75"/>
        <v/>
      </c>
      <c r="CO65" s="105" t="str">
        <f t="shared" si="76"/>
        <v/>
      </c>
      <c r="CP65" s="105" t="str">
        <f t="shared" si="77"/>
        <v/>
      </c>
      <c r="CQ65" s="105" t="str">
        <f t="shared" si="78"/>
        <v/>
      </c>
      <c r="CS65" s="105">
        <f t="shared" si="79"/>
        <v>0</v>
      </c>
      <c r="CT65" s="105">
        <f t="shared" si="80"/>
        <v>0</v>
      </c>
      <c r="CU65" s="105">
        <f t="shared" si="81"/>
        <v>0</v>
      </c>
      <c r="CV65" s="105">
        <f t="shared" si="82"/>
        <v>0</v>
      </c>
      <c r="CW65" s="81"/>
      <c r="CX65" s="105" t="str">
        <f t="shared" si="83"/>
        <v/>
      </c>
      <c r="CY65" s="105" t="str">
        <f t="shared" si="84"/>
        <v/>
      </c>
      <c r="CZ65" s="105" t="str">
        <f t="shared" si="85"/>
        <v/>
      </c>
      <c r="DA65" s="105" t="str">
        <f t="shared" si="86"/>
        <v/>
      </c>
      <c r="DB65" s="105" t="str">
        <f t="shared" si="87"/>
        <v/>
      </c>
      <c r="DD65" s="105" t="str">
        <f t="shared" si="88"/>
        <v/>
      </c>
      <c r="DE65" s="105" t="str">
        <f t="shared" si="89"/>
        <v/>
      </c>
      <c r="DF65" s="105" t="str">
        <f t="shared" si="90"/>
        <v/>
      </c>
      <c r="DG65" s="105" t="str">
        <f t="shared" si="91"/>
        <v/>
      </c>
      <c r="DH65" s="105" t="str">
        <f t="shared" si="92"/>
        <v/>
      </c>
      <c r="DI65" s="105" t="str">
        <f t="shared" si="93"/>
        <v/>
      </c>
      <c r="DJ65" s="105" t="str">
        <f t="shared" si="94"/>
        <v/>
      </c>
      <c r="DK65" s="105" t="str">
        <f t="shared" si="95"/>
        <v/>
      </c>
      <c r="DL65" s="105" t="str">
        <f t="shared" si="96"/>
        <v/>
      </c>
      <c r="DM65" s="105" t="str">
        <f t="shared" si="97"/>
        <v/>
      </c>
      <c r="DN65" s="105" t="str">
        <f t="shared" si="98"/>
        <v/>
      </c>
      <c r="DO65" s="105" t="str">
        <f t="shared" si="99"/>
        <v/>
      </c>
      <c r="DP65" s="105" t="str">
        <f t="shared" si="100"/>
        <v/>
      </c>
      <c r="DR65" s="118" t="str">
        <f t="shared" si="65"/>
        <v xml:space="preserve">    </v>
      </c>
      <c r="DS65" s="75"/>
      <c r="DT65" s="119" t="str">
        <f t="shared" si="66"/>
        <v xml:space="preserve">    </v>
      </c>
      <c r="DU65" s="136"/>
      <c r="DV65" s="119" t="str">
        <f t="shared" si="67"/>
        <v xml:space="preserve">    </v>
      </c>
      <c r="DW65" s="75"/>
      <c r="DX65" s="119" t="str">
        <f t="shared" si="68"/>
        <v xml:space="preserve">     </v>
      </c>
      <c r="DY65" s="75"/>
      <c r="DZ65" s="119" t="str">
        <f t="shared" si="69"/>
        <v xml:space="preserve">    </v>
      </c>
    </row>
    <row r="66" spans="1:130" ht="30" customHeight="1" x14ac:dyDescent="0.25">
      <c r="A66" s="105" t="str">
        <f>IF('Marks Entry'!A66="","",'Marks Entry'!A66)</f>
        <v/>
      </c>
      <c r="B66" s="105" t="str">
        <f>IF('Marks Entry'!B66="","",'Marks Entry'!B66)</f>
        <v/>
      </c>
      <c r="C66" s="105" t="str">
        <f>IF('Marks Entry'!C66="","",'Marks Entry'!C66)</f>
        <v/>
      </c>
      <c r="D66" s="48" t="str">
        <f>IF('Marks Entry'!D66="","",'Marks Entry'!D66)</f>
        <v/>
      </c>
      <c r="E66" s="48" t="str">
        <f>IF('Marks Entry'!E66="","",'Marks Entry'!E66)</f>
        <v/>
      </c>
      <c r="F66" s="48" t="str">
        <f>IF('Marks Entry'!F66="","",'Marks Entry'!F66)</f>
        <v/>
      </c>
      <c r="G66" s="105" t="str">
        <f>IF('Marks Entry'!G66="","",'Marks Entry'!G66)</f>
        <v/>
      </c>
      <c r="H66" s="49" t="str">
        <f>IF('Marks Entry'!H66="","",'Marks Entry'!H66)</f>
        <v/>
      </c>
      <c r="I66" s="105" t="str">
        <f>IF('Marks Entry'!I66="","",'Marks Entry'!I66)</f>
        <v/>
      </c>
      <c r="J66" s="105">
        <f>IF('Marks Entry'!K66="","",'Marks Entry'!K66)</f>
        <v>10</v>
      </c>
      <c r="K66" s="105">
        <f>IF('Marks Entry'!L66="","",'Marks Entry'!L66)</f>
        <v>10</v>
      </c>
      <c r="L66" s="105">
        <f>IF(AND('Marks Entry'!M66="",'Marks Entry'!N66=""),"",SUM('Marks Entry'!M66:N66))</f>
        <v>16</v>
      </c>
      <c r="M66" s="105">
        <f>IF(AND('Marks Entry'!O66="",'Marks Entry'!P66=""),"",SUM('Marks Entry'!O66:P66))</f>
        <v>104</v>
      </c>
      <c r="N66" s="105">
        <f t="shared" si="70"/>
        <v>140</v>
      </c>
      <c r="O66" s="105" t="str">
        <f t="shared" si="33"/>
        <v/>
      </c>
      <c r="P66" s="105" t="str">
        <f t="shared" si="34"/>
        <v/>
      </c>
      <c r="Q66" s="105">
        <f>IF('Marks Entry'!R66="","",'Marks Entry'!R66)</f>
        <v>5</v>
      </c>
      <c r="R66" s="105">
        <f>IF('Marks Entry'!S66="","",'Marks Entry'!S66)</f>
        <v>10</v>
      </c>
      <c r="S66" s="105">
        <f>IF(AND('Marks Entry'!T66="",'Marks Entry'!U66=""),"",SUM('Marks Entry'!T66:U66))</f>
        <v>16</v>
      </c>
      <c r="T66" s="105">
        <f>IF(AND('Marks Entry'!V66="",'Marks Entry'!W66=""),"",SUM('Marks Entry'!V66:W66))</f>
        <v>93</v>
      </c>
      <c r="U66" s="105">
        <f t="shared" si="35"/>
        <v>124</v>
      </c>
      <c r="V66" s="105" t="str">
        <f t="shared" si="36"/>
        <v/>
      </c>
      <c r="W66" s="105" t="str">
        <f t="shared" si="37"/>
        <v/>
      </c>
      <c r="X66" s="47" t="str">
        <f>IF(B66="","",IF('Marks Entry'!Y66="",'Marks Entry'!$Y$4,'Marks Entry'!Y66))</f>
        <v/>
      </c>
      <c r="Y66" s="105">
        <f>IF('Marks Entry'!Z66="","",'Marks Entry'!Z66)</f>
        <v>12</v>
      </c>
      <c r="Z66" s="105">
        <f>IF('Marks Entry'!AA66="","",'Marks Entry'!AA66)</f>
        <v>10</v>
      </c>
      <c r="AA66" s="105">
        <f>IF(AND('Marks Entry'!AB66="",'Marks Entry'!AC66=""),"",SUM('Marks Entry'!AB66:AC66))</f>
        <v>16</v>
      </c>
      <c r="AB66" s="105" t="str">
        <f>IF('Marks Entry'!AD66="","",'Marks Entry'!AD66)</f>
        <v/>
      </c>
      <c r="AC66" s="105">
        <f t="shared" si="38"/>
        <v>16</v>
      </c>
      <c r="AD66" s="105">
        <f>IF(AND('Marks Entry'!AE66="",'Marks Entry'!AF66=""),"",SUM('Marks Entry'!AE66:AF66))</f>
        <v>51</v>
      </c>
      <c r="AE66" s="105" t="str">
        <f>IF('Marks Entry'!AG66="","",'Marks Entry'!AG66)</f>
        <v/>
      </c>
      <c r="AF66" s="105">
        <f t="shared" si="39"/>
        <v>51</v>
      </c>
      <c r="AG66" s="105">
        <f t="shared" si="40"/>
        <v>89</v>
      </c>
      <c r="AH66" s="105" t="str">
        <f t="shared" si="41"/>
        <v/>
      </c>
      <c r="AI66" s="105" t="str">
        <f t="shared" si="42"/>
        <v/>
      </c>
      <c r="AJ66" s="47" t="str">
        <f>IF(B66="","",IF('Marks Entry'!AI66="",'Marks Entry'!$AI$4,'Marks Entry'!AI66))</f>
        <v/>
      </c>
      <c r="AK66" s="105">
        <f>IF('Marks Entry'!AJ66="","",'Marks Entry'!AJ66)</f>
        <v>6</v>
      </c>
      <c r="AL66" s="105">
        <f>IF('Marks Entry'!AK66="","",'Marks Entry'!AK66)</f>
        <v>10</v>
      </c>
      <c r="AM66" s="105">
        <f>IF(AND('Marks Entry'!AL66="",'Marks Entry'!AM66=""),"",SUM('Marks Entry'!AL66:AM66))</f>
        <v>16</v>
      </c>
      <c r="AN66" s="105" t="str">
        <f>IF('Marks Entry'!AN66="","",'Marks Entry'!AN66)</f>
        <v/>
      </c>
      <c r="AO66" s="105">
        <f t="shared" si="43"/>
        <v>16</v>
      </c>
      <c r="AP66" s="105">
        <f>IF(AND('Marks Entry'!AO66="",'Marks Entry'!AP66=""),"",SUM('Marks Entry'!AO66:AP66))</f>
        <v>50</v>
      </c>
      <c r="AQ66" s="105" t="str">
        <f>IF('Marks Entry'!AQ66="","",'Marks Entry'!AQ66)</f>
        <v/>
      </c>
      <c r="AR66" s="105">
        <f t="shared" si="44"/>
        <v>50</v>
      </c>
      <c r="AS66" s="105">
        <f t="shared" si="45"/>
        <v>82</v>
      </c>
      <c r="AT66" s="105" t="str">
        <f t="shared" si="46"/>
        <v/>
      </c>
      <c r="AU66" s="105" t="str">
        <f t="shared" si="47"/>
        <v/>
      </c>
      <c r="AV66" s="47" t="str">
        <f>IF(B66="","",IF('Marks Entry'!AS66="",'Marks Entry'!$AS$4,'Marks Entry'!AS66))</f>
        <v/>
      </c>
      <c r="AW66" s="105">
        <f>IF('Marks Entry'!AT66="","",'Marks Entry'!AT66)</f>
        <v>15</v>
      </c>
      <c r="AX66" s="105">
        <f>IF('Marks Entry'!AU66="","",'Marks Entry'!AU66)</f>
        <v>10</v>
      </c>
      <c r="AY66" s="105">
        <f>IF(AND('Marks Entry'!AV66="",'Marks Entry'!AW66=""),"",SUM('Marks Entry'!AV66:AW66))</f>
        <v>19</v>
      </c>
      <c r="AZ66" s="105">
        <f>IF('Marks Entry'!AX66="","",'Marks Entry'!AX66)</f>
        <v>10</v>
      </c>
      <c r="BA66" s="105">
        <f t="shared" si="48"/>
        <v>29</v>
      </c>
      <c r="BB66" s="105">
        <f>IF(AND('Marks Entry'!AY66="",'Marks Entry'!AZ66=""),"",SUM('Marks Entry'!AY66:AZ66))</f>
        <v>29</v>
      </c>
      <c r="BC66" s="105">
        <f>IF('Marks Entry'!BA66="","",'Marks Entry'!BA66)</f>
        <v>15</v>
      </c>
      <c r="BD66" s="105">
        <f t="shared" si="49"/>
        <v>44</v>
      </c>
      <c r="BE66" s="105">
        <f t="shared" si="50"/>
        <v>98</v>
      </c>
      <c r="BF66" s="105" t="str">
        <f t="shared" si="51"/>
        <v/>
      </c>
      <c r="BG66" s="105" t="str">
        <f t="shared" si="52"/>
        <v/>
      </c>
      <c r="BH66" s="105" t="str">
        <f t="shared" si="53"/>
        <v/>
      </c>
      <c r="BI66" s="50" t="str">
        <f t="shared" si="71"/>
        <v/>
      </c>
      <c r="BJ66" s="47" t="str">
        <f t="shared" si="72"/>
        <v/>
      </c>
      <c r="BK66" s="105" t="str">
        <f t="shared" si="54"/>
        <v/>
      </c>
      <c r="BL66" s="105" t="str">
        <f t="shared" si="55"/>
        <v/>
      </c>
      <c r="BM66" s="105" t="str">
        <f>IF(OR(B66="",'Marks Entry'!BY66=""),"",'Marks Entry'!BY66)</f>
        <v/>
      </c>
      <c r="BN66" s="105" t="str">
        <f>IF(OR(B66="",'Marks Entry'!BZ66=""),"",'Marks Entry'!BZ66)</f>
        <v/>
      </c>
      <c r="BO66" s="105">
        <f>IF('Marks Entry'!BC66="","",'Marks Entry'!BC66)</f>
        <v>15</v>
      </c>
      <c r="BP66" s="105">
        <f>IF('Marks Entry'!BD66="","",'Marks Entry'!BD66)</f>
        <v>15</v>
      </c>
      <c r="BQ66" s="105">
        <f>IF(AND('Marks Entry'!BE66="",'Marks Entry'!BF66=""),"",SUM('Marks Entry'!BE66:BF66))</f>
        <v>25</v>
      </c>
      <c r="BR66" s="105">
        <f>IF(AND('Marks Entry'!BG66="",'Marks Entry'!BH66=""),"",SUM('Marks Entry'!BG66:BH66))</f>
        <v>82</v>
      </c>
      <c r="BS66" s="105">
        <f t="shared" si="56"/>
        <v>137</v>
      </c>
      <c r="BT66" s="105" t="str">
        <f t="shared" si="57"/>
        <v/>
      </c>
      <c r="BU66" s="105" t="str">
        <f t="shared" si="58"/>
        <v/>
      </c>
      <c r="BV66" s="105">
        <f>IF('Marks Entry'!BJ66="","",'Marks Entry'!BJ66)</f>
        <v>15</v>
      </c>
      <c r="BW66" s="105">
        <f>IF('Marks Entry'!BK66="","",'Marks Entry'!BK66)</f>
        <v>15</v>
      </c>
      <c r="BX66" s="105">
        <f>IF(AND('Marks Entry'!BL66="",'Marks Entry'!BM66=""),"",SUM('Marks Entry'!BL66:BM66))</f>
        <v>25</v>
      </c>
      <c r="BY66" s="105">
        <f>IF(AND('Marks Entry'!BN66="",'Marks Entry'!BO66=""),"",SUM('Marks Entry'!BN66:BO66))</f>
        <v>82</v>
      </c>
      <c r="BZ66" s="105">
        <f t="shared" si="59"/>
        <v>137</v>
      </c>
      <c r="CA66" s="105" t="str">
        <f t="shared" si="60"/>
        <v/>
      </c>
      <c r="CB66" s="105" t="str">
        <f t="shared" si="61"/>
        <v/>
      </c>
      <c r="CC66" s="105" t="str">
        <f>IF('Marks Entry'!BQ66="","",'Marks Entry'!BQ66)</f>
        <v/>
      </c>
      <c r="CD66" s="105" t="str">
        <f>IF('Marks Entry'!BR66="","",'Marks Entry'!BR66)</f>
        <v/>
      </c>
      <c r="CE66" s="105" t="str">
        <f>IF(AND('Marks Entry'!BS66="",'Marks Entry'!BT66=""),"",SUM('Marks Entry'!BS66:BT66))</f>
        <v/>
      </c>
      <c r="CF66" s="105" t="str">
        <f>IF(AND('Marks Entry'!BU66="",'Marks Entry'!BV66=""),"",SUM('Marks Entry'!BU66:BV66))</f>
        <v/>
      </c>
      <c r="CG66" s="105" t="str">
        <f t="shared" si="62"/>
        <v/>
      </c>
      <c r="CH66" s="105" t="str">
        <f t="shared" si="63"/>
        <v/>
      </c>
      <c r="CI66" s="105" t="str">
        <f t="shared" si="64"/>
        <v/>
      </c>
      <c r="CJ66" s="81"/>
      <c r="CK66" s="50" t="str">
        <f t="shared" si="73"/>
        <v/>
      </c>
      <c r="CM66" s="105" t="str">
        <f t="shared" si="74"/>
        <v/>
      </c>
      <c r="CN66" s="105" t="str">
        <f t="shared" si="75"/>
        <v/>
      </c>
      <c r="CO66" s="105" t="str">
        <f t="shared" si="76"/>
        <v/>
      </c>
      <c r="CP66" s="105" t="str">
        <f t="shared" si="77"/>
        <v/>
      </c>
      <c r="CQ66" s="105" t="str">
        <f t="shared" si="78"/>
        <v/>
      </c>
      <c r="CS66" s="105">
        <f t="shared" si="79"/>
        <v>0</v>
      </c>
      <c r="CT66" s="105">
        <f t="shared" si="80"/>
        <v>0</v>
      </c>
      <c r="CU66" s="105">
        <f t="shared" si="81"/>
        <v>0</v>
      </c>
      <c r="CV66" s="105">
        <f t="shared" si="82"/>
        <v>0</v>
      </c>
      <c r="CW66" s="81"/>
      <c r="CX66" s="105" t="str">
        <f t="shared" si="83"/>
        <v/>
      </c>
      <c r="CY66" s="105" t="str">
        <f t="shared" si="84"/>
        <v/>
      </c>
      <c r="CZ66" s="105" t="str">
        <f t="shared" si="85"/>
        <v/>
      </c>
      <c r="DA66" s="105" t="str">
        <f t="shared" si="86"/>
        <v/>
      </c>
      <c r="DB66" s="105" t="str">
        <f t="shared" si="87"/>
        <v/>
      </c>
      <c r="DD66" s="105" t="str">
        <f t="shared" si="88"/>
        <v/>
      </c>
      <c r="DE66" s="105" t="str">
        <f t="shared" si="89"/>
        <v/>
      </c>
      <c r="DF66" s="105" t="str">
        <f t="shared" si="90"/>
        <v/>
      </c>
      <c r="DG66" s="105" t="str">
        <f t="shared" si="91"/>
        <v/>
      </c>
      <c r="DH66" s="105" t="str">
        <f t="shared" si="92"/>
        <v/>
      </c>
      <c r="DI66" s="105" t="str">
        <f t="shared" si="93"/>
        <v/>
      </c>
      <c r="DJ66" s="105" t="str">
        <f t="shared" si="94"/>
        <v/>
      </c>
      <c r="DK66" s="105" t="str">
        <f t="shared" si="95"/>
        <v/>
      </c>
      <c r="DL66" s="105" t="str">
        <f t="shared" si="96"/>
        <v/>
      </c>
      <c r="DM66" s="105" t="str">
        <f t="shared" si="97"/>
        <v/>
      </c>
      <c r="DN66" s="105" t="str">
        <f t="shared" si="98"/>
        <v/>
      </c>
      <c r="DO66" s="105" t="str">
        <f t="shared" si="99"/>
        <v/>
      </c>
      <c r="DP66" s="105" t="str">
        <f t="shared" si="100"/>
        <v/>
      </c>
      <c r="DR66" s="118" t="str">
        <f t="shared" si="65"/>
        <v xml:space="preserve">    </v>
      </c>
      <c r="DS66" s="75"/>
      <c r="DT66" s="119" t="str">
        <f t="shared" si="66"/>
        <v xml:space="preserve">    </v>
      </c>
      <c r="DU66" s="136"/>
      <c r="DV66" s="119" t="str">
        <f t="shared" si="67"/>
        <v xml:space="preserve">    </v>
      </c>
      <c r="DW66" s="75"/>
      <c r="DX66" s="119" t="str">
        <f t="shared" si="68"/>
        <v xml:space="preserve">     </v>
      </c>
      <c r="DY66" s="75"/>
      <c r="DZ66" s="119" t="str">
        <f t="shared" si="69"/>
        <v xml:space="preserve">    </v>
      </c>
    </row>
    <row r="67" spans="1:130" ht="30" customHeight="1" x14ac:dyDescent="0.25">
      <c r="A67" s="105" t="str">
        <f>IF('Marks Entry'!A67="","",'Marks Entry'!A67)</f>
        <v/>
      </c>
      <c r="B67" s="105" t="str">
        <f>IF('Marks Entry'!B67="","",'Marks Entry'!B67)</f>
        <v/>
      </c>
      <c r="C67" s="105" t="str">
        <f>IF('Marks Entry'!C67="","",'Marks Entry'!C67)</f>
        <v/>
      </c>
      <c r="D67" s="48" t="str">
        <f>IF('Marks Entry'!D67="","",'Marks Entry'!D67)</f>
        <v/>
      </c>
      <c r="E67" s="48" t="str">
        <f>IF('Marks Entry'!E67="","",'Marks Entry'!E67)</f>
        <v/>
      </c>
      <c r="F67" s="48" t="str">
        <f>IF('Marks Entry'!F67="","",'Marks Entry'!F67)</f>
        <v/>
      </c>
      <c r="G67" s="105" t="str">
        <f>IF('Marks Entry'!G67="","",'Marks Entry'!G67)</f>
        <v/>
      </c>
      <c r="H67" s="49" t="str">
        <f>IF('Marks Entry'!H67="","",'Marks Entry'!H67)</f>
        <v/>
      </c>
      <c r="I67" s="105" t="str">
        <f>IF('Marks Entry'!I67="","",'Marks Entry'!I67)</f>
        <v/>
      </c>
      <c r="J67" s="105">
        <f>IF('Marks Entry'!K67="","",'Marks Entry'!K67)</f>
        <v>15</v>
      </c>
      <c r="K67" s="105">
        <f>IF('Marks Entry'!L67="","",'Marks Entry'!L67)</f>
        <v>15</v>
      </c>
      <c r="L67" s="105">
        <f>IF(AND('Marks Entry'!M67="",'Marks Entry'!N67=""),"",SUM('Marks Entry'!M67:N67))</f>
        <v>30</v>
      </c>
      <c r="M67" s="105">
        <f>IF(AND('Marks Entry'!O67="",'Marks Entry'!P67=""),"",SUM('Marks Entry'!O67:P67))</f>
        <v>105</v>
      </c>
      <c r="N67" s="105">
        <f t="shared" si="70"/>
        <v>165</v>
      </c>
      <c r="O67" s="105" t="str">
        <f t="shared" si="33"/>
        <v/>
      </c>
      <c r="P67" s="105" t="str">
        <f t="shared" si="34"/>
        <v/>
      </c>
      <c r="Q67" s="105">
        <f>IF('Marks Entry'!R67="","",'Marks Entry'!R67)</f>
        <v>10</v>
      </c>
      <c r="R67" s="105">
        <f>IF('Marks Entry'!S67="","",'Marks Entry'!S67)</f>
        <v>10</v>
      </c>
      <c r="S67" s="105">
        <f>IF(AND('Marks Entry'!T67="",'Marks Entry'!U67=""),"",SUM('Marks Entry'!T67:U67))</f>
        <v>20</v>
      </c>
      <c r="T67" s="105">
        <f>IF(AND('Marks Entry'!V67="",'Marks Entry'!W67=""),"",SUM('Marks Entry'!V67:W67))</f>
        <v>93</v>
      </c>
      <c r="U67" s="105">
        <f t="shared" si="35"/>
        <v>133</v>
      </c>
      <c r="V67" s="105" t="str">
        <f t="shared" si="36"/>
        <v/>
      </c>
      <c r="W67" s="105" t="str">
        <f t="shared" si="37"/>
        <v/>
      </c>
      <c r="X67" s="47" t="str">
        <f>IF(B67="","",IF('Marks Entry'!Y67="",'Marks Entry'!$Y$4,'Marks Entry'!Y67))</f>
        <v/>
      </c>
      <c r="Y67" s="105">
        <f>IF('Marks Entry'!Z67="","",'Marks Entry'!Z67)</f>
        <v>10</v>
      </c>
      <c r="Z67" s="105">
        <f>IF('Marks Entry'!AA67="","",'Marks Entry'!AA67)</f>
        <v>10</v>
      </c>
      <c r="AA67" s="105">
        <f>IF(AND('Marks Entry'!AB67="",'Marks Entry'!AC67=""),"",SUM('Marks Entry'!AB67:AC67))</f>
        <v>40</v>
      </c>
      <c r="AB67" s="105" t="str">
        <f>IF('Marks Entry'!AD67="","",'Marks Entry'!AD67)</f>
        <v/>
      </c>
      <c r="AC67" s="105">
        <f t="shared" si="38"/>
        <v>40</v>
      </c>
      <c r="AD67" s="105">
        <f>IF(AND('Marks Entry'!AE67="",'Marks Entry'!AF67=""),"",SUM('Marks Entry'!AE67:AF67))</f>
        <v>41</v>
      </c>
      <c r="AE67" s="105" t="str">
        <f>IF('Marks Entry'!AG67="","",'Marks Entry'!AG67)</f>
        <v/>
      </c>
      <c r="AF67" s="105">
        <f t="shared" si="39"/>
        <v>41</v>
      </c>
      <c r="AG67" s="105">
        <f t="shared" si="40"/>
        <v>101</v>
      </c>
      <c r="AH67" s="105" t="str">
        <f t="shared" si="41"/>
        <v/>
      </c>
      <c r="AI67" s="105" t="str">
        <f t="shared" si="42"/>
        <v/>
      </c>
      <c r="AJ67" s="47" t="str">
        <f>IF(B67="","",IF('Marks Entry'!AI67="",'Marks Entry'!$AI$4,'Marks Entry'!AI67))</f>
        <v/>
      </c>
      <c r="AK67" s="105">
        <f>IF('Marks Entry'!AJ67="","",'Marks Entry'!AJ67)</f>
        <v>10</v>
      </c>
      <c r="AL67" s="105">
        <f>IF('Marks Entry'!AK67="","",'Marks Entry'!AK67)</f>
        <v>10</v>
      </c>
      <c r="AM67" s="105">
        <f>IF(AND('Marks Entry'!AL67="",'Marks Entry'!AM67=""),"",SUM('Marks Entry'!AL67:AM67))</f>
        <v>40</v>
      </c>
      <c r="AN67" s="105" t="str">
        <f>IF('Marks Entry'!AN67="","",'Marks Entry'!AN67)</f>
        <v/>
      </c>
      <c r="AO67" s="105">
        <f t="shared" si="43"/>
        <v>40</v>
      </c>
      <c r="AP67" s="105">
        <f>IF(AND('Marks Entry'!AO67="",'Marks Entry'!AP67=""),"",SUM('Marks Entry'!AO67:AP67))</f>
        <v>55</v>
      </c>
      <c r="AQ67" s="105" t="str">
        <f>IF('Marks Entry'!AQ67="","",'Marks Entry'!AQ67)</f>
        <v/>
      </c>
      <c r="AR67" s="105">
        <f t="shared" si="44"/>
        <v>55</v>
      </c>
      <c r="AS67" s="105">
        <f t="shared" si="45"/>
        <v>115</v>
      </c>
      <c r="AT67" s="105" t="str">
        <f t="shared" si="46"/>
        <v/>
      </c>
      <c r="AU67" s="105" t="str">
        <f t="shared" si="47"/>
        <v/>
      </c>
      <c r="AV67" s="47" t="str">
        <f>IF(B67="","",IF('Marks Entry'!AS67="",'Marks Entry'!$AS$4,'Marks Entry'!AS67))</f>
        <v/>
      </c>
      <c r="AW67" s="105">
        <f>IF('Marks Entry'!AT67="","",'Marks Entry'!AT67)</f>
        <v>10</v>
      </c>
      <c r="AX67" s="105">
        <f>IF('Marks Entry'!AU67="","",'Marks Entry'!AU67)</f>
        <v>10</v>
      </c>
      <c r="AY67" s="105">
        <f>IF(AND('Marks Entry'!AV67="",'Marks Entry'!AW67=""),"",SUM('Marks Entry'!AV67:AW67))</f>
        <v>23</v>
      </c>
      <c r="AZ67" s="105">
        <f>IF('Marks Entry'!AX67="","",'Marks Entry'!AX67)</f>
        <v>8</v>
      </c>
      <c r="BA67" s="105">
        <f t="shared" si="48"/>
        <v>31</v>
      </c>
      <c r="BB67" s="105">
        <f>IF(AND('Marks Entry'!AY67="",'Marks Entry'!AZ67=""),"",SUM('Marks Entry'!AY67:AZ67))</f>
        <v>35</v>
      </c>
      <c r="BC67" s="105">
        <f>IF('Marks Entry'!BA67="","",'Marks Entry'!BA67)</f>
        <v>16</v>
      </c>
      <c r="BD67" s="105">
        <f t="shared" si="49"/>
        <v>51</v>
      </c>
      <c r="BE67" s="105">
        <f t="shared" si="50"/>
        <v>102</v>
      </c>
      <c r="BF67" s="105" t="str">
        <f t="shared" si="51"/>
        <v/>
      </c>
      <c r="BG67" s="105" t="str">
        <f t="shared" si="52"/>
        <v/>
      </c>
      <c r="BH67" s="105" t="str">
        <f t="shared" si="53"/>
        <v/>
      </c>
      <c r="BI67" s="50" t="str">
        <f t="shared" si="71"/>
        <v/>
      </c>
      <c r="BJ67" s="47" t="str">
        <f t="shared" si="72"/>
        <v/>
      </c>
      <c r="BK67" s="105" t="str">
        <f t="shared" si="54"/>
        <v/>
      </c>
      <c r="BL67" s="105" t="str">
        <f t="shared" si="55"/>
        <v/>
      </c>
      <c r="BM67" s="105" t="str">
        <f>IF(OR(B67="",'Marks Entry'!BY67=""),"",'Marks Entry'!BY67)</f>
        <v/>
      </c>
      <c r="BN67" s="105" t="str">
        <f>IF(OR(B67="",'Marks Entry'!BZ67=""),"",'Marks Entry'!BZ67)</f>
        <v/>
      </c>
      <c r="BO67" s="105">
        <f>IF('Marks Entry'!BC67="","",'Marks Entry'!BC67)</f>
        <v>15</v>
      </c>
      <c r="BP67" s="105">
        <f>IF('Marks Entry'!BD67="","",'Marks Entry'!BD67)</f>
        <v>15</v>
      </c>
      <c r="BQ67" s="105">
        <f>IF(AND('Marks Entry'!BE67="",'Marks Entry'!BF67=""),"",SUM('Marks Entry'!BE67:BF67))</f>
        <v>25</v>
      </c>
      <c r="BR67" s="105">
        <f>IF(AND('Marks Entry'!BG67="",'Marks Entry'!BH67=""),"",SUM('Marks Entry'!BG67:BH67))</f>
        <v>82</v>
      </c>
      <c r="BS67" s="105">
        <f t="shared" si="56"/>
        <v>137</v>
      </c>
      <c r="BT67" s="105" t="str">
        <f t="shared" si="57"/>
        <v/>
      </c>
      <c r="BU67" s="105" t="str">
        <f t="shared" si="58"/>
        <v/>
      </c>
      <c r="BV67" s="105">
        <f>IF('Marks Entry'!BJ67="","",'Marks Entry'!BJ67)</f>
        <v>15</v>
      </c>
      <c r="BW67" s="105">
        <f>IF('Marks Entry'!BK67="","",'Marks Entry'!BK67)</f>
        <v>15</v>
      </c>
      <c r="BX67" s="105">
        <f>IF(AND('Marks Entry'!BL67="",'Marks Entry'!BM67=""),"",SUM('Marks Entry'!BL67:BM67))</f>
        <v>25</v>
      </c>
      <c r="BY67" s="105">
        <f>IF(AND('Marks Entry'!BN67="",'Marks Entry'!BO67=""),"",SUM('Marks Entry'!BN67:BO67))</f>
        <v>82</v>
      </c>
      <c r="BZ67" s="105">
        <f t="shared" si="59"/>
        <v>137</v>
      </c>
      <c r="CA67" s="105" t="str">
        <f t="shared" si="60"/>
        <v/>
      </c>
      <c r="CB67" s="105" t="str">
        <f t="shared" si="61"/>
        <v/>
      </c>
      <c r="CC67" s="105" t="str">
        <f>IF('Marks Entry'!BQ67="","",'Marks Entry'!BQ67)</f>
        <v/>
      </c>
      <c r="CD67" s="105" t="str">
        <f>IF('Marks Entry'!BR67="","",'Marks Entry'!BR67)</f>
        <v/>
      </c>
      <c r="CE67" s="105" t="str">
        <f>IF(AND('Marks Entry'!BS67="",'Marks Entry'!BT67=""),"",SUM('Marks Entry'!BS67:BT67))</f>
        <v/>
      </c>
      <c r="CF67" s="105" t="str">
        <f>IF(AND('Marks Entry'!BU67="",'Marks Entry'!BV67=""),"",SUM('Marks Entry'!BU67:BV67))</f>
        <v/>
      </c>
      <c r="CG67" s="105" t="str">
        <f t="shared" si="62"/>
        <v/>
      </c>
      <c r="CH67" s="105" t="str">
        <f t="shared" si="63"/>
        <v/>
      </c>
      <c r="CI67" s="105" t="str">
        <f t="shared" si="64"/>
        <v/>
      </c>
      <c r="CJ67" s="81"/>
      <c r="CK67" s="50" t="str">
        <f t="shared" si="73"/>
        <v/>
      </c>
      <c r="CM67" s="105" t="str">
        <f t="shared" si="74"/>
        <v/>
      </c>
      <c r="CN67" s="105" t="str">
        <f t="shared" si="75"/>
        <v/>
      </c>
      <c r="CO67" s="105" t="str">
        <f t="shared" si="76"/>
        <v/>
      </c>
      <c r="CP67" s="105" t="str">
        <f t="shared" si="77"/>
        <v/>
      </c>
      <c r="CQ67" s="105" t="str">
        <f t="shared" si="78"/>
        <v/>
      </c>
      <c r="CS67" s="105">
        <f t="shared" si="79"/>
        <v>0</v>
      </c>
      <c r="CT67" s="105">
        <f t="shared" si="80"/>
        <v>0</v>
      </c>
      <c r="CU67" s="105">
        <f t="shared" si="81"/>
        <v>0</v>
      </c>
      <c r="CV67" s="105">
        <f t="shared" si="82"/>
        <v>0</v>
      </c>
      <c r="CW67" s="81"/>
      <c r="CX67" s="105" t="str">
        <f t="shared" si="83"/>
        <v/>
      </c>
      <c r="CY67" s="105" t="str">
        <f t="shared" si="84"/>
        <v/>
      </c>
      <c r="CZ67" s="105" t="str">
        <f t="shared" si="85"/>
        <v/>
      </c>
      <c r="DA67" s="105" t="str">
        <f t="shared" si="86"/>
        <v/>
      </c>
      <c r="DB67" s="105" t="str">
        <f t="shared" si="87"/>
        <v/>
      </c>
      <c r="DD67" s="105" t="str">
        <f t="shared" si="88"/>
        <v/>
      </c>
      <c r="DE67" s="105" t="str">
        <f t="shared" si="89"/>
        <v/>
      </c>
      <c r="DF67" s="105" t="str">
        <f t="shared" si="90"/>
        <v/>
      </c>
      <c r="DG67" s="105" t="str">
        <f t="shared" si="91"/>
        <v/>
      </c>
      <c r="DH67" s="105" t="str">
        <f t="shared" si="92"/>
        <v/>
      </c>
      <c r="DI67" s="105" t="str">
        <f t="shared" si="93"/>
        <v/>
      </c>
      <c r="DJ67" s="105" t="str">
        <f t="shared" si="94"/>
        <v/>
      </c>
      <c r="DK67" s="105" t="str">
        <f t="shared" si="95"/>
        <v/>
      </c>
      <c r="DL67" s="105" t="str">
        <f t="shared" si="96"/>
        <v/>
      </c>
      <c r="DM67" s="105" t="str">
        <f t="shared" si="97"/>
        <v/>
      </c>
      <c r="DN67" s="105" t="str">
        <f t="shared" si="98"/>
        <v/>
      </c>
      <c r="DO67" s="105" t="str">
        <f t="shared" si="99"/>
        <v/>
      </c>
      <c r="DP67" s="105" t="str">
        <f t="shared" si="100"/>
        <v/>
      </c>
      <c r="DR67" s="118" t="str">
        <f t="shared" si="65"/>
        <v xml:space="preserve">    </v>
      </c>
      <c r="DS67" s="75"/>
      <c r="DT67" s="119" t="str">
        <f t="shared" si="66"/>
        <v xml:space="preserve">    </v>
      </c>
      <c r="DU67" s="136"/>
      <c r="DV67" s="119" t="str">
        <f t="shared" si="67"/>
        <v xml:space="preserve">    </v>
      </c>
      <c r="DW67" s="75"/>
      <c r="DX67" s="119" t="str">
        <f t="shared" si="68"/>
        <v xml:space="preserve">     </v>
      </c>
      <c r="DY67" s="75"/>
      <c r="DZ67" s="119" t="str">
        <f t="shared" si="69"/>
        <v xml:space="preserve">    </v>
      </c>
    </row>
    <row r="68" spans="1:130" ht="30" customHeight="1" x14ac:dyDescent="0.25">
      <c r="A68" s="105" t="str">
        <f>IF('Marks Entry'!A68="","",'Marks Entry'!A68)</f>
        <v/>
      </c>
      <c r="B68" s="105" t="str">
        <f>IF('Marks Entry'!B68="","",'Marks Entry'!B68)</f>
        <v/>
      </c>
      <c r="C68" s="105" t="str">
        <f>IF('Marks Entry'!C68="","",'Marks Entry'!C68)</f>
        <v/>
      </c>
      <c r="D68" s="48" t="str">
        <f>IF('Marks Entry'!D68="","",'Marks Entry'!D68)</f>
        <v/>
      </c>
      <c r="E68" s="48" t="str">
        <f>IF('Marks Entry'!E68="","",'Marks Entry'!E68)</f>
        <v/>
      </c>
      <c r="F68" s="48" t="str">
        <f>IF('Marks Entry'!F68="","",'Marks Entry'!F68)</f>
        <v/>
      </c>
      <c r="G68" s="105" t="str">
        <f>IF('Marks Entry'!G68="","",'Marks Entry'!G68)</f>
        <v/>
      </c>
      <c r="H68" s="49" t="str">
        <f>IF('Marks Entry'!H68="","",'Marks Entry'!H68)</f>
        <v/>
      </c>
      <c r="I68" s="105" t="str">
        <f>IF('Marks Entry'!I68="","",'Marks Entry'!I68)</f>
        <v/>
      </c>
      <c r="J68" s="105">
        <f>IF('Marks Entry'!K68="","",'Marks Entry'!K68)</f>
        <v>5</v>
      </c>
      <c r="K68" s="105">
        <f>IF('Marks Entry'!L68="","",'Marks Entry'!L68)</f>
        <v>5</v>
      </c>
      <c r="L68" s="105">
        <f>IF(AND('Marks Entry'!M68="",'Marks Entry'!N68=""),"",SUM('Marks Entry'!M68:N68))</f>
        <v>10</v>
      </c>
      <c r="M68" s="105">
        <f>IF(AND('Marks Entry'!O68="",'Marks Entry'!P68=""),"",SUM('Marks Entry'!O68:P68))</f>
        <v>106</v>
      </c>
      <c r="N68" s="105">
        <f t="shared" si="70"/>
        <v>126</v>
      </c>
      <c r="O68" s="105" t="str">
        <f t="shared" si="33"/>
        <v/>
      </c>
      <c r="P68" s="105" t="str">
        <f t="shared" si="34"/>
        <v/>
      </c>
      <c r="Q68" s="105">
        <f>IF('Marks Entry'!R68="","",'Marks Entry'!R68)</f>
        <v>5</v>
      </c>
      <c r="R68" s="105">
        <f>IF('Marks Entry'!S68="","",'Marks Entry'!S68)</f>
        <v>5</v>
      </c>
      <c r="S68" s="105">
        <f>IF(AND('Marks Entry'!T68="",'Marks Entry'!U68=""),"",SUM('Marks Entry'!T68:U68))</f>
        <v>10</v>
      </c>
      <c r="T68" s="105">
        <f>IF(AND('Marks Entry'!V68="",'Marks Entry'!W68=""),"",SUM('Marks Entry'!V68:W68))</f>
        <v>93</v>
      </c>
      <c r="U68" s="105">
        <f t="shared" si="35"/>
        <v>113</v>
      </c>
      <c r="V68" s="105" t="str">
        <f t="shared" si="36"/>
        <v/>
      </c>
      <c r="W68" s="105" t="str">
        <f t="shared" si="37"/>
        <v/>
      </c>
      <c r="X68" s="47" t="str">
        <f>IF(B68="","",IF('Marks Entry'!Y68="",'Marks Entry'!$Y$4,'Marks Entry'!Y68))</f>
        <v/>
      </c>
      <c r="Y68" s="105">
        <f>IF('Marks Entry'!Z68="","",'Marks Entry'!Z68)</f>
        <v>5</v>
      </c>
      <c r="Z68" s="105">
        <f>IF('Marks Entry'!AA68="","",'Marks Entry'!AA68)</f>
        <v>5</v>
      </c>
      <c r="AA68" s="105">
        <f>IF(AND('Marks Entry'!AB68="",'Marks Entry'!AC68=""),"",SUM('Marks Entry'!AB68:AC68))</f>
        <v>10</v>
      </c>
      <c r="AB68" s="105" t="str">
        <f>IF('Marks Entry'!AD68="","",'Marks Entry'!AD68)</f>
        <v/>
      </c>
      <c r="AC68" s="105">
        <f t="shared" si="38"/>
        <v>10</v>
      </c>
      <c r="AD68" s="105">
        <f>IF(AND('Marks Entry'!AE68="",'Marks Entry'!AF68=""),"",SUM('Marks Entry'!AE68:AF68))</f>
        <v>16</v>
      </c>
      <c r="AE68" s="105" t="str">
        <f>IF('Marks Entry'!AG68="","",'Marks Entry'!AG68)</f>
        <v/>
      </c>
      <c r="AF68" s="105">
        <f t="shared" si="39"/>
        <v>16</v>
      </c>
      <c r="AG68" s="105">
        <f t="shared" si="40"/>
        <v>36</v>
      </c>
      <c r="AH68" s="105" t="str">
        <f t="shared" si="41"/>
        <v/>
      </c>
      <c r="AI68" s="105" t="str">
        <f t="shared" si="42"/>
        <v/>
      </c>
      <c r="AJ68" s="47" t="str">
        <f>IF(B68="","",IF('Marks Entry'!AI68="",'Marks Entry'!$AI$4,'Marks Entry'!AI68))</f>
        <v/>
      </c>
      <c r="AK68" s="105">
        <f>IF('Marks Entry'!AJ68="","",'Marks Entry'!AJ68)</f>
        <v>5</v>
      </c>
      <c r="AL68" s="105">
        <f>IF('Marks Entry'!AK68="","",'Marks Entry'!AK68)</f>
        <v>5</v>
      </c>
      <c r="AM68" s="105">
        <f>IF(AND('Marks Entry'!AL68="",'Marks Entry'!AM68=""),"",SUM('Marks Entry'!AL68:AM68))</f>
        <v>10</v>
      </c>
      <c r="AN68" s="105" t="str">
        <f>IF('Marks Entry'!AN68="","",'Marks Entry'!AN68)</f>
        <v/>
      </c>
      <c r="AO68" s="105">
        <f t="shared" si="43"/>
        <v>10</v>
      </c>
      <c r="AP68" s="105">
        <f>IF(AND('Marks Entry'!AO68="",'Marks Entry'!AP68=""),"",SUM('Marks Entry'!AO68:AP68))</f>
        <v>9</v>
      </c>
      <c r="AQ68" s="105" t="str">
        <f>IF('Marks Entry'!AQ68="","",'Marks Entry'!AQ68)</f>
        <v/>
      </c>
      <c r="AR68" s="105">
        <f t="shared" si="44"/>
        <v>9</v>
      </c>
      <c r="AS68" s="105">
        <f t="shared" si="45"/>
        <v>29</v>
      </c>
      <c r="AT68" s="105" t="str">
        <f t="shared" si="46"/>
        <v/>
      </c>
      <c r="AU68" s="105" t="str">
        <f t="shared" si="47"/>
        <v/>
      </c>
      <c r="AV68" s="47" t="str">
        <f>IF(B68="","",IF('Marks Entry'!AS68="",'Marks Entry'!$AS$4,'Marks Entry'!AS68))</f>
        <v/>
      </c>
      <c r="AW68" s="105">
        <f>IF('Marks Entry'!AT68="","",'Marks Entry'!AT68)</f>
        <v>5</v>
      </c>
      <c r="AX68" s="105">
        <f>IF('Marks Entry'!AU68="","",'Marks Entry'!AU68)</f>
        <v>5</v>
      </c>
      <c r="AY68" s="105">
        <f>IF(AND('Marks Entry'!AV68="",'Marks Entry'!AW68=""),"",SUM('Marks Entry'!AV68:AW68))</f>
        <v>17</v>
      </c>
      <c r="AZ68" s="105">
        <f>IF('Marks Entry'!AX68="","",'Marks Entry'!AX68)</f>
        <v>10</v>
      </c>
      <c r="BA68" s="105">
        <f t="shared" si="48"/>
        <v>27</v>
      </c>
      <c r="BB68" s="105">
        <f>IF(AND('Marks Entry'!AY68="",'Marks Entry'!AZ68=""),"",SUM('Marks Entry'!AY68:AZ68))</f>
        <v>40</v>
      </c>
      <c r="BC68" s="105">
        <f>IF('Marks Entry'!BA68="","",'Marks Entry'!BA68)</f>
        <v>14</v>
      </c>
      <c r="BD68" s="105">
        <f t="shared" si="49"/>
        <v>54</v>
      </c>
      <c r="BE68" s="105">
        <f t="shared" si="50"/>
        <v>91</v>
      </c>
      <c r="BF68" s="105" t="str">
        <f t="shared" si="51"/>
        <v/>
      </c>
      <c r="BG68" s="105" t="str">
        <f t="shared" si="52"/>
        <v/>
      </c>
      <c r="BH68" s="105" t="str">
        <f t="shared" si="53"/>
        <v/>
      </c>
      <c r="BI68" s="50" t="str">
        <f t="shared" si="71"/>
        <v/>
      </c>
      <c r="BJ68" s="47" t="str">
        <f t="shared" si="72"/>
        <v/>
      </c>
      <c r="BK68" s="105" t="str">
        <f t="shared" si="54"/>
        <v/>
      </c>
      <c r="BL68" s="105" t="str">
        <f t="shared" si="55"/>
        <v/>
      </c>
      <c r="BM68" s="105" t="str">
        <f>IF(OR(B68="",'Marks Entry'!BY68=""),"",'Marks Entry'!BY68)</f>
        <v/>
      </c>
      <c r="BN68" s="105" t="str">
        <f>IF(OR(B68="",'Marks Entry'!BZ68=""),"",'Marks Entry'!BZ68)</f>
        <v/>
      </c>
      <c r="BO68" s="105">
        <f>IF('Marks Entry'!BC68="","",'Marks Entry'!BC68)</f>
        <v>15</v>
      </c>
      <c r="BP68" s="105">
        <f>IF('Marks Entry'!BD68="","",'Marks Entry'!BD68)</f>
        <v>15</v>
      </c>
      <c r="BQ68" s="105">
        <f>IF(AND('Marks Entry'!BE68="",'Marks Entry'!BF68=""),"",SUM('Marks Entry'!BE68:BF68))</f>
        <v>25</v>
      </c>
      <c r="BR68" s="105">
        <f>IF(AND('Marks Entry'!BG68="",'Marks Entry'!BH68=""),"",SUM('Marks Entry'!BG68:BH68))</f>
        <v>82</v>
      </c>
      <c r="BS68" s="105">
        <f t="shared" si="56"/>
        <v>137</v>
      </c>
      <c r="BT68" s="105" t="str">
        <f t="shared" si="57"/>
        <v/>
      </c>
      <c r="BU68" s="105" t="str">
        <f t="shared" si="58"/>
        <v/>
      </c>
      <c r="BV68" s="105">
        <f>IF('Marks Entry'!BJ68="","",'Marks Entry'!BJ68)</f>
        <v>15</v>
      </c>
      <c r="BW68" s="105">
        <f>IF('Marks Entry'!BK68="","",'Marks Entry'!BK68)</f>
        <v>15</v>
      </c>
      <c r="BX68" s="105">
        <f>IF(AND('Marks Entry'!BL68="",'Marks Entry'!BM68=""),"",SUM('Marks Entry'!BL68:BM68))</f>
        <v>25</v>
      </c>
      <c r="BY68" s="105">
        <f>IF(AND('Marks Entry'!BN68="",'Marks Entry'!BO68=""),"",SUM('Marks Entry'!BN68:BO68))</f>
        <v>82</v>
      </c>
      <c r="BZ68" s="105">
        <f t="shared" si="59"/>
        <v>137</v>
      </c>
      <c r="CA68" s="105" t="str">
        <f t="shared" si="60"/>
        <v/>
      </c>
      <c r="CB68" s="105" t="str">
        <f t="shared" si="61"/>
        <v/>
      </c>
      <c r="CC68" s="105" t="str">
        <f>IF('Marks Entry'!BQ68="","",'Marks Entry'!BQ68)</f>
        <v/>
      </c>
      <c r="CD68" s="105" t="str">
        <f>IF('Marks Entry'!BR68="","",'Marks Entry'!BR68)</f>
        <v/>
      </c>
      <c r="CE68" s="105" t="str">
        <f>IF(AND('Marks Entry'!BS68="",'Marks Entry'!BT68=""),"",SUM('Marks Entry'!BS68:BT68))</f>
        <v/>
      </c>
      <c r="CF68" s="105" t="str">
        <f>IF(AND('Marks Entry'!BU68="",'Marks Entry'!BV68=""),"",SUM('Marks Entry'!BU68:BV68))</f>
        <v/>
      </c>
      <c r="CG68" s="105" t="str">
        <f t="shared" si="62"/>
        <v/>
      </c>
      <c r="CH68" s="105" t="str">
        <f t="shared" si="63"/>
        <v/>
      </c>
      <c r="CI68" s="105" t="str">
        <f t="shared" si="64"/>
        <v/>
      </c>
      <c r="CJ68" s="81"/>
      <c r="CK68" s="50" t="str">
        <f t="shared" si="73"/>
        <v/>
      </c>
      <c r="CM68" s="105" t="str">
        <f t="shared" si="74"/>
        <v/>
      </c>
      <c r="CN68" s="105" t="str">
        <f t="shared" si="75"/>
        <v/>
      </c>
      <c r="CO68" s="105" t="str">
        <f t="shared" si="76"/>
        <v/>
      </c>
      <c r="CP68" s="105" t="str">
        <f t="shared" si="77"/>
        <v/>
      </c>
      <c r="CQ68" s="105" t="str">
        <f t="shared" si="78"/>
        <v/>
      </c>
      <c r="CS68" s="105">
        <f t="shared" si="79"/>
        <v>0</v>
      </c>
      <c r="CT68" s="105">
        <f t="shared" si="80"/>
        <v>0</v>
      </c>
      <c r="CU68" s="105">
        <f t="shared" si="81"/>
        <v>0</v>
      </c>
      <c r="CV68" s="105">
        <f t="shared" si="82"/>
        <v>0</v>
      </c>
      <c r="CW68" s="81"/>
      <c r="CX68" s="105" t="str">
        <f t="shared" si="83"/>
        <v/>
      </c>
      <c r="CY68" s="105" t="str">
        <f t="shared" si="84"/>
        <v/>
      </c>
      <c r="CZ68" s="105" t="str">
        <f t="shared" si="85"/>
        <v/>
      </c>
      <c r="DA68" s="105" t="str">
        <f t="shared" si="86"/>
        <v/>
      </c>
      <c r="DB68" s="105" t="str">
        <f t="shared" si="87"/>
        <v/>
      </c>
      <c r="DD68" s="105" t="str">
        <f t="shared" si="88"/>
        <v/>
      </c>
      <c r="DE68" s="105" t="str">
        <f t="shared" si="89"/>
        <v/>
      </c>
      <c r="DF68" s="105" t="str">
        <f t="shared" si="90"/>
        <v/>
      </c>
      <c r="DG68" s="105" t="str">
        <f t="shared" si="91"/>
        <v/>
      </c>
      <c r="DH68" s="105" t="str">
        <f t="shared" si="92"/>
        <v/>
      </c>
      <c r="DI68" s="105" t="str">
        <f t="shared" si="93"/>
        <v/>
      </c>
      <c r="DJ68" s="105" t="str">
        <f t="shared" si="94"/>
        <v/>
      </c>
      <c r="DK68" s="105" t="str">
        <f t="shared" si="95"/>
        <v/>
      </c>
      <c r="DL68" s="105" t="str">
        <f t="shared" si="96"/>
        <v/>
      </c>
      <c r="DM68" s="105" t="str">
        <f t="shared" si="97"/>
        <v/>
      </c>
      <c r="DN68" s="105" t="str">
        <f t="shared" si="98"/>
        <v/>
      </c>
      <c r="DO68" s="105" t="str">
        <f t="shared" si="99"/>
        <v/>
      </c>
      <c r="DP68" s="105" t="str">
        <f t="shared" si="100"/>
        <v/>
      </c>
      <c r="DR68" s="118" t="str">
        <f t="shared" si="65"/>
        <v xml:space="preserve">    </v>
      </c>
      <c r="DS68" s="75"/>
      <c r="DT68" s="119" t="str">
        <f t="shared" si="66"/>
        <v xml:space="preserve">    </v>
      </c>
      <c r="DU68" s="136"/>
      <c r="DV68" s="119" t="str">
        <f t="shared" si="67"/>
        <v xml:space="preserve">    </v>
      </c>
      <c r="DW68" s="75"/>
      <c r="DX68" s="119" t="str">
        <f t="shared" si="68"/>
        <v xml:space="preserve">     </v>
      </c>
      <c r="DY68" s="75"/>
      <c r="DZ68" s="119" t="str">
        <f t="shared" si="69"/>
        <v xml:space="preserve">    </v>
      </c>
    </row>
    <row r="69" spans="1:130" ht="30" customHeight="1" x14ac:dyDescent="0.25">
      <c r="A69" s="105" t="str">
        <f>IF('Marks Entry'!A69="","",'Marks Entry'!A69)</f>
        <v/>
      </c>
      <c r="B69" s="105" t="str">
        <f>IF('Marks Entry'!B69="","",'Marks Entry'!B69)</f>
        <v/>
      </c>
      <c r="C69" s="105" t="str">
        <f>IF('Marks Entry'!C69="","",'Marks Entry'!C69)</f>
        <v/>
      </c>
      <c r="D69" s="48" t="str">
        <f>IF('Marks Entry'!D69="","",'Marks Entry'!D69)</f>
        <v/>
      </c>
      <c r="E69" s="48" t="str">
        <f>IF('Marks Entry'!E69="","",'Marks Entry'!E69)</f>
        <v/>
      </c>
      <c r="F69" s="48" t="str">
        <f>IF('Marks Entry'!F69="","",'Marks Entry'!F69)</f>
        <v/>
      </c>
      <c r="G69" s="105" t="str">
        <f>IF('Marks Entry'!G69="","",'Marks Entry'!G69)</f>
        <v/>
      </c>
      <c r="H69" s="49" t="str">
        <f>IF('Marks Entry'!H69="","",'Marks Entry'!H69)</f>
        <v/>
      </c>
      <c r="I69" s="105" t="str">
        <f>IF('Marks Entry'!I69="","",'Marks Entry'!I69)</f>
        <v/>
      </c>
      <c r="J69" s="105" t="str">
        <f>IF('Marks Entry'!K69="","",'Marks Entry'!K69)</f>
        <v/>
      </c>
      <c r="K69" s="105" t="str">
        <f>IF('Marks Entry'!L69="","",'Marks Entry'!L69)</f>
        <v/>
      </c>
      <c r="L69" s="105" t="str">
        <f>IF(AND('Marks Entry'!M69="",'Marks Entry'!N69=""),"",SUM('Marks Entry'!M69:N69))</f>
        <v/>
      </c>
      <c r="M69" s="105" t="str">
        <f>IF(AND('Marks Entry'!O69="",'Marks Entry'!P69=""),"",SUM('Marks Entry'!O69:P69))</f>
        <v/>
      </c>
      <c r="N69" s="105" t="str">
        <f t="shared" si="70"/>
        <v/>
      </c>
      <c r="O69" s="105" t="str">
        <f t="shared" si="33"/>
        <v/>
      </c>
      <c r="P69" s="105" t="str">
        <f t="shared" si="34"/>
        <v/>
      </c>
      <c r="Q69" s="105" t="str">
        <f>IF('Marks Entry'!R69="","",'Marks Entry'!R69)</f>
        <v/>
      </c>
      <c r="R69" s="105" t="str">
        <f>IF('Marks Entry'!S69="","",'Marks Entry'!S69)</f>
        <v/>
      </c>
      <c r="S69" s="105" t="str">
        <f>IF(AND('Marks Entry'!T69="",'Marks Entry'!U69=""),"",SUM('Marks Entry'!T69:U69))</f>
        <v/>
      </c>
      <c r="T69" s="105" t="str">
        <f>IF(AND('Marks Entry'!V69="",'Marks Entry'!W69=""),"",SUM('Marks Entry'!V69:W69))</f>
        <v/>
      </c>
      <c r="U69" s="105" t="str">
        <f t="shared" si="35"/>
        <v/>
      </c>
      <c r="V69" s="105" t="str">
        <f t="shared" si="36"/>
        <v/>
      </c>
      <c r="W69" s="105" t="str">
        <f t="shared" si="37"/>
        <v/>
      </c>
      <c r="X69" s="47" t="str">
        <f>IF(B69="","",IF('Marks Entry'!Y69="",'Marks Entry'!$Y$4,'Marks Entry'!Y69))</f>
        <v/>
      </c>
      <c r="Y69" s="105" t="str">
        <f>IF('Marks Entry'!Z69="","",'Marks Entry'!Z69)</f>
        <v/>
      </c>
      <c r="Z69" s="105" t="str">
        <f>IF('Marks Entry'!AA69="","",'Marks Entry'!AA69)</f>
        <v/>
      </c>
      <c r="AA69" s="105" t="str">
        <f>IF(AND('Marks Entry'!AB69="",'Marks Entry'!AC69=""),"",SUM('Marks Entry'!AB69:AC69))</f>
        <v/>
      </c>
      <c r="AB69" s="105" t="str">
        <f>IF('Marks Entry'!AD69="","",'Marks Entry'!AD69)</f>
        <v/>
      </c>
      <c r="AC69" s="105" t="str">
        <f t="shared" si="38"/>
        <v/>
      </c>
      <c r="AD69" s="105" t="str">
        <f>IF(AND('Marks Entry'!AE69="",'Marks Entry'!AF69=""),"",SUM('Marks Entry'!AE69:AF69))</f>
        <v/>
      </c>
      <c r="AE69" s="105" t="str">
        <f>IF('Marks Entry'!AG69="","",'Marks Entry'!AG69)</f>
        <v/>
      </c>
      <c r="AF69" s="105" t="str">
        <f t="shared" si="39"/>
        <v/>
      </c>
      <c r="AG69" s="105" t="str">
        <f t="shared" si="40"/>
        <v/>
      </c>
      <c r="AH69" s="105" t="str">
        <f t="shared" si="41"/>
        <v/>
      </c>
      <c r="AI69" s="105" t="str">
        <f t="shared" si="42"/>
        <v/>
      </c>
      <c r="AJ69" s="47" t="str">
        <f>IF(B69="","",IF('Marks Entry'!AI69="",'Marks Entry'!$AI$4,'Marks Entry'!AI69))</f>
        <v/>
      </c>
      <c r="AK69" s="105" t="str">
        <f>IF('Marks Entry'!AJ69="","",'Marks Entry'!AJ69)</f>
        <v/>
      </c>
      <c r="AL69" s="105" t="str">
        <f>IF('Marks Entry'!AK69="","",'Marks Entry'!AK69)</f>
        <v/>
      </c>
      <c r="AM69" s="105" t="str">
        <f>IF(AND('Marks Entry'!AL69="",'Marks Entry'!AM69=""),"",SUM('Marks Entry'!AL69:AM69))</f>
        <v/>
      </c>
      <c r="AN69" s="105" t="str">
        <f>IF('Marks Entry'!AN69="","",'Marks Entry'!AN69)</f>
        <v/>
      </c>
      <c r="AO69" s="105" t="str">
        <f t="shared" si="43"/>
        <v/>
      </c>
      <c r="AP69" s="105" t="str">
        <f>IF(AND('Marks Entry'!AO69="",'Marks Entry'!AP69=""),"",SUM('Marks Entry'!AO69:AP69))</f>
        <v/>
      </c>
      <c r="AQ69" s="105" t="str">
        <f>IF('Marks Entry'!AQ69="","",'Marks Entry'!AQ69)</f>
        <v/>
      </c>
      <c r="AR69" s="105" t="str">
        <f t="shared" si="44"/>
        <v/>
      </c>
      <c r="AS69" s="105" t="str">
        <f t="shared" si="45"/>
        <v/>
      </c>
      <c r="AT69" s="105" t="str">
        <f t="shared" si="46"/>
        <v/>
      </c>
      <c r="AU69" s="105" t="str">
        <f t="shared" si="47"/>
        <v/>
      </c>
      <c r="AV69" s="47" t="str">
        <f>IF(B69="","",IF('Marks Entry'!AS69="",'Marks Entry'!$AS$4,'Marks Entry'!AS69))</f>
        <v/>
      </c>
      <c r="AW69" s="105" t="str">
        <f>IF('Marks Entry'!AT69="","",'Marks Entry'!AT69)</f>
        <v/>
      </c>
      <c r="AX69" s="105" t="str">
        <f>IF('Marks Entry'!AU69="","",'Marks Entry'!AU69)</f>
        <v/>
      </c>
      <c r="AY69" s="105" t="str">
        <f>IF(AND('Marks Entry'!AV69="",'Marks Entry'!AW69=""),"",SUM('Marks Entry'!AV69:AW69))</f>
        <v/>
      </c>
      <c r="AZ69" s="105" t="str">
        <f>IF('Marks Entry'!AX69="","",'Marks Entry'!AX69)</f>
        <v/>
      </c>
      <c r="BA69" s="105">
        <f t="shared" si="48"/>
        <v>0</v>
      </c>
      <c r="BB69" s="105" t="str">
        <f>IF(AND('Marks Entry'!AY69="",'Marks Entry'!AZ69=""),"",SUM('Marks Entry'!AY69:AZ69))</f>
        <v/>
      </c>
      <c r="BC69" s="105" t="str">
        <f>IF('Marks Entry'!BA69="","",'Marks Entry'!BA69)</f>
        <v/>
      </c>
      <c r="BD69" s="105">
        <f t="shared" si="49"/>
        <v>0</v>
      </c>
      <c r="BE69" s="105">
        <f t="shared" si="50"/>
        <v>0</v>
      </c>
      <c r="BF69" s="105" t="str">
        <f t="shared" si="51"/>
        <v/>
      </c>
      <c r="BG69" s="105" t="str">
        <f t="shared" si="52"/>
        <v/>
      </c>
      <c r="BH69" s="105" t="str">
        <f t="shared" si="53"/>
        <v/>
      </c>
      <c r="BI69" s="50" t="str">
        <f t="shared" si="71"/>
        <v/>
      </c>
      <c r="BJ69" s="47" t="str">
        <f t="shared" si="72"/>
        <v/>
      </c>
      <c r="BK69" s="105" t="str">
        <f t="shared" si="54"/>
        <v/>
      </c>
      <c r="BL69" s="105" t="str">
        <f t="shared" si="55"/>
        <v/>
      </c>
      <c r="BM69" s="105" t="str">
        <f>IF(OR(B69="",'Marks Entry'!BY69=""),"",'Marks Entry'!BY69)</f>
        <v/>
      </c>
      <c r="BN69" s="105" t="str">
        <f>IF(OR(B69="",'Marks Entry'!BZ69=""),"",'Marks Entry'!BZ69)</f>
        <v/>
      </c>
      <c r="BO69" s="105" t="str">
        <f>IF('Marks Entry'!BC69="","",'Marks Entry'!BC69)</f>
        <v/>
      </c>
      <c r="BP69" s="105" t="str">
        <f>IF('Marks Entry'!BD69="","",'Marks Entry'!BD69)</f>
        <v/>
      </c>
      <c r="BQ69" s="105" t="str">
        <f>IF(AND('Marks Entry'!BE69="",'Marks Entry'!BF69=""),"",SUM('Marks Entry'!BE69:BF69))</f>
        <v/>
      </c>
      <c r="BR69" s="105" t="str">
        <f>IF(AND('Marks Entry'!BG69="",'Marks Entry'!BH69=""),"",SUM('Marks Entry'!BG69:BH69))</f>
        <v/>
      </c>
      <c r="BS69" s="105" t="str">
        <f t="shared" si="56"/>
        <v/>
      </c>
      <c r="BT69" s="105" t="str">
        <f t="shared" si="57"/>
        <v/>
      </c>
      <c r="BU69" s="105" t="str">
        <f t="shared" si="58"/>
        <v/>
      </c>
      <c r="BV69" s="105" t="str">
        <f>IF('Marks Entry'!BJ69="","",'Marks Entry'!BJ69)</f>
        <v/>
      </c>
      <c r="BW69" s="105" t="str">
        <f>IF('Marks Entry'!BK69="","",'Marks Entry'!BK69)</f>
        <v/>
      </c>
      <c r="BX69" s="105" t="str">
        <f>IF(AND('Marks Entry'!BL69="",'Marks Entry'!BM69=""),"",SUM('Marks Entry'!BL69:BM69))</f>
        <v/>
      </c>
      <c r="BY69" s="105" t="str">
        <f>IF(AND('Marks Entry'!BN69="",'Marks Entry'!BO69=""),"",SUM('Marks Entry'!BN69:BO69))</f>
        <v/>
      </c>
      <c r="BZ69" s="105" t="str">
        <f t="shared" si="59"/>
        <v/>
      </c>
      <c r="CA69" s="105" t="str">
        <f t="shared" si="60"/>
        <v/>
      </c>
      <c r="CB69" s="105" t="str">
        <f t="shared" si="61"/>
        <v/>
      </c>
      <c r="CC69" s="105" t="str">
        <f>IF('Marks Entry'!BQ69="","",'Marks Entry'!BQ69)</f>
        <v/>
      </c>
      <c r="CD69" s="105" t="str">
        <f>IF('Marks Entry'!BR69="","",'Marks Entry'!BR69)</f>
        <v/>
      </c>
      <c r="CE69" s="105" t="str">
        <f>IF(AND('Marks Entry'!BS69="",'Marks Entry'!BT69=""),"",SUM('Marks Entry'!BS69:BT69))</f>
        <v/>
      </c>
      <c r="CF69" s="105" t="str">
        <f>IF(AND('Marks Entry'!BU69="",'Marks Entry'!BV69=""),"",SUM('Marks Entry'!BU69:BV69))</f>
        <v/>
      </c>
      <c r="CG69" s="105" t="str">
        <f t="shared" si="62"/>
        <v/>
      </c>
      <c r="CH69" s="105" t="str">
        <f t="shared" si="63"/>
        <v/>
      </c>
      <c r="CI69" s="105" t="str">
        <f t="shared" si="64"/>
        <v/>
      </c>
      <c r="CJ69" s="81"/>
      <c r="CK69" s="50" t="str">
        <f t="shared" si="73"/>
        <v/>
      </c>
      <c r="CM69" s="105" t="str">
        <f t="shared" si="74"/>
        <v/>
      </c>
      <c r="CN69" s="105" t="str">
        <f t="shared" si="75"/>
        <v/>
      </c>
      <c r="CO69" s="105" t="str">
        <f t="shared" si="76"/>
        <v/>
      </c>
      <c r="CP69" s="105" t="str">
        <f t="shared" si="77"/>
        <v/>
      </c>
      <c r="CQ69" s="105" t="str">
        <f t="shared" si="78"/>
        <v/>
      </c>
      <c r="CS69" s="105">
        <f t="shared" si="79"/>
        <v>0</v>
      </c>
      <c r="CT69" s="105">
        <f t="shared" si="80"/>
        <v>0</v>
      </c>
      <c r="CU69" s="105">
        <f t="shared" si="81"/>
        <v>0</v>
      </c>
      <c r="CV69" s="105">
        <f t="shared" si="82"/>
        <v>0</v>
      </c>
      <c r="CW69" s="81"/>
      <c r="CX69" s="105" t="str">
        <f t="shared" si="83"/>
        <v/>
      </c>
      <c r="CY69" s="105" t="str">
        <f t="shared" si="84"/>
        <v/>
      </c>
      <c r="CZ69" s="105" t="str">
        <f t="shared" si="85"/>
        <v/>
      </c>
      <c r="DA69" s="105" t="str">
        <f t="shared" si="86"/>
        <v/>
      </c>
      <c r="DB69" s="105" t="str">
        <f t="shared" si="87"/>
        <v/>
      </c>
      <c r="DD69" s="105" t="str">
        <f t="shared" si="88"/>
        <v/>
      </c>
      <c r="DE69" s="105" t="str">
        <f t="shared" si="89"/>
        <v/>
      </c>
      <c r="DF69" s="105" t="str">
        <f t="shared" si="90"/>
        <v/>
      </c>
      <c r="DG69" s="105" t="str">
        <f t="shared" si="91"/>
        <v/>
      </c>
      <c r="DH69" s="105" t="str">
        <f t="shared" si="92"/>
        <v/>
      </c>
      <c r="DI69" s="105" t="str">
        <f t="shared" si="93"/>
        <v/>
      </c>
      <c r="DJ69" s="105" t="str">
        <f t="shared" si="94"/>
        <v/>
      </c>
      <c r="DK69" s="105" t="str">
        <f t="shared" si="95"/>
        <v/>
      </c>
      <c r="DL69" s="105" t="str">
        <f t="shared" si="96"/>
        <v/>
      </c>
      <c r="DM69" s="105" t="str">
        <f t="shared" si="97"/>
        <v/>
      </c>
      <c r="DN69" s="105" t="str">
        <f t="shared" si="98"/>
        <v/>
      </c>
      <c r="DO69" s="105" t="str">
        <f t="shared" si="99"/>
        <v/>
      </c>
      <c r="DP69" s="105" t="str">
        <f t="shared" si="100"/>
        <v/>
      </c>
      <c r="DR69" s="118" t="str">
        <f t="shared" si="65"/>
        <v xml:space="preserve">    </v>
      </c>
      <c r="DS69" s="75"/>
      <c r="DT69" s="119" t="str">
        <f t="shared" si="66"/>
        <v xml:space="preserve">    </v>
      </c>
      <c r="DU69" s="136"/>
      <c r="DV69" s="119" t="str">
        <f t="shared" si="67"/>
        <v xml:space="preserve">    </v>
      </c>
      <c r="DW69" s="75"/>
      <c r="DX69" s="119" t="str">
        <f t="shared" si="68"/>
        <v xml:space="preserve">     </v>
      </c>
      <c r="DY69" s="75"/>
      <c r="DZ69" s="119" t="str">
        <f t="shared" si="69"/>
        <v xml:space="preserve">    </v>
      </c>
    </row>
    <row r="70" spans="1:130" ht="30" customHeight="1" x14ac:dyDescent="0.25">
      <c r="A70" s="105" t="str">
        <f>IF('Marks Entry'!A70="","",'Marks Entry'!A70)</f>
        <v/>
      </c>
      <c r="B70" s="105" t="str">
        <f>IF('Marks Entry'!B70="","",'Marks Entry'!B70)</f>
        <v/>
      </c>
      <c r="C70" s="105" t="str">
        <f>IF('Marks Entry'!C70="","",'Marks Entry'!C70)</f>
        <v/>
      </c>
      <c r="D70" s="48" t="str">
        <f>IF('Marks Entry'!D70="","",'Marks Entry'!D70)</f>
        <v/>
      </c>
      <c r="E70" s="48" t="str">
        <f>IF('Marks Entry'!E70="","",'Marks Entry'!E70)</f>
        <v/>
      </c>
      <c r="F70" s="48" t="str">
        <f>IF('Marks Entry'!F70="","",'Marks Entry'!F70)</f>
        <v/>
      </c>
      <c r="G70" s="105" t="str">
        <f>IF('Marks Entry'!G70="","",'Marks Entry'!G70)</f>
        <v/>
      </c>
      <c r="H70" s="49" t="str">
        <f>IF('Marks Entry'!H70="","",'Marks Entry'!H70)</f>
        <v/>
      </c>
      <c r="I70" s="105" t="str">
        <f>IF('Marks Entry'!I70="","",'Marks Entry'!I70)</f>
        <v/>
      </c>
      <c r="J70" s="105" t="str">
        <f>IF('Marks Entry'!K70="","",'Marks Entry'!K70)</f>
        <v/>
      </c>
      <c r="K70" s="105" t="str">
        <f>IF('Marks Entry'!L70="","",'Marks Entry'!L70)</f>
        <v/>
      </c>
      <c r="L70" s="105" t="str">
        <f>IF(AND('Marks Entry'!M70="",'Marks Entry'!N70=""),"",SUM('Marks Entry'!M70:N70))</f>
        <v/>
      </c>
      <c r="M70" s="105" t="str">
        <f>IF(AND('Marks Entry'!O70="",'Marks Entry'!P70=""),"",SUM('Marks Entry'!O70:P70))</f>
        <v/>
      </c>
      <c r="N70" s="105" t="str">
        <f t="shared" si="70"/>
        <v/>
      </c>
      <c r="O70" s="105" t="str">
        <f t="shared" si="33"/>
        <v/>
      </c>
      <c r="P70" s="105" t="str">
        <f t="shared" si="34"/>
        <v/>
      </c>
      <c r="Q70" s="105" t="str">
        <f>IF('Marks Entry'!R70="","",'Marks Entry'!R70)</f>
        <v/>
      </c>
      <c r="R70" s="105" t="str">
        <f>IF('Marks Entry'!S70="","",'Marks Entry'!S70)</f>
        <v/>
      </c>
      <c r="S70" s="105" t="str">
        <f>IF(AND('Marks Entry'!T70="",'Marks Entry'!U70=""),"",SUM('Marks Entry'!T70:U70))</f>
        <v/>
      </c>
      <c r="T70" s="105" t="str">
        <f>IF(AND('Marks Entry'!V70="",'Marks Entry'!W70=""),"",SUM('Marks Entry'!V70:W70))</f>
        <v/>
      </c>
      <c r="U70" s="105" t="str">
        <f t="shared" si="35"/>
        <v/>
      </c>
      <c r="V70" s="105" t="str">
        <f t="shared" si="36"/>
        <v/>
      </c>
      <c r="W70" s="105" t="str">
        <f t="shared" si="37"/>
        <v/>
      </c>
      <c r="X70" s="47" t="str">
        <f>IF(B70="","",IF('Marks Entry'!Y70="",'Marks Entry'!$Y$4,'Marks Entry'!Y70))</f>
        <v/>
      </c>
      <c r="Y70" s="105" t="str">
        <f>IF('Marks Entry'!Z70="","",'Marks Entry'!Z70)</f>
        <v/>
      </c>
      <c r="Z70" s="105" t="str">
        <f>IF('Marks Entry'!AA70="","",'Marks Entry'!AA70)</f>
        <v/>
      </c>
      <c r="AA70" s="105" t="str">
        <f>IF(AND('Marks Entry'!AB70="",'Marks Entry'!AC70=""),"",SUM('Marks Entry'!AB70:AC70))</f>
        <v/>
      </c>
      <c r="AB70" s="105" t="str">
        <f>IF('Marks Entry'!AD70="","",'Marks Entry'!AD70)</f>
        <v/>
      </c>
      <c r="AC70" s="105" t="str">
        <f t="shared" si="38"/>
        <v/>
      </c>
      <c r="AD70" s="105" t="str">
        <f>IF(AND('Marks Entry'!AE70="",'Marks Entry'!AF70=""),"",SUM('Marks Entry'!AE70:AF70))</f>
        <v/>
      </c>
      <c r="AE70" s="105" t="str">
        <f>IF('Marks Entry'!AG70="","",'Marks Entry'!AG70)</f>
        <v/>
      </c>
      <c r="AF70" s="105" t="str">
        <f t="shared" si="39"/>
        <v/>
      </c>
      <c r="AG70" s="105" t="str">
        <f t="shared" si="40"/>
        <v/>
      </c>
      <c r="AH70" s="105" t="str">
        <f t="shared" si="41"/>
        <v/>
      </c>
      <c r="AI70" s="105" t="str">
        <f t="shared" si="42"/>
        <v/>
      </c>
      <c r="AJ70" s="47" t="str">
        <f>IF(B70="","",IF('Marks Entry'!AI70="",'Marks Entry'!$AI$4,'Marks Entry'!AI70))</f>
        <v/>
      </c>
      <c r="AK70" s="105" t="str">
        <f>IF('Marks Entry'!AJ70="","",'Marks Entry'!AJ70)</f>
        <v/>
      </c>
      <c r="AL70" s="105" t="str">
        <f>IF('Marks Entry'!AK70="","",'Marks Entry'!AK70)</f>
        <v/>
      </c>
      <c r="AM70" s="105" t="str">
        <f>IF(AND('Marks Entry'!AL70="",'Marks Entry'!AM70=""),"",SUM('Marks Entry'!AL70:AM70))</f>
        <v/>
      </c>
      <c r="AN70" s="105" t="str">
        <f>IF('Marks Entry'!AN70="","",'Marks Entry'!AN70)</f>
        <v/>
      </c>
      <c r="AO70" s="105" t="str">
        <f t="shared" si="43"/>
        <v/>
      </c>
      <c r="AP70" s="105" t="str">
        <f>IF(AND('Marks Entry'!AO70="",'Marks Entry'!AP70=""),"",SUM('Marks Entry'!AO70:AP70))</f>
        <v/>
      </c>
      <c r="AQ70" s="105" t="str">
        <f>IF('Marks Entry'!AQ70="","",'Marks Entry'!AQ70)</f>
        <v/>
      </c>
      <c r="AR70" s="105" t="str">
        <f t="shared" si="44"/>
        <v/>
      </c>
      <c r="AS70" s="105" t="str">
        <f t="shared" si="45"/>
        <v/>
      </c>
      <c r="AT70" s="105" t="str">
        <f t="shared" si="46"/>
        <v/>
      </c>
      <c r="AU70" s="105" t="str">
        <f t="shared" si="47"/>
        <v/>
      </c>
      <c r="AV70" s="47" t="str">
        <f>IF(B70="","",IF('Marks Entry'!AS70="",'Marks Entry'!$AS$4,'Marks Entry'!AS70))</f>
        <v/>
      </c>
      <c r="AW70" s="105" t="str">
        <f>IF('Marks Entry'!AT70="","",'Marks Entry'!AT70)</f>
        <v/>
      </c>
      <c r="AX70" s="105" t="str">
        <f>IF('Marks Entry'!AU70="","",'Marks Entry'!AU70)</f>
        <v/>
      </c>
      <c r="AY70" s="105" t="str">
        <f>IF(AND('Marks Entry'!AV70="",'Marks Entry'!AW70=""),"",SUM('Marks Entry'!AV70:AW70))</f>
        <v/>
      </c>
      <c r="AZ70" s="105" t="str">
        <f>IF('Marks Entry'!AX70="","",'Marks Entry'!AX70)</f>
        <v/>
      </c>
      <c r="BA70" s="105">
        <f t="shared" si="48"/>
        <v>0</v>
      </c>
      <c r="BB70" s="105" t="str">
        <f>IF(AND('Marks Entry'!AY70="",'Marks Entry'!AZ70=""),"",SUM('Marks Entry'!AY70:AZ70))</f>
        <v/>
      </c>
      <c r="BC70" s="105" t="str">
        <f>IF('Marks Entry'!BA70="","",'Marks Entry'!BA70)</f>
        <v/>
      </c>
      <c r="BD70" s="105">
        <f t="shared" si="49"/>
        <v>0</v>
      </c>
      <c r="BE70" s="105">
        <f t="shared" si="50"/>
        <v>0</v>
      </c>
      <c r="BF70" s="105" t="str">
        <f t="shared" si="51"/>
        <v/>
      </c>
      <c r="BG70" s="105" t="str">
        <f t="shared" si="52"/>
        <v/>
      </c>
      <c r="BH70" s="105" t="str">
        <f t="shared" si="53"/>
        <v/>
      </c>
      <c r="BI70" s="50" t="str">
        <f t="shared" si="71"/>
        <v/>
      </c>
      <c r="BJ70" s="47" t="str">
        <f t="shared" si="72"/>
        <v/>
      </c>
      <c r="BK70" s="105" t="str">
        <f t="shared" si="54"/>
        <v/>
      </c>
      <c r="BL70" s="105" t="str">
        <f t="shared" si="55"/>
        <v/>
      </c>
      <c r="BM70" s="105" t="str">
        <f>IF(OR(B70="",'Marks Entry'!BY70=""),"",'Marks Entry'!BY70)</f>
        <v/>
      </c>
      <c r="BN70" s="105" t="str">
        <f>IF(OR(B70="",'Marks Entry'!BZ70=""),"",'Marks Entry'!BZ70)</f>
        <v/>
      </c>
      <c r="BO70" s="105" t="str">
        <f>IF('Marks Entry'!BC70="","",'Marks Entry'!BC70)</f>
        <v/>
      </c>
      <c r="BP70" s="105" t="str">
        <f>IF('Marks Entry'!BD70="","",'Marks Entry'!BD70)</f>
        <v/>
      </c>
      <c r="BQ70" s="105" t="str">
        <f>IF(AND('Marks Entry'!BE70="",'Marks Entry'!BF70=""),"",SUM('Marks Entry'!BE70:BF70))</f>
        <v/>
      </c>
      <c r="BR70" s="105" t="str">
        <f>IF(AND('Marks Entry'!BG70="",'Marks Entry'!BH70=""),"",SUM('Marks Entry'!BG70:BH70))</f>
        <v/>
      </c>
      <c r="BS70" s="105" t="str">
        <f t="shared" si="56"/>
        <v/>
      </c>
      <c r="BT70" s="105" t="str">
        <f t="shared" si="57"/>
        <v/>
      </c>
      <c r="BU70" s="105" t="str">
        <f t="shared" si="58"/>
        <v/>
      </c>
      <c r="BV70" s="105" t="str">
        <f>IF('Marks Entry'!BJ70="","",'Marks Entry'!BJ70)</f>
        <v/>
      </c>
      <c r="BW70" s="105" t="str">
        <f>IF('Marks Entry'!BK70="","",'Marks Entry'!BK70)</f>
        <v/>
      </c>
      <c r="BX70" s="105" t="str">
        <f>IF(AND('Marks Entry'!BL70="",'Marks Entry'!BM70=""),"",SUM('Marks Entry'!BL70:BM70))</f>
        <v/>
      </c>
      <c r="BY70" s="105" t="str">
        <f>IF(AND('Marks Entry'!BN70="",'Marks Entry'!BO70=""),"",SUM('Marks Entry'!BN70:BO70))</f>
        <v/>
      </c>
      <c r="BZ70" s="105" t="str">
        <f t="shared" si="59"/>
        <v/>
      </c>
      <c r="CA70" s="105" t="str">
        <f t="shared" si="60"/>
        <v/>
      </c>
      <c r="CB70" s="105" t="str">
        <f t="shared" si="61"/>
        <v/>
      </c>
      <c r="CC70" s="105" t="str">
        <f>IF('Marks Entry'!BQ70="","",'Marks Entry'!BQ70)</f>
        <v/>
      </c>
      <c r="CD70" s="105" t="str">
        <f>IF('Marks Entry'!BR70="","",'Marks Entry'!BR70)</f>
        <v/>
      </c>
      <c r="CE70" s="105" t="str">
        <f>IF(AND('Marks Entry'!BS70="",'Marks Entry'!BT70=""),"",SUM('Marks Entry'!BS70:BT70))</f>
        <v/>
      </c>
      <c r="CF70" s="105" t="str">
        <f>IF(AND('Marks Entry'!BU70="",'Marks Entry'!BV70=""),"",SUM('Marks Entry'!BU70:BV70))</f>
        <v/>
      </c>
      <c r="CG70" s="105" t="str">
        <f t="shared" si="62"/>
        <v/>
      </c>
      <c r="CH70" s="105" t="str">
        <f t="shared" si="63"/>
        <v/>
      </c>
      <c r="CI70" s="105" t="str">
        <f t="shared" si="64"/>
        <v/>
      </c>
      <c r="CJ70" s="81"/>
      <c r="CK70" s="50" t="str">
        <f t="shared" si="73"/>
        <v/>
      </c>
      <c r="CM70" s="105" t="str">
        <f t="shared" si="74"/>
        <v/>
      </c>
      <c r="CN70" s="105" t="str">
        <f t="shared" si="75"/>
        <v/>
      </c>
      <c r="CO70" s="105" t="str">
        <f t="shared" si="76"/>
        <v/>
      </c>
      <c r="CP70" s="105" t="str">
        <f t="shared" si="77"/>
        <v/>
      </c>
      <c r="CQ70" s="105" t="str">
        <f t="shared" si="78"/>
        <v/>
      </c>
      <c r="CS70" s="105">
        <f t="shared" si="79"/>
        <v>0</v>
      </c>
      <c r="CT70" s="105">
        <f t="shared" si="80"/>
        <v>0</v>
      </c>
      <c r="CU70" s="105">
        <f t="shared" si="81"/>
        <v>0</v>
      </c>
      <c r="CV70" s="105">
        <f t="shared" si="82"/>
        <v>0</v>
      </c>
      <c r="CW70" s="81"/>
      <c r="CX70" s="105" t="str">
        <f t="shared" si="83"/>
        <v/>
      </c>
      <c r="CY70" s="105" t="str">
        <f t="shared" si="84"/>
        <v/>
      </c>
      <c r="CZ70" s="105" t="str">
        <f t="shared" si="85"/>
        <v/>
      </c>
      <c r="DA70" s="105" t="str">
        <f t="shared" si="86"/>
        <v/>
      </c>
      <c r="DB70" s="105" t="str">
        <f t="shared" si="87"/>
        <v/>
      </c>
      <c r="DD70" s="105" t="str">
        <f t="shared" si="88"/>
        <v/>
      </c>
      <c r="DE70" s="105" t="str">
        <f t="shared" si="89"/>
        <v/>
      </c>
      <c r="DF70" s="105" t="str">
        <f t="shared" si="90"/>
        <v/>
      </c>
      <c r="DG70" s="105" t="str">
        <f t="shared" si="91"/>
        <v/>
      </c>
      <c r="DH70" s="105" t="str">
        <f t="shared" si="92"/>
        <v/>
      </c>
      <c r="DI70" s="105" t="str">
        <f t="shared" si="93"/>
        <v/>
      </c>
      <c r="DJ70" s="105" t="str">
        <f t="shared" si="94"/>
        <v/>
      </c>
      <c r="DK70" s="105" t="str">
        <f t="shared" si="95"/>
        <v/>
      </c>
      <c r="DL70" s="105" t="str">
        <f t="shared" si="96"/>
        <v/>
      </c>
      <c r="DM70" s="105" t="str">
        <f t="shared" si="97"/>
        <v/>
      </c>
      <c r="DN70" s="105" t="str">
        <f t="shared" si="98"/>
        <v/>
      </c>
      <c r="DO70" s="105" t="str">
        <f t="shared" si="99"/>
        <v/>
      </c>
      <c r="DP70" s="105" t="str">
        <f t="shared" si="100"/>
        <v/>
      </c>
      <c r="DR70" s="118" t="str">
        <f t="shared" si="65"/>
        <v xml:space="preserve">    </v>
      </c>
      <c r="DS70" s="75"/>
      <c r="DT70" s="119" t="str">
        <f t="shared" si="66"/>
        <v xml:space="preserve">    </v>
      </c>
      <c r="DU70" s="136"/>
      <c r="DV70" s="119" t="str">
        <f t="shared" si="67"/>
        <v xml:space="preserve">    </v>
      </c>
      <c r="DW70" s="75"/>
      <c r="DX70" s="119" t="str">
        <f t="shared" si="68"/>
        <v xml:space="preserve">     </v>
      </c>
      <c r="DY70" s="75"/>
      <c r="DZ70" s="119" t="str">
        <f t="shared" si="69"/>
        <v xml:space="preserve">    </v>
      </c>
    </row>
    <row r="71" spans="1:130" ht="30" customHeight="1" x14ac:dyDescent="0.25">
      <c r="A71" s="105" t="str">
        <f>IF('Marks Entry'!A71="","",'Marks Entry'!A71)</f>
        <v/>
      </c>
      <c r="B71" s="105" t="str">
        <f>IF('Marks Entry'!B71="","",'Marks Entry'!B71)</f>
        <v/>
      </c>
      <c r="C71" s="105" t="str">
        <f>IF('Marks Entry'!C71="","",'Marks Entry'!C71)</f>
        <v/>
      </c>
      <c r="D71" s="48" t="str">
        <f>IF('Marks Entry'!D71="","",'Marks Entry'!D71)</f>
        <v/>
      </c>
      <c r="E71" s="48" t="str">
        <f>IF('Marks Entry'!E71="","",'Marks Entry'!E71)</f>
        <v/>
      </c>
      <c r="F71" s="48" t="str">
        <f>IF('Marks Entry'!F71="","",'Marks Entry'!F71)</f>
        <v/>
      </c>
      <c r="G71" s="105" t="str">
        <f>IF('Marks Entry'!G71="","",'Marks Entry'!G71)</f>
        <v/>
      </c>
      <c r="H71" s="49" t="str">
        <f>IF('Marks Entry'!H71="","",'Marks Entry'!H71)</f>
        <v/>
      </c>
      <c r="I71" s="105" t="str">
        <f>IF('Marks Entry'!I71="","",'Marks Entry'!I71)</f>
        <v/>
      </c>
      <c r="J71" s="105" t="str">
        <f>IF('Marks Entry'!K71="","",'Marks Entry'!K71)</f>
        <v/>
      </c>
      <c r="K71" s="105" t="str">
        <f>IF('Marks Entry'!L71="","",'Marks Entry'!L71)</f>
        <v/>
      </c>
      <c r="L71" s="105" t="str">
        <f>IF(AND('Marks Entry'!M71="",'Marks Entry'!N71=""),"",SUM('Marks Entry'!M71:N71))</f>
        <v/>
      </c>
      <c r="M71" s="105" t="str">
        <f>IF(AND('Marks Entry'!O71="",'Marks Entry'!P71=""),"",SUM('Marks Entry'!O71:P71))</f>
        <v/>
      </c>
      <c r="N71" s="105" t="str">
        <f t="shared" si="70"/>
        <v/>
      </c>
      <c r="O71" s="105" t="str">
        <f t="shared" si="33"/>
        <v/>
      </c>
      <c r="P71" s="105" t="str">
        <f t="shared" si="34"/>
        <v/>
      </c>
      <c r="Q71" s="105" t="str">
        <f>IF('Marks Entry'!R71="","",'Marks Entry'!R71)</f>
        <v/>
      </c>
      <c r="R71" s="105" t="str">
        <f>IF('Marks Entry'!S71="","",'Marks Entry'!S71)</f>
        <v/>
      </c>
      <c r="S71" s="105" t="str">
        <f>IF(AND('Marks Entry'!T71="",'Marks Entry'!U71=""),"",SUM('Marks Entry'!T71:U71))</f>
        <v/>
      </c>
      <c r="T71" s="105" t="str">
        <f>IF(AND('Marks Entry'!V71="",'Marks Entry'!W71=""),"",SUM('Marks Entry'!V71:W71))</f>
        <v/>
      </c>
      <c r="U71" s="105" t="str">
        <f t="shared" si="35"/>
        <v/>
      </c>
      <c r="V71" s="105" t="str">
        <f t="shared" si="36"/>
        <v/>
      </c>
      <c r="W71" s="105" t="str">
        <f t="shared" si="37"/>
        <v/>
      </c>
      <c r="X71" s="47" t="str">
        <f>IF(B71="","",IF('Marks Entry'!Y71="",'Marks Entry'!$Y$4,'Marks Entry'!Y71))</f>
        <v/>
      </c>
      <c r="Y71" s="105" t="str">
        <f>IF('Marks Entry'!Z71="","",'Marks Entry'!Z71)</f>
        <v/>
      </c>
      <c r="Z71" s="105" t="str">
        <f>IF('Marks Entry'!AA71="","",'Marks Entry'!AA71)</f>
        <v/>
      </c>
      <c r="AA71" s="105" t="str">
        <f>IF(AND('Marks Entry'!AB71="",'Marks Entry'!AC71=""),"",SUM('Marks Entry'!AB71:AC71))</f>
        <v/>
      </c>
      <c r="AB71" s="105" t="str">
        <f>IF('Marks Entry'!AD71="","",'Marks Entry'!AD71)</f>
        <v/>
      </c>
      <c r="AC71" s="105" t="str">
        <f t="shared" si="38"/>
        <v/>
      </c>
      <c r="AD71" s="105" t="str">
        <f>IF(AND('Marks Entry'!AE71="",'Marks Entry'!AF71=""),"",SUM('Marks Entry'!AE71:AF71))</f>
        <v/>
      </c>
      <c r="AE71" s="105" t="str">
        <f>IF('Marks Entry'!AG71="","",'Marks Entry'!AG71)</f>
        <v/>
      </c>
      <c r="AF71" s="105" t="str">
        <f t="shared" si="39"/>
        <v/>
      </c>
      <c r="AG71" s="105" t="str">
        <f t="shared" si="40"/>
        <v/>
      </c>
      <c r="AH71" s="105" t="str">
        <f t="shared" si="41"/>
        <v/>
      </c>
      <c r="AI71" s="105" t="str">
        <f t="shared" si="42"/>
        <v/>
      </c>
      <c r="AJ71" s="47" t="str">
        <f>IF(B71="","",IF('Marks Entry'!AI71="",'Marks Entry'!$AI$4,'Marks Entry'!AI71))</f>
        <v/>
      </c>
      <c r="AK71" s="105" t="str">
        <f>IF('Marks Entry'!AJ71="","",'Marks Entry'!AJ71)</f>
        <v/>
      </c>
      <c r="AL71" s="105" t="str">
        <f>IF('Marks Entry'!AK71="","",'Marks Entry'!AK71)</f>
        <v/>
      </c>
      <c r="AM71" s="105" t="str">
        <f>IF(AND('Marks Entry'!AL71="",'Marks Entry'!AM71=""),"",SUM('Marks Entry'!AL71:AM71))</f>
        <v/>
      </c>
      <c r="AN71" s="105" t="str">
        <f>IF('Marks Entry'!AN71="","",'Marks Entry'!AN71)</f>
        <v/>
      </c>
      <c r="AO71" s="105" t="str">
        <f t="shared" si="43"/>
        <v/>
      </c>
      <c r="AP71" s="105" t="str">
        <f>IF(AND('Marks Entry'!AO71="",'Marks Entry'!AP71=""),"",SUM('Marks Entry'!AO71:AP71))</f>
        <v/>
      </c>
      <c r="AQ71" s="105" t="str">
        <f>IF('Marks Entry'!AQ71="","",'Marks Entry'!AQ71)</f>
        <v/>
      </c>
      <c r="AR71" s="105" t="str">
        <f t="shared" si="44"/>
        <v/>
      </c>
      <c r="AS71" s="105" t="str">
        <f t="shared" si="45"/>
        <v/>
      </c>
      <c r="AT71" s="105" t="str">
        <f t="shared" si="46"/>
        <v/>
      </c>
      <c r="AU71" s="105" t="str">
        <f t="shared" si="47"/>
        <v/>
      </c>
      <c r="AV71" s="47" t="str">
        <f>IF(B71="","",IF('Marks Entry'!AS71="",'Marks Entry'!$AS$4,'Marks Entry'!AS71))</f>
        <v/>
      </c>
      <c r="AW71" s="105" t="str">
        <f>IF('Marks Entry'!AT71="","",'Marks Entry'!AT71)</f>
        <v/>
      </c>
      <c r="AX71" s="105" t="str">
        <f>IF('Marks Entry'!AU71="","",'Marks Entry'!AU71)</f>
        <v/>
      </c>
      <c r="AY71" s="105" t="str">
        <f>IF(AND('Marks Entry'!AV71="",'Marks Entry'!AW71=""),"",SUM('Marks Entry'!AV71:AW71))</f>
        <v/>
      </c>
      <c r="AZ71" s="105" t="str">
        <f>IF('Marks Entry'!AX71="","",'Marks Entry'!AX71)</f>
        <v/>
      </c>
      <c r="BA71" s="105">
        <f t="shared" si="48"/>
        <v>0</v>
      </c>
      <c r="BB71" s="105" t="str">
        <f>IF(AND('Marks Entry'!AY71="",'Marks Entry'!AZ71=""),"",SUM('Marks Entry'!AY71:AZ71))</f>
        <v/>
      </c>
      <c r="BC71" s="105" t="str">
        <f>IF('Marks Entry'!BA71="","",'Marks Entry'!BA71)</f>
        <v/>
      </c>
      <c r="BD71" s="105">
        <f t="shared" si="49"/>
        <v>0</v>
      </c>
      <c r="BE71" s="105">
        <f t="shared" si="50"/>
        <v>0</v>
      </c>
      <c r="BF71" s="105" t="str">
        <f t="shared" si="51"/>
        <v/>
      </c>
      <c r="BG71" s="105" t="str">
        <f t="shared" si="52"/>
        <v/>
      </c>
      <c r="BH71" s="105" t="str">
        <f t="shared" si="53"/>
        <v/>
      </c>
      <c r="BI71" s="50" t="str">
        <f t="shared" si="71"/>
        <v/>
      </c>
      <c r="BJ71" s="47" t="str">
        <f t="shared" si="72"/>
        <v/>
      </c>
      <c r="BK71" s="105" t="str">
        <f t="shared" si="54"/>
        <v/>
      </c>
      <c r="BL71" s="105" t="str">
        <f t="shared" si="55"/>
        <v/>
      </c>
      <c r="BM71" s="105" t="str">
        <f>IF(OR(B71="",'Marks Entry'!BY71=""),"",'Marks Entry'!BY71)</f>
        <v/>
      </c>
      <c r="BN71" s="105" t="str">
        <f>IF(OR(B71="",'Marks Entry'!BZ71=""),"",'Marks Entry'!BZ71)</f>
        <v/>
      </c>
      <c r="BO71" s="105" t="str">
        <f>IF('Marks Entry'!BC71="","",'Marks Entry'!BC71)</f>
        <v/>
      </c>
      <c r="BP71" s="105" t="str">
        <f>IF('Marks Entry'!BD71="","",'Marks Entry'!BD71)</f>
        <v/>
      </c>
      <c r="BQ71" s="105" t="str">
        <f>IF(AND('Marks Entry'!BE71="",'Marks Entry'!BF71=""),"",SUM('Marks Entry'!BE71:BF71))</f>
        <v/>
      </c>
      <c r="BR71" s="105" t="str">
        <f>IF(AND('Marks Entry'!BG71="",'Marks Entry'!BH71=""),"",SUM('Marks Entry'!BG71:BH71))</f>
        <v/>
      </c>
      <c r="BS71" s="105" t="str">
        <f t="shared" si="56"/>
        <v/>
      </c>
      <c r="BT71" s="105" t="str">
        <f t="shared" si="57"/>
        <v/>
      </c>
      <c r="BU71" s="105" t="str">
        <f t="shared" si="58"/>
        <v/>
      </c>
      <c r="BV71" s="105" t="str">
        <f>IF('Marks Entry'!BJ71="","",'Marks Entry'!BJ71)</f>
        <v/>
      </c>
      <c r="BW71" s="105" t="str">
        <f>IF('Marks Entry'!BK71="","",'Marks Entry'!BK71)</f>
        <v/>
      </c>
      <c r="BX71" s="105" t="str">
        <f>IF(AND('Marks Entry'!BL71="",'Marks Entry'!BM71=""),"",SUM('Marks Entry'!BL71:BM71))</f>
        <v/>
      </c>
      <c r="BY71" s="105" t="str">
        <f>IF(AND('Marks Entry'!BN71="",'Marks Entry'!BO71=""),"",SUM('Marks Entry'!BN71:BO71))</f>
        <v/>
      </c>
      <c r="BZ71" s="105" t="str">
        <f t="shared" si="59"/>
        <v/>
      </c>
      <c r="CA71" s="105" t="str">
        <f t="shared" si="60"/>
        <v/>
      </c>
      <c r="CB71" s="105" t="str">
        <f t="shared" si="61"/>
        <v/>
      </c>
      <c r="CC71" s="105" t="str">
        <f>IF('Marks Entry'!BQ71="","",'Marks Entry'!BQ71)</f>
        <v/>
      </c>
      <c r="CD71" s="105" t="str">
        <f>IF('Marks Entry'!BR71="","",'Marks Entry'!BR71)</f>
        <v/>
      </c>
      <c r="CE71" s="105" t="str">
        <f>IF(AND('Marks Entry'!BS71="",'Marks Entry'!BT71=""),"",SUM('Marks Entry'!BS71:BT71))</f>
        <v/>
      </c>
      <c r="CF71" s="105" t="str">
        <f>IF(AND('Marks Entry'!BU71="",'Marks Entry'!BV71=""),"",SUM('Marks Entry'!BU71:BV71))</f>
        <v/>
      </c>
      <c r="CG71" s="105" t="str">
        <f t="shared" si="62"/>
        <v/>
      </c>
      <c r="CH71" s="105" t="str">
        <f t="shared" si="63"/>
        <v/>
      </c>
      <c r="CI71" s="105" t="str">
        <f t="shared" si="64"/>
        <v/>
      </c>
      <c r="CJ71" s="81"/>
      <c r="CK71" s="50" t="str">
        <f t="shared" si="73"/>
        <v/>
      </c>
      <c r="CM71" s="105" t="str">
        <f t="shared" si="74"/>
        <v/>
      </c>
      <c r="CN71" s="105" t="str">
        <f t="shared" si="75"/>
        <v/>
      </c>
      <c r="CO71" s="105" t="str">
        <f t="shared" si="76"/>
        <v/>
      </c>
      <c r="CP71" s="105" t="str">
        <f t="shared" si="77"/>
        <v/>
      </c>
      <c r="CQ71" s="105" t="str">
        <f t="shared" si="78"/>
        <v/>
      </c>
      <c r="CS71" s="105">
        <f t="shared" si="79"/>
        <v>0</v>
      </c>
      <c r="CT71" s="105">
        <f t="shared" si="80"/>
        <v>0</v>
      </c>
      <c r="CU71" s="105">
        <f t="shared" si="81"/>
        <v>0</v>
      </c>
      <c r="CV71" s="105">
        <f t="shared" si="82"/>
        <v>0</v>
      </c>
      <c r="CW71" s="81"/>
      <c r="CX71" s="105" t="str">
        <f t="shared" si="83"/>
        <v/>
      </c>
      <c r="CY71" s="105" t="str">
        <f t="shared" si="84"/>
        <v/>
      </c>
      <c r="CZ71" s="105" t="str">
        <f t="shared" si="85"/>
        <v/>
      </c>
      <c r="DA71" s="105" t="str">
        <f t="shared" si="86"/>
        <v/>
      </c>
      <c r="DB71" s="105" t="str">
        <f t="shared" si="87"/>
        <v/>
      </c>
      <c r="DD71" s="105" t="str">
        <f t="shared" si="88"/>
        <v/>
      </c>
      <c r="DE71" s="105" t="str">
        <f t="shared" si="89"/>
        <v/>
      </c>
      <c r="DF71" s="105" t="str">
        <f t="shared" si="90"/>
        <v/>
      </c>
      <c r="DG71" s="105" t="str">
        <f t="shared" si="91"/>
        <v/>
      </c>
      <c r="DH71" s="105" t="str">
        <f t="shared" si="92"/>
        <v/>
      </c>
      <c r="DI71" s="105" t="str">
        <f t="shared" si="93"/>
        <v/>
      </c>
      <c r="DJ71" s="105" t="str">
        <f t="shared" si="94"/>
        <v/>
      </c>
      <c r="DK71" s="105" t="str">
        <f t="shared" si="95"/>
        <v/>
      </c>
      <c r="DL71" s="105" t="str">
        <f t="shared" si="96"/>
        <v/>
      </c>
      <c r="DM71" s="105" t="str">
        <f t="shared" si="97"/>
        <v/>
      </c>
      <c r="DN71" s="105" t="str">
        <f t="shared" si="98"/>
        <v/>
      </c>
      <c r="DO71" s="105" t="str">
        <f t="shared" si="99"/>
        <v/>
      </c>
      <c r="DP71" s="105" t="str">
        <f t="shared" si="100"/>
        <v/>
      </c>
      <c r="DR71" s="118" t="str">
        <f t="shared" si="65"/>
        <v xml:space="preserve">    </v>
      </c>
      <c r="DS71" s="75"/>
      <c r="DT71" s="119" t="str">
        <f t="shared" si="66"/>
        <v xml:space="preserve">    </v>
      </c>
      <c r="DU71" s="136"/>
      <c r="DV71" s="119" t="str">
        <f t="shared" si="67"/>
        <v xml:space="preserve">    </v>
      </c>
      <c r="DW71" s="75"/>
      <c r="DX71" s="119" t="str">
        <f t="shared" si="68"/>
        <v xml:space="preserve">     </v>
      </c>
      <c r="DY71" s="75"/>
      <c r="DZ71" s="119" t="str">
        <f t="shared" si="69"/>
        <v xml:space="preserve">    </v>
      </c>
    </row>
    <row r="72" spans="1:130" ht="30" customHeight="1" x14ac:dyDescent="0.25">
      <c r="A72" s="105" t="str">
        <f>IF('Marks Entry'!A72="","",'Marks Entry'!A72)</f>
        <v/>
      </c>
      <c r="B72" s="105" t="str">
        <f>IF('Marks Entry'!B72="","",'Marks Entry'!B72)</f>
        <v/>
      </c>
      <c r="C72" s="105" t="str">
        <f>IF('Marks Entry'!C72="","",'Marks Entry'!C72)</f>
        <v/>
      </c>
      <c r="D72" s="48" t="str">
        <f>IF('Marks Entry'!D72="","",'Marks Entry'!D72)</f>
        <v/>
      </c>
      <c r="E72" s="48" t="str">
        <f>IF('Marks Entry'!E72="","",'Marks Entry'!E72)</f>
        <v/>
      </c>
      <c r="F72" s="48" t="str">
        <f>IF('Marks Entry'!F72="","",'Marks Entry'!F72)</f>
        <v/>
      </c>
      <c r="G72" s="105" t="str">
        <f>IF('Marks Entry'!G72="","",'Marks Entry'!G72)</f>
        <v/>
      </c>
      <c r="H72" s="49" t="str">
        <f>IF('Marks Entry'!H72="","",'Marks Entry'!H72)</f>
        <v/>
      </c>
      <c r="I72" s="105" t="str">
        <f>IF('Marks Entry'!I72="","",'Marks Entry'!I72)</f>
        <v/>
      </c>
      <c r="J72" s="105" t="str">
        <f>IF('Marks Entry'!K72="","",'Marks Entry'!K72)</f>
        <v/>
      </c>
      <c r="K72" s="105" t="str">
        <f>IF('Marks Entry'!L72="","",'Marks Entry'!L72)</f>
        <v/>
      </c>
      <c r="L72" s="105" t="str">
        <f>IF(AND('Marks Entry'!M72="",'Marks Entry'!N72=""),"",SUM('Marks Entry'!M72:N72))</f>
        <v/>
      </c>
      <c r="M72" s="105" t="str">
        <f>IF(AND('Marks Entry'!O72="",'Marks Entry'!P72=""),"",SUM('Marks Entry'!O72:P72))</f>
        <v/>
      </c>
      <c r="N72" s="105" t="str">
        <f t="shared" si="70"/>
        <v/>
      </c>
      <c r="O72" s="105" t="str">
        <f t="shared" si="33"/>
        <v/>
      </c>
      <c r="P72" s="105" t="str">
        <f t="shared" si="34"/>
        <v/>
      </c>
      <c r="Q72" s="105" t="str">
        <f>IF('Marks Entry'!R72="","",'Marks Entry'!R72)</f>
        <v/>
      </c>
      <c r="R72" s="105" t="str">
        <f>IF('Marks Entry'!S72="","",'Marks Entry'!S72)</f>
        <v/>
      </c>
      <c r="S72" s="105" t="str">
        <f>IF(AND('Marks Entry'!T72="",'Marks Entry'!U72=""),"",SUM('Marks Entry'!T72:U72))</f>
        <v/>
      </c>
      <c r="T72" s="105" t="str">
        <f>IF(AND('Marks Entry'!V72="",'Marks Entry'!W72=""),"",SUM('Marks Entry'!V72:W72))</f>
        <v/>
      </c>
      <c r="U72" s="105" t="str">
        <f t="shared" si="35"/>
        <v/>
      </c>
      <c r="V72" s="105" t="str">
        <f t="shared" si="36"/>
        <v/>
      </c>
      <c r="W72" s="105" t="str">
        <f t="shared" si="37"/>
        <v/>
      </c>
      <c r="X72" s="47" t="str">
        <f>IF(B72="","",IF('Marks Entry'!Y72="",'Marks Entry'!$Y$4,'Marks Entry'!Y72))</f>
        <v/>
      </c>
      <c r="Y72" s="105" t="str">
        <f>IF('Marks Entry'!Z72="","",'Marks Entry'!Z72)</f>
        <v/>
      </c>
      <c r="Z72" s="105" t="str">
        <f>IF('Marks Entry'!AA72="","",'Marks Entry'!AA72)</f>
        <v/>
      </c>
      <c r="AA72" s="105" t="str">
        <f>IF(AND('Marks Entry'!AB72="",'Marks Entry'!AC72=""),"",SUM('Marks Entry'!AB72:AC72))</f>
        <v/>
      </c>
      <c r="AB72" s="105" t="str">
        <f>IF('Marks Entry'!AD72="","",'Marks Entry'!AD72)</f>
        <v/>
      </c>
      <c r="AC72" s="105" t="str">
        <f t="shared" si="38"/>
        <v/>
      </c>
      <c r="AD72" s="105" t="str">
        <f>IF(AND('Marks Entry'!AE72="",'Marks Entry'!AF72=""),"",SUM('Marks Entry'!AE72:AF72))</f>
        <v/>
      </c>
      <c r="AE72" s="105" t="str">
        <f>IF('Marks Entry'!AG72="","",'Marks Entry'!AG72)</f>
        <v/>
      </c>
      <c r="AF72" s="105" t="str">
        <f t="shared" si="39"/>
        <v/>
      </c>
      <c r="AG72" s="105" t="str">
        <f t="shared" si="40"/>
        <v/>
      </c>
      <c r="AH72" s="105" t="str">
        <f t="shared" si="41"/>
        <v/>
      </c>
      <c r="AI72" s="105" t="str">
        <f t="shared" si="42"/>
        <v/>
      </c>
      <c r="AJ72" s="47" t="str">
        <f>IF(B72="","",IF('Marks Entry'!AI72="",'Marks Entry'!$AI$4,'Marks Entry'!AI72))</f>
        <v/>
      </c>
      <c r="AK72" s="105" t="str">
        <f>IF('Marks Entry'!AJ72="","",'Marks Entry'!AJ72)</f>
        <v/>
      </c>
      <c r="AL72" s="105" t="str">
        <f>IF('Marks Entry'!AK72="","",'Marks Entry'!AK72)</f>
        <v/>
      </c>
      <c r="AM72" s="105" t="str">
        <f>IF(AND('Marks Entry'!AL72="",'Marks Entry'!AM72=""),"",SUM('Marks Entry'!AL72:AM72))</f>
        <v/>
      </c>
      <c r="AN72" s="105" t="str">
        <f>IF('Marks Entry'!AN72="","",'Marks Entry'!AN72)</f>
        <v/>
      </c>
      <c r="AO72" s="105" t="str">
        <f t="shared" si="43"/>
        <v/>
      </c>
      <c r="AP72" s="105" t="str">
        <f>IF(AND('Marks Entry'!AO72="",'Marks Entry'!AP72=""),"",SUM('Marks Entry'!AO72:AP72))</f>
        <v/>
      </c>
      <c r="AQ72" s="105" t="str">
        <f>IF('Marks Entry'!AQ72="","",'Marks Entry'!AQ72)</f>
        <v/>
      </c>
      <c r="AR72" s="105" t="str">
        <f t="shared" si="44"/>
        <v/>
      </c>
      <c r="AS72" s="105" t="str">
        <f t="shared" si="45"/>
        <v/>
      </c>
      <c r="AT72" s="105" t="str">
        <f t="shared" si="46"/>
        <v/>
      </c>
      <c r="AU72" s="105" t="str">
        <f t="shared" si="47"/>
        <v/>
      </c>
      <c r="AV72" s="47" t="str">
        <f>IF(B72="","",IF('Marks Entry'!AS72="",'Marks Entry'!$AS$4,'Marks Entry'!AS72))</f>
        <v/>
      </c>
      <c r="AW72" s="105" t="str">
        <f>IF('Marks Entry'!AT72="","",'Marks Entry'!AT72)</f>
        <v/>
      </c>
      <c r="AX72" s="105" t="str">
        <f>IF('Marks Entry'!AU72="","",'Marks Entry'!AU72)</f>
        <v/>
      </c>
      <c r="AY72" s="105" t="str">
        <f>IF(AND('Marks Entry'!AV72="",'Marks Entry'!AW72=""),"",SUM('Marks Entry'!AV72:AW72))</f>
        <v/>
      </c>
      <c r="AZ72" s="105" t="str">
        <f>IF('Marks Entry'!AX72="","",'Marks Entry'!AX72)</f>
        <v/>
      </c>
      <c r="BA72" s="105">
        <f t="shared" si="48"/>
        <v>0</v>
      </c>
      <c r="BB72" s="105" t="str">
        <f>IF(AND('Marks Entry'!AY72="",'Marks Entry'!AZ72=""),"",SUM('Marks Entry'!AY72:AZ72))</f>
        <v/>
      </c>
      <c r="BC72" s="105" t="str">
        <f>IF('Marks Entry'!BA72="","",'Marks Entry'!BA72)</f>
        <v/>
      </c>
      <c r="BD72" s="105">
        <f t="shared" si="49"/>
        <v>0</v>
      </c>
      <c r="BE72" s="105">
        <f t="shared" si="50"/>
        <v>0</v>
      </c>
      <c r="BF72" s="105" t="str">
        <f t="shared" si="51"/>
        <v/>
      </c>
      <c r="BG72" s="105" t="str">
        <f t="shared" si="52"/>
        <v/>
      </c>
      <c r="BH72" s="105" t="str">
        <f t="shared" si="53"/>
        <v/>
      </c>
      <c r="BI72" s="50" t="str">
        <f t="shared" si="71"/>
        <v/>
      </c>
      <c r="BJ72" s="47" t="str">
        <f t="shared" si="72"/>
        <v/>
      </c>
      <c r="BK72" s="105" t="str">
        <f t="shared" si="54"/>
        <v/>
      </c>
      <c r="BL72" s="105" t="str">
        <f t="shared" si="55"/>
        <v/>
      </c>
      <c r="BM72" s="105" t="str">
        <f>IF(OR(B72="",'Marks Entry'!BY72=""),"",'Marks Entry'!BY72)</f>
        <v/>
      </c>
      <c r="BN72" s="105" t="str">
        <f>IF(OR(B72="",'Marks Entry'!BZ72=""),"",'Marks Entry'!BZ72)</f>
        <v/>
      </c>
      <c r="BO72" s="105" t="str">
        <f>IF('Marks Entry'!BC72="","",'Marks Entry'!BC72)</f>
        <v/>
      </c>
      <c r="BP72" s="105" t="str">
        <f>IF('Marks Entry'!BD72="","",'Marks Entry'!BD72)</f>
        <v/>
      </c>
      <c r="BQ72" s="105" t="str">
        <f>IF(AND('Marks Entry'!BE72="",'Marks Entry'!BF72=""),"",SUM('Marks Entry'!BE72:BF72))</f>
        <v/>
      </c>
      <c r="BR72" s="105" t="str">
        <f>IF(AND('Marks Entry'!BG72="",'Marks Entry'!BH72=""),"",SUM('Marks Entry'!BG72:BH72))</f>
        <v/>
      </c>
      <c r="BS72" s="105" t="str">
        <f t="shared" si="56"/>
        <v/>
      </c>
      <c r="BT72" s="105" t="str">
        <f t="shared" si="57"/>
        <v/>
      </c>
      <c r="BU72" s="105" t="str">
        <f t="shared" si="58"/>
        <v/>
      </c>
      <c r="BV72" s="105" t="str">
        <f>IF('Marks Entry'!BJ72="","",'Marks Entry'!BJ72)</f>
        <v/>
      </c>
      <c r="BW72" s="105" t="str">
        <f>IF('Marks Entry'!BK72="","",'Marks Entry'!BK72)</f>
        <v/>
      </c>
      <c r="BX72" s="105" t="str">
        <f>IF(AND('Marks Entry'!BL72="",'Marks Entry'!BM72=""),"",SUM('Marks Entry'!BL72:BM72))</f>
        <v/>
      </c>
      <c r="BY72" s="105" t="str">
        <f>IF(AND('Marks Entry'!BN72="",'Marks Entry'!BO72=""),"",SUM('Marks Entry'!BN72:BO72))</f>
        <v/>
      </c>
      <c r="BZ72" s="105" t="str">
        <f t="shared" si="59"/>
        <v/>
      </c>
      <c r="CA72" s="105" t="str">
        <f t="shared" si="60"/>
        <v/>
      </c>
      <c r="CB72" s="105" t="str">
        <f t="shared" si="61"/>
        <v/>
      </c>
      <c r="CC72" s="105" t="str">
        <f>IF('Marks Entry'!BQ72="","",'Marks Entry'!BQ72)</f>
        <v/>
      </c>
      <c r="CD72" s="105" t="str">
        <f>IF('Marks Entry'!BR72="","",'Marks Entry'!BR72)</f>
        <v/>
      </c>
      <c r="CE72" s="105" t="str">
        <f>IF(AND('Marks Entry'!BS72="",'Marks Entry'!BT72=""),"",SUM('Marks Entry'!BS72:BT72))</f>
        <v/>
      </c>
      <c r="CF72" s="105" t="str">
        <f>IF(AND('Marks Entry'!BU72="",'Marks Entry'!BV72=""),"",SUM('Marks Entry'!BU72:BV72))</f>
        <v/>
      </c>
      <c r="CG72" s="105" t="str">
        <f t="shared" si="62"/>
        <v/>
      </c>
      <c r="CH72" s="105" t="str">
        <f t="shared" si="63"/>
        <v/>
      </c>
      <c r="CI72" s="105" t="str">
        <f t="shared" si="64"/>
        <v/>
      </c>
      <c r="CJ72" s="81"/>
      <c r="CK72" s="50" t="str">
        <f t="shared" si="73"/>
        <v/>
      </c>
      <c r="CM72" s="105" t="str">
        <f t="shared" si="74"/>
        <v/>
      </c>
      <c r="CN72" s="105" t="str">
        <f t="shared" si="75"/>
        <v/>
      </c>
      <c r="CO72" s="105" t="str">
        <f t="shared" si="76"/>
        <v/>
      </c>
      <c r="CP72" s="105" t="str">
        <f t="shared" si="77"/>
        <v/>
      </c>
      <c r="CQ72" s="105" t="str">
        <f t="shared" si="78"/>
        <v/>
      </c>
      <c r="CS72" s="105">
        <f t="shared" si="79"/>
        <v>0</v>
      </c>
      <c r="CT72" s="105">
        <f t="shared" si="80"/>
        <v>0</v>
      </c>
      <c r="CU72" s="105">
        <f t="shared" si="81"/>
        <v>0</v>
      </c>
      <c r="CV72" s="105">
        <f t="shared" si="82"/>
        <v>0</v>
      </c>
      <c r="CW72" s="81"/>
      <c r="CX72" s="105" t="str">
        <f t="shared" si="83"/>
        <v/>
      </c>
      <c r="CY72" s="105" t="str">
        <f t="shared" si="84"/>
        <v/>
      </c>
      <c r="CZ72" s="105" t="str">
        <f t="shared" si="85"/>
        <v/>
      </c>
      <c r="DA72" s="105" t="str">
        <f t="shared" si="86"/>
        <v/>
      </c>
      <c r="DB72" s="105" t="str">
        <f t="shared" si="87"/>
        <v/>
      </c>
      <c r="DD72" s="105" t="str">
        <f t="shared" si="88"/>
        <v/>
      </c>
      <c r="DE72" s="105" t="str">
        <f t="shared" si="89"/>
        <v/>
      </c>
      <c r="DF72" s="105" t="str">
        <f t="shared" si="90"/>
        <v/>
      </c>
      <c r="DG72" s="105" t="str">
        <f t="shared" si="91"/>
        <v/>
      </c>
      <c r="DH72" s="105" t="str">
        <f t="shared" si="92"/>
        <v/>
      </c>
      <c r="DI72" s="105" t="str">
        <f t="shared" si="93"/>
        <v/>
      </c>
      <c r="DJ72" s="105" t="str">
        <f t="shared" si="94"/>
        <v/>
      </c>
      <c r="DK72" s="105" t="str">
        <f t="shared" si="95"/>
        <v/>
      </c>
      <c r="DL72" s="105" t="str">
        <f t="shared" si="96"/>
        <v/>
      </c>
      <c r="DM72" s="105" t="str">
        <f t="shared" si="97"/>
        <v/>
      </c>
      <c r="DN72" s="105" t="str">
        <f t="shared" si="98"/>
        <v/>
      </c>
      <c r="DO72" s="105" t="str">
        <f t="shared" si="99"/>
        <v/>
      </c>
      <c r="DP72" s="105" t="str">
        <f t="shared" si="100"/>
        <v/>
      </c>
      <c r="DR72" s="118" t="str">
        <f t="shared" si="65"/>
        <v xml:space="preserve">    </v>
      </c>
      <c r="DS72" s="75"/>
      <c r="DT72" s="119" t="str">
        <f t="shared" si="66"/>
        <v xml:space="preserve">    </v>
      </c>
      <c r="DU72" s="136"/>
      <c r="DV72" s="119" t="str">
        <f t="shared" si="67"/>
        <v xml:space="preserve">    </v>
      </c>
      <c r="DW72" s="75"/>
      <c r="DX72" s="119" t="str">
        <f t="shared" si="68"/>
        <v xml:space="preserve">     </v>
      </c>
      <c r="DY72" s="75"/>
      <c r="DZ72" s="119" t="str">
        <f t="shared" si="69"/>
        <v xml:space="preserve">    </v>
      </c>
    </row>
    <row r="73" spans="1:130" ht="30" customHeight="1" x14ac:dyDescent="0.25">
      <c r="A73" s="105" t="str">
        <f>IF('Marks Entry'!A73="","",'Marks Entry'!A73)</f>
        <v/>
      </c>
      <c r="B73" s="105" t="str">
        <f>IF('Marks Entry'!B73="","",'Marks Entry'!B73)</f>
        <v/>
      </c>
      <c r="C73" s="105" t="str">
        <f>IF('Marks Entry'!C73="","",'Marks Entry'!C73)</f>
        <v/>
      </c>
      <c r="D73" s="48" t="str">
        <f>IF('Marks Entry'!D73="","",'Marks Entry'!D73)</f>
        <v/>
      </c>
      <c r="E73" s="48" t="str">
        <f>IF('Marks Entry'!E73="","",'Marks Entry'!E73)</f>
        <v/>
      </c>
      <c r="F73" s="48" t="str">
        <f>IF('Marks Entry'!F73="","",'Marks Entry'!F73)</f>
        <v/>
      </c>
      <c r="G73" s="105" t="str">
        <f>IF('Marks Entry'!G73="","",'Marks Entry'!G73)</f>
        <v/>
      </c>
      <c r="H73" s="49" t="str">
        <f>IF('Marks Entry'!H73="","",'Marks Entry'!H73)</f>
        <v/>
      </c>
      <c r="I73" s="105" t="str">
        <f>IF('Marks Entry'!I73="","",'Marks Entry'!I73)</f>
        <v/>
      </c>
      <c r="J73" s="105" t="str">
        <f>IF('Marks Entry'!K73="","",'Marks Entry'!K73)</f>
        <v/>
      </c>
      <c r="K73" s="105" t="str">
        <f>IF('Marks Entry'!L73="","",'Marks Entry'!L73)</f>
        <v/>
      </c>
      <c r="L73" s="105" t="str">
        <f>IF(AND('Marks Entry'!M73="",'Marks Entry'!N73=""),"",SUM('Marks Entry'!M73:N73))</f>
        <v/>
      </c>
      <c r="M73" s="105" t="str">
        <f>IF(AND('Marks Entry'!O73="",'Marks Entry'!P73=""),"",SUM('Marks Entry'!O73:P73))</f>
        <v/>
      </c>
      <c r="N73" s="105" t="str">
        <f t="shared" ref="N73:N104" si="101">IF(AND(J73="",K73="",L73="",M73=""),"",SUM(J73:M73))</f>
        <v/>
      </c>
      <c r="O73" s="105" t="str">
        <f t="shared" si="33"/>
        <v/>
      </c>
      <c r="P73" s="105" t="str">
        <f t="shared" si="34"/>
        <v/>
      </c>
      <c r="Q73" s="105" t="str">
        <f>IF('Marks Entry'!R73="","",'Marks Entry'!R73)</f>
        <v/>
      </c>
      <c r="R73" s="105" t="str">
        <f>IF('Marks Entry'!S73="","",'Marks Entry'!S73)</f>
        <v/>
      </c>
      <c r="S73" s="105" t="str">
        <f>IF(AND('Marks Entry'!T73="",'Marks Entry'!U73=""),"",SUM('Marks Entry'!T73:U73))</f>
        <v/>
      </c>
      <c r="T73" s="105" t="str">
        <f>IF(AND('Marks Entry'!V73="",'Marks Entry'!W73=""),"",SUM('Marks Entry'!V73:W73))</f>
        <v/>
      </c>
      <c r="U73" s="105" t="str">
        <f t="shared" si="35"/>
        <v/>
      </c>
      <c r="V73" s="105" t="str">
        <f t="shared" si="36"/>
        <v/>
      </c>
      <c r="W73" s="105" t="str">
        <f t="shared" si="37"/>
        <v/>
      </c>
      <c r="X73" s="47" t="str">
        <f>IF(B73="","",IF('Marks Entry'!Y73="",'Marks Entry'!$Y$4,'Marks Entry'!Y73))</f>
        <v/>
      </c>
      <c r="Y73" s="105" t="str">
        <f>IF('Marks Entry'!Z73="","",'Marks Entry'!Z73)</f>
        <v/>
      </c>
      <c r="Z73" s="105" t="str">
        <f>IF('Marks Entry'!AA73="","",'Marks Entry'!AA73)</f>
        <v/>
      </c>
      <c r="AA73" s="105" t="str">
        <f>IF(AND('Marks Entry'!AB73="",'Marks Entry'!AC73=""),"",SUM('Marks Entry'!AB73:AC73))</f>
        <v/>
      </c>
      <c r="AB73" s="105" t="str">
        <f>IF('Marks Entry'!AD73="","",'Marks Entry'!AD73)</f>
        <v/>
      </c>
      <c r="AC73" s="105" t="str">
        <f t="shared" si="38"/>
        <v/>
      </c>
      <c r="AD73" s="105" t="str">
        <f>IF(AND('Marks Entry'!AE73="",'Marks Entry'!AF73=""),"",SUM('Marks Entry'!AE73:AF73))</f>
        <v/>
      </c>
      <c r="AE73" s="105" t="str">
        <f>IF('Marks Entry'!AG73="","",'Marks Entry'!AG73)</f>
        <v/>
      </c>
      <c r="AF73" s="105" t="str">
        <f t="shared" si="39"/>
        <v/>
      </c>
      <c r="AG73" s="105" t="str">
        <f t="shared" si="40"/>
        <v/>
      </c>
      <c r="AH73" s="105" t="str">
        <f t="shared" si="41"/>
        <v/>
      </c>
      <c r="AI73" s="105" t="str">
        <f t="shared" si="42"/>
        <v/>
      </c>
      <c r="AJ73" s="47" t="str">
        <f>IF(B73="","",IF('Marks Entry'!AI73="",'Marks Entry'!$AI$4,'Marks Entry'!AI73))</f>
        <v/>
      </c>
      <c r="AK73" s="105" t="str">
        <f>IF('Marks Entry'!AJ73="","",'Marks Entry'!AJ73)</f>
        <v/>
      </c>
      <c r="AL73" s="105" t="str">
        <f>IF('Marks Entry'!AK73="","",'Marks Entry'!AK73)</f>
        <v/>
      </c>
      <c r="AM73" s="105" t="str">
        <f>IF(AND('Marks Entry'!AL73="",'Marks Entry'!AM73=""),"",SUM('Marks Entry'!AL73:AM73))</f>
        <v/>
      </c>
      <c r="AN73" s="105" t="str">
        <f>IF('Marks Entry'!AN73="","",'Marks Entry'!AN73)</f>
        <v/>
      </c>
      <c r="AO73" s="105" t="str">
        <f t="shared" si="43"/>
        <v/>
      </c>
      <c r="AP73" s="105" t="str">
        <f>IF(AND('Marks Entry'!AO73="",'Marks Entry'!AP73=""),"",SUM('Marks Entry'!AO73:AP73))</f>
        <v/>
      </c>
      <c r="AQ73" s="105" t="str">
        <f>IF('Marks Entry'!AQ73="","",'Marks Entry'!AQ73)</f>
        <v/>
      </c>
      <c r="AR73" s="105" t="str">
        <f t="shared" si="44"/>
        <v/>
      </c>
      <c r="AS73" s="105" t="str">
        <f t="shared" si="45"/>
        <v/>
      </c>
      <c r="AT73" s="105" t="str">
        <f t="shared" si="46"/>
        <v/>
      </c>
      <c r="AU73" s="105" t="str">
        <f t="shared" si="47"/>
        <v/>
      </c>
      <c r="AV73" s="47" t="str">
        <f>IF(B73="","",IF('Marks Entry'!AS73="",'Marks Entry'!$AS$4,'Marks Entry'!AS73))</f>
        <v/>
      </c>
      <c r="AW73" s="105" t="str">
        <f>IF('Marks Entry'!AT73="","",'Marks Entry'!AT73)</f>
        <v/>
      </c>
      <c r="AX73" s="105" t="str">
        <f>IF('Marks Entry'!AU73="","",'Marks Entry'!AU73)</f>
        <v/>
      </c>
      <c r="AY73" s="105" t="str">
        <f>IF(AND('Marks Entry'!AV73="",'Marks Entry'!AW73=""),"",SUM('Marks Entry'!AV73:AW73))</f>
        <v/>
      </c>
      <c r="AZ73" s="105" t="str">
        <f>IF('Marks Entry'!AX73="","",'Marks Entry'!AX73)</f>
        <v/>
      </c>
      <c r="BA73" s="105">
        <f t="shared" si="48"/>
        <v>0</v>
      </c>
      <c r="BB73" s="105" t="str">
        <f>IF(AND('Marks Entry'!AY73="",'Marks Entry'!AZ73=""),"",SUM('Marks Entry'!AY73:AZ73))</f>
        <v/>
      </c>
      <c r="BC73" s="105" t="str">
        <f>IF('Marks Entry'!BA73="","",'Marks Entry'!BA73)</f>
        <v/>
      </c>
      <c r="BD73" s="105">
        <f t="shared" si="49"/>
        <v>0</v>
      </c>
      <c r="BE73" s="105">
        <f t="shared" si="50"/>
        <v>0</v>
      </c>
      <c r="BF73" s="105" t="str">
        <f t="shared" si="51"/>
        <v/>
      </c>
      <c r="BG73" s="105" t="str">
        <f t="shared" si="52"/>
        <v/>
      </c>
      <c r="BH73" s="105" t="str">
        <f t="shared" si="53"/>
        <v/>
      </c>
      <c r="BI73" s="50" t="str">
        <f t="shared" ref="BI73:BI104" si="102">IF(OR(B73="",B73="NSO",BH73=0),"",BH73/1000)</f>
        <v/>
      </c>
      <c r="BJ73" s="47" t="str">
        <f t="shared" ref="BJ73:BJ109" si="103">IF($B73="NSO","NSO",IF(OR($B73="",$B73=0,M73="",T73="",AD73="",AP73="",BB73=""),"",IF(OR(CS73&gt;0,(CT73+CU73+CV73)&gt;2),"FAIL",IF(OR(CT73&gt;0,CU73&gt;1),"SUPP.",IF(AND(CU73&gt;0,CV73&gt;0),"SUPP.",IF((CU73+CV73),"Passed with Grace","PASS"))))))</f>
        <v/>
      </c>
      <c r="BK73" s="105" t="str">
        <f t="shared" si="54"/>
        <v/>
      </c>
      <c r="BL73" s="105" t="str">
        <f t="shared" si="55"/>
        <v/>
      </c>
      <c r="BM73" s="105" t="str">
        <f>IF(OR(B73="",'Marks Entry'!BY73=""),"",'Marks Entry'!BY73)</f>
        <v/>
      </c>
      <c r="BN73" s="105" t="str">
        <f>IF(OR(B73="",'Marks Entry'!BZ73=""),"",'Marks Entry'!BZ73)</f>
        <v/>
      </c>
      <c r="BO73" s="105" t="str">
        <f>IF('Marks Entry'!BC73="","",'Marks Entry'!BC73)</f>
        <v/>
      </c>
      <c r="BP73" s="105" t="str">
        <f>IF('Marks Entry'!BD73="","",'Marks Entry'!BD73)</f>
        <v/>
      </c>
      <c r="BQ73" s="105" t="str">
        <f>IF(AND('Marks Entry'!BE73="",'Marks Entry'!BF73=""),"",SUM('Marks Entry'!BE73:BF73))</f>
        <v/>
      </c>
      <c r="BR73" s="105" t="str">
        <f>IF(AND('Marks Entry'!BG73="",'Marks Entry'!BH73=""),"",SUM('Marks Entry'!BG73:BH73))</f>
        <v/>
      </c>
      <c r="BS73" s="105" t="str">
        <f t="shared" si="56"/>
        <v/>
      </c>
      <c r="BT73" s="105" t="str">
        <f t="shared" si="57"/>
        <v/>
      </c>
      <c r="BU73" s="105" t="str">
        <f t="shared" si="58"/>
        <v/>
      </c>
      <c r="BV73" s="105" t="str">
        <f>IF('Marks Entry'!BJ73="","",'Marks Entry'!BJ73)</f>
        <v/>
      </c>
      <c r="BW73" s="105" t="str">
        <f>IF('Marks Entry'!BK73="","",'Marks Entry'!BK73)</f>
        <v/>
      </c>
      <c r="BX73" s="105" t="str">
        <f>IF(AND('Marks Entry'!BL73="",'Marks Entry'!BM73=""),"",SUM('Marks Entry'!BL73:BM73))</f>
        <v/>
      </c>
      <c r="BY73" s="105" t="str">
        <f>IF(AND('Marks Entry'!BN73="",'Marks Entry'!BO73=""),"",SUM('Marks Entry'!BN73:BO73))</f>
        <v/>
      </c>
      <c r="BZ73" s="105" t="str">
        <f t="shared" si="59"/>
        <v/>
      </c>
      <c r="CA73" s="105" t="str">
        <f t="shared" si="60"/>
        <v/>
      </c>
      <c r="CB73" s="105" t="str">
        <f t="shared" si="61"/>
        <v/>
      </c>
      <c r="CC73" s="105" t="str">
        <f>IF('Marks Entry'!BQ73="","",'Marks Entry'!BQ73)</f>
        <v/>
      </c>
      <c r="CD73" s="105" t="str">
        <f>IF('Marks Entry'!BR73="","",'Marks Entry'!BR73)</f>
        <v/>
      </c>
      <c r="CE73" s="105" t="str">
        <f>IF(AND('Marks Entry'!BS73="",'Marks Entry'!BT73=""),"",SUM('Marks Entry'!BS73:BT73))</f>
        <v/>
      </c>
      <c r="CF73" s="105" t="str">
        <f>IF(AND('Marks Entry'!BU73="",'Marks Entry'!BV73=""),"",SUM('Marks Entry'!BU73:BV73))</f>
        <v/>
      </c>
      <c r="CG73" s="105" t="str">
        <f t="shared" si="62"/>
        <v/>
      </c>
      <c r="CH73" s="105" t="str">
        <f t="shared" si="63"/>
        <v/>
      </c>
      <c r="CI73" s="105" t="str">
        <f t="shared" si="64"/>
        <v/>
      </c>
      <c r="CJ73" s="81"/>
      <c r="CK73" s="50" t="str">
        <f t="shared" ref="CK73:CK109" si="104">IF(OR(BJ73="PASS",BJ73="Passed with Grace"),BI73,"")</f>
        <v/>
      </c>
      <c r="CM73" s="105" t="str">
        <f t="shared" ref="CM73:CM109" si="105">O73</f>
        <v/>
      </c>
      <c r="CN73" s="105" t="str">
        <f t="shared" ref="CN73:CN109" si="106">V73</f>
        <v/>
      </c>
      <c r="CO73" s="105" t="str">
        <f t="shared" ref="CO73:CO109" si="107">AH73</f>
        <v/>
      </c>
      <c r="CP73" s="105" t="str">
        <f t="shared" ref="CP73:CP109" si="108">AT73</f>
        <v/>
      </c>
      <c r="CQ73" s="105" t="str">
        <f t="shared" ref="CQ73:CQ109" si="109">BF73</f>
        <v/>
      </c>
      <c r="CS73" s="105">
        <f t="shared" ref="CS73:CS109" si="110">COUNTIF(CM73:CQ73,"F")</f>
        <v>0</v>
      </c>
      <c r="CT73" s="105">
        <f t="shared" ref="CT73:CT109" si="111">COUNTIF(CM73:CQ73,"S")</f>
        <v>0</v>
      </c>
      <c r="CU73" s="105">
        <f t="shared" ref="CU73:CU109" si="112">COUNTIF(CM73:CQ73,"G1")</f>
        <v>0</v>
      </c>
      <c r="CV73" s="105">
        <f t="shared" ref="CV73:CV109" si="113">COUNTIF(CM73:CQ73,"G2")</f>
        <v>0</v>
      </c>
      <c r="CW73" s="81"/>
      <c r="CX73" s="105" t="str">
        <f t="shared" ref="CX73:CX109" si="114">P73</f>
        <v/>
      </c>
      <c r="CY73" s="105" t="str">
        <f t="shared" ref="CY73:CY109" si="115">W73</f>
        <v/>
      </c>
      <c r="CZ73" s="105" t="str">
        <f t="shared" ref="CZ73:CZ109" si="116">AI73</f>
        <v/>
      </c>
      <c r="DA73" s="105" t="str">
        <f t="shared" ref="DA73:DA109" si="117">AU73</f>
        <v/>
      </c>
      <c r="DB73" s="105" t="str">
        <f t="shared" ref="DB73:DB109" si="118">BG73</f>
        <v/>
      </c>
      <c r="DD73" s="105" t="str">
        <f t="shared" ref="DD73:DD109" si="119">IF(AND(BJ73="FAIL",(OR(CX73="G1",CX73="G2",CX73="S"))),"F",IF(AND(BJ73="FAIL",CX73="RE"),"AB",IF(AND(BJ73="ReExam",(OR(CX73="G1",CX73="G2",CX73="S"))),"S",IF(AND(BJ73="SUPP.",(OR(CX73="G1",CX73="G2"))),"S",IF(AND(BJ73="Passed with Grace",(OR(CX73="G1",CX73="G2"))),"G",CX73)))))</f>
        <v/>
      </c>
      <c r="DE73" s="105" t="str">
        <f t="shared" ref="DE73:DE104" si="120">IF(DD73="G"," + "&amp;ROUNDUP(36%*200-N73,0),"")</f>
        <v/>
      </c>
      <c r="DF73" s="105" t="str">
        <f t="shared" ref="DF73:DF109" si="121">IF(AND(BJ73="FAIL",(OR(CY73="G1",CY73="G2",CY73="S"))),"F",IF(AND(BJ73="FAIL",CY73="RE"),"AB",IF(AND(BJ73="ReExam",(OR(CY73="G1",CY73="G2",CY73="S"))),"S",IF(AND(BJ73="SUPP.",(OR(CY73="G1",CY73="G2"))),"S",IF(AND(BJ73="Passed with Grace",(OR(CY73="G1",CY73="G2"))),"G",CY73)))))</f>
        <v/>
      </c>
      <c r="DG73" s="105" t="str">
        <f t="shared" ref="DG73:DG104" si="122">IF(DF73="G"," + "&amp;ROUNDUP(36%*200-U73,0),"")</f>
        <v/>
      </c>
      <c r="DH73" s="105" t="str">
        <f t="shared" ref="DH73:DH109" si="123">IF(AND(BJ73="FAIL",(OR(CZ73="G1",CZ73="G2",CZ73="S"))),"F",IF(AND(BJ73="FAIL",CZ73="RE"),"AB",IF(AND(BJ73="ReExam",(OR(CZ73="G1",CZ73="G2",CZ73="S"))),"S",IF(AND(BJ73="SUPP.",(OR(CZ73="G1",CZ73="G2"))),"S",IF(AND(BJ73="Passed with Grace",(OR(CZ73="G1",CZ73="G2"))),"G",CZ73)))))</f>
        <v/>
      </c>
      <c r="DI73" s="105" t="str">
        <f t="shared" ref="DI73:DI104" si="124">IF(DH73="G"," + "&amp;ROUNDUP(36%*200-AG73,0),"")</f>
        <v/>
      </c>
      <c r="DJ73" s="105" t="str">
        <f t="shared" ref="DJ73:DJ109" si="125">IF(AND(BJ73="FAIL",(OR(DA73="G1",DA73="G2",DA73="S"))),"F",IF(AND(BJ73="FAIL",DA73="RE"),"AB",IF(AND(BJ73="ReExam",(OR(DA73="G1",DA73="G2",DA73="S"))),"S",IF(AND(BJ73="SUPP.",(OR(DA73="G1",DA73="G2"))),"S",IF(AND(BJ73="Passed with Grace",(OR(DA73="G1",DA73="G2"))),"G",DA73)))))</f>
        <v/>
      </c>
      <c r="DK73" s="105" t="str">
        <f t="shared" ref="DK73:DK104" si="126">IF(DJ73="G"," + "&amp;ROUNDUP(36%*200-AS73,0),"")</f>
        <v/>
      </c>
      <c r="DL73" s="105" t="str">
        <f t="shared" ref="DL73:DL109" si="127">IF(AND(BJ73="FAIL",(OR(DB73="G1",DB73="G2",DB73="S"))),"F",IF(AND(BJ73="FAIL",DB73="RE"),"AB",IF(AND(BJ73="ReExam",(OR(DB73="G1",DB73="G2",DB73="S"))),"S",IF(AND(BJ73="SUPP.",(OR(DB73="G1",DB73="G2"))),"S",IF(AND(BJ73="Passed with Grace",(OR(DB73="G1",DB73="G2"))),"G",DB73)))))</f>
        <v/>
      </c>
      <c r="DM73" s="105" t="str">
        <f t="shared" ref="DM73:DM104" si="128">IF(DL73="G"," + "&amp;ROUNDUP(36%*200-BE73,0),"")</f>
        <v/>
      </c>
      <c r="DN73" s="105" t="str">
        <f t="shared" ref="DN73:DN109" si="129">IF(AND(BJ73="Fail",BS73="ML"),"AB",IF(AND(BJ73="Fail",BU73="RE"),"F",BU73))</f>
        <v/>
      </c>
      <c r="DO73" s="105" t="str">
        <f t="shared" ref="DO73:DO109" si="130">IF(AND(BJ73="Fail",BZ73="ML"),"AB",IF(AND(BJ73="Fail",CB73="RE"),"F",CB73))</f>
        <v/>
      </c>
      <c r="DP73" s="105" t="str">
        <f t="shared" ref="DP73:DP109" si="131">IF(AND(BJ73="Fail",CG73="ML"),"AB",IF(AND(BJ73="Fail",CI73="RE"),"F",CI73))</f>
        <v/>
      </c>
      <c r="DR73" s="118" t="str">
        <f t="shared" si="65"/>
        <v xml:space="preserve">    </v>
      </c>
      <c r="DS73" s="75"/>
      <c r="DT73" s="119" t="str">
        <f t="shared" si="66"/>
        <v xml:space="preserve">    </v>
      </c>
      <c r="DU73" s="136"/>
      <c r="DV73" s="119" t="str">
        <f t="shared" si="67"/>
        <v xml:space="preserve">    </v>
      </c>
      <c r="DW73" s="75"/>
      <c r="DX73" s="119" t="str">
        <f t="shared" si="68"/>
        <v xml:space="preserve">     </v>
      </c>
      <c r="DY73" s="75"/>
      <c r="DZ73" s="119" t="str">
        <f t="shared" si="69"/>
        <v xml:space="preserve">    </v>
      </c>
    </row>
    <row r="74" spans="1:130" ht="30" customHeight="1" x14ac:dyDescent="0.25">
      <c r="A74" s="105" t="str">
        <f>IF('Marks Entry'!A74="","",'Marks Entry'!A74)</f>
        <v/>
      </c>
      <c r="B74" s="105" t="str">
        <f>IF('Marks Entry'!B74="","",'Marks Entry'!B74)</f>
        <v/>
      </c>
      <c r="C74" s="105" t="str">
        <f>IF('Marks Entry'!C74="","",'Marks Entry'!C74)</f>
        <v/>
      </c>
      <c r="D74" s="48" t="str">
        <f>IF('Marks Entry'!D74="","",'Marks Entry'!D74)</f>
        <v/>
      </c>
      <c r="E74" s="48" t="str">
        <f>IF('Marks Entry'!E74="","",'Marks Entry'!E74)</f>
        <v/>
      </c>
      <c r="F74" s="48" t="str">
        <f>IF('Marks Entry'!F74="","",'Marks Entry'!F74)</f>
        <v/>
      </c>
      <c r="G74" s="105" t="str">
        <f>IF('Marks Entry'!G74="","",'Marks Entry'!G74)</f>
        <v/>
      </c>
      <c r="H74" s="49" t="str">
        <f>IF('Marks Entry'!H74="","",'Marks Entry'!H74)</f>
        <v/>
      </c>
      <c r="I74" s="105" t="str">
        <f>IF('Marks Entry'!I74="","",'Marks Entry'!I74)</f>
        <v/>
      </c>
      <c r="J74" s="105" t="str">
        <f>IF('Marks Entry'!K74="","",'Marks Entry'!K74)</f>
        <v/>
      </c>
      <c r="K74" s="105" t="str">
        <f>IF('Marks Entry'!L74="","",'Marks Entry'!L74)</f>
        <v/>
      </c>
      <c r="L74" s="105" t="str">
        <f>IF(AND('Marks Entry'!M74="",'Marks Entry'!N74=""),"",SUM('Marks Entry'!M74:N74))</f>
        <v/>
      </c>
      <c r="M74" s="105" t="str">
        <f>IF(AND('Marks Entry'!O74="",'Marks Entry'!P74=""),"",SUM('Marks Entry'!O74:P74))</f>
        <v/>
      </c>
      <c r="N74" s="105" t="str">
        <f t="shared" si="101"/>
        <v/>
      </c>
      <c r="O74" s="105" t="str">
        <f t="shared" ref="O74:O109" si="132">IF(OR($B74="NSO",$C74="",N74=""),"",IF(AND(N74&gt;=36%*200,M74&gt;=20),"P",IF(AND(N74&gt;=34%*200,M74&gt;=20),"G2",IF(AND(N74&gt;=200*31%,M74&gt;=20),"G1",IF(N74&gt;=200*25%,"S","F")))))</f>
        <v/>
      </c>
      <c r="P74" s="105" t="str">
        <f t="shared" ref="P74:P109" si="133">IF(OR(O74="",O74=0,O74="S",O74="F",O74="AB"),O74,IF(N74&gt;=75%*200,"D",IF(N74&gt;=60%*200,"I",IF(N74&gt;=48%*200,"II",IF(N74&gt;=36%*200,"III",O74)))))</f>
        <v/>
      </c>
      <c r="Q74" s="105" t="str">
        <f>IF('Marks Entry'!R74="","",'Marks Entry'!R74)</f>
        <v/>
      </c>
      <c r="R74" s="105" t="str">
        <f>IF('Marks Entry'!S74="","",'Marks Entry'!S74)</f>
        <v/>
      </c>
      <c r="S74" s="105" t="str">
        <f>IF(AND('Marks Entry'!T74="",'Marks Entry'!U74=""),"",SUM('Marks Entry'!T74:U74))</f>
        <v/>
      </c>
      <c r="T74" s="105" t="str">
        <f>IF(AND('Marks Entry'!V74="",'Marks Entry'!W74=""),"",SUM('Marks Entry'!V74:W74))</f>
        <v/>
      </c>
      <c r="U74" s="105" t="str">
        <f t="shared" ref="U74:U109" si="134">IF(AND(Q74="",R74="",S74="",T74=""),"",SUM(Q74:T74))</f>
        <v/>
      </c>
      <c r="V74" s="105" t="str">
        <f t="shared" ref="V74:V109" si="135">IF(OR($B74="NSO",$C74="",U74=""),"",IF(AND(U74&gt;=36%*200,T74&gt;=20),"P",IF(AND(U74&gt;=34%*200,T74&gt;=20),"G2",IF(AND(U74&gt;=200*31%,T74&gt;=20),"G1",IF(U74&gt;=200*25%,"S","F")))))</f>
        <v/>
      </c>
      <c r="W74" s="105" t="str">
        <f t="shared" ref="W74:W109" si="136">IF(OR(V74="",V74=0,V74="S",V74="F",V74="AB"),V74,IF(U74&gt;=75%*200,"D",IF(U74&gt;=60%*200,"I",IF(U74&gt;=48%*200,"II",IF(U74&gt;=36%*200,"III",V74)))))</f>
        <v/>
      </c>
      <c r="X74" s="47" t="str">
        <f>IF(B74="","",IF('Marks Entry'!Y74="",'Marks Entry'!$Y$4,'Marks Entry'!Y74))</f>
        <v/>
      </c>
      <c r="Y74" s="105" t="str">
        <f>IF('Marks Entry'!Z74="","",'Marks Entry'!Z74)</f>
        <v/>
      </c>
      <c r="Z74" s="105" t="str">
        <f>IF('Marks Entry'!AA74="","",'Marks Entry'!AA74)</f>
        <v/>
      </c>
      <c r="AA74" s="105" t="str">
        <f>IF(AND('Marks Entry'!AB74="",'Marks Entry'!AC74=""),"",SUM('Marks Entry'!AB74:AC74))</f>
        <v/>
      </c>
      <c r="AB74" s="105" t="str">
        <f>IF('Marks Entry'!AD74="","",'Marks Entry'!AD74)</f>
        <v/>
      </c>
      <c r="AC74" s="105" t="str">
        <f t="shared" ref="AC74:AC109" si="137">IF(AND(AA74="",AB74=""),"",IF(AND(AA74="ml",AB74="ml"),"ml",IF(AND(AA74="ab",AB74="ab"),"ab",SUM(AA74:AB74))))</f>
        <v/>
      </c>
      <c r="AD74" s="105" t="str">
        <f>IF(AND('Marks Entry'!AE74="",'Marks Entry'!AF74=""),"",SUM('Marks Entry'!AE74:AF74))</f>
        <v/>
      </c>
      <c r="AE74" s="105" t="str">
        <f>IF('Marks Entry'!AG74="","",'Marks Entry'!AG74)</f>
        <v/>
      </c>
      <c r="AF74" s="105" t="str">
        <f t="shared" ref="AF74:AF109" si="138">IF(AND(AD74="",AE74=""),"",IF(AND(AD74="ml",AE74="ml"),"ml",IF(AND(AD74="ab",AE74="ab"),"ab",SUM(AD74:AE74))))</f>
        <v/>
      </c>
      <c r="AG74" s="105" t="str">
        <f t="shared" ref="AG74:AG109" si="139">IF(AND(Y74="",Z74="",AC74="",AF74=""),"",SUM(Y74:Z74,AC74,AF74))</f>
        <v/>
      </c>
      <c r="AH74" s="105" t="str">
        <f t="shared" ref="AH74:AH109" si="140">IF(OR($B74="NSO",$C74="",AG74=""),"",IF(AND(AG74&gt;=36%*200,AD74&gt;=20),"P",IF(AND(AG74&gt;=34%*200,AD74&gt;=20),"G2",IF(AND(AG74&gt;=200*31%,AD74&gt;=20),"G1",IF(AG74&gt;=200*25%,"S","F")))))</f>
        <v/>
      </c>
      <c r="AI74" s="105" t="str">
        <f t="shared" ref="AI74:AI109" si="141">IF(OR(AH74="",AH74=0,AH74="S",AH74="F",AH74="AB"),AH74,IF(AG74&gt;=75%*200,"D",IF(AG74&gt;=60%*200,"I",IF(AG74&gt;=48%*200,"II",IF(AG74&gt;=36%*200,"III",AH74)))))</f>
        <v/>
      </c>
      <c r="AJ74" s="47" t="str">
        <f>IF(B74="","",IF('Marks Entry'!AI74="",'Marks Entry'!$AI$4,'Marks Entry'!AI74))</f>
        <v/>
      </c>
      <c r="AK74" s="105" t="str">
        <f>IF('Marks Entry'!AJ74="","",'Marks Entry'!AJ74)</f>
        <v/>
      </c>
      <c r="AL74" s="105" t="str">
        <f>IF('Marks Entry'!AK74="","",'Marks Entry'!AK74)</f>
        <v/>
      </c>
      <c r="AM74" s="105" t="str">
        <f>IF(AND('Marks Entry'!AL74="",'Marks Entry'!AM74=""),"",SUM('Marks Entry'!AL74:AM74))</f>
        <v/>
      </c>
      <c r="AN74" s="105" t="str">
        <f>IF('Marks Entry'!AN74="","",'Marks Entry'!AN74)</f>
        <v/>
      </c>
      <c r="AO74" s="105" t="str">
        <f t="shared" ref="AO74:AO109" si="142">IF(AND(AM74="",AN74=""),"",IF(AND(AM74="ml",AN74="ml"),"ml",IF(AND(AM74="ab",AN74="ab"),"ab",SUM(AM74:AN74))))</f>
        <v/>
      </c>
      <c r="AP74" s="105" t="str">
        <f>IF(AND('Marks Entry'!AO74="",'Marks Entry'!AP74=""),"",SUM('Marks Entry'!AO74:AP74))</f>
        <v/>
      </c>
      <c r="AQ74" s="105" t="str">
        <f>IF('Marks Entry'!AQ74="","",'Marks Entry'!AQ74)</f>
        <v/>
      </c>
      <c r="AR74" s="105" t="str">
        <f t="shared" ref="AR74:AR109" si="143">IF(AND(AP74="",AQ74=""),"",IF(AND(AP74="ml",AQ74="ml"),"ml",IF(AND(AP74="ab",AQ74="ab"),"ab",SUM(AP74:AQ74))))</f>
        <v/>
      </c>
      <c r="AS74" s="105" t="str">
        <f t="shared" ref="AS74:AS109" si="144">IF(AND(AK74="",AL74="",AO74="",AR74=""),"",SUM(AK74:AL74,AO74,AR74))</f>
        <v/>
      </c>
      <c r="AT74" s="105" t="str">
        <f t="shared" ref="AT74:AT109" si="145">IF(OR($B74="NSO",$C74="",AS74=""),"",IF(AND(AS74&gt;=36%*200,AP74&gt;=20),"P",IF(AND(AS74&gt;=34%*200,AP74&gt;=20),"G2",IF(AND(AS74&gt;=200*31%,AP74&gt;=20),"G1",IF(AS74&gt;=200*25%,"S","F")))))</f>
        <v/>
      </c>
      <c r="AU74" s="105" t="str">
        <f t="shared" ref="AU74:AU109" si="146">IF(OR(AT74="",AT74=0,AT74="S",AT74="F",AT74="AB"),AT74,IF(AS74&gt;=75%*200,"D",IF(AS74&gt;=60%*200,"I",IF(AS74&gt;=48%*200,"II",IF(AS74&gt;=36%*200,"III",AT74)))))</f>
        <v/>
      </c>
      <c r="AV74" s="47" t="str">
        <f>IF(B74="","",IF('Marks Entry'!AS74="",'Marks Entry'!$AS$4,'Marks Entry'!AS74))</f>
        <v/>
      </c>
      <c r="AW74" s="105" t="str">
        <f>IF('Marks Entry'!AT74="","",'Marks Entry'!AT74)</f>
        <v/>
      </c>
      <c r="AX74" s="105" t="str">
        <f>IF('Marks Entry'!AU74="","",'Marks Entry'!AU74)</f>
        <v/>
      </c>
      <c r="AY74" s="105" t="str">
        <f>IF(AND('Marks Entry'!AV74="",'Marks Entry'!AW74=""),"",SUM('Marks Entry'!AV74:AW74))</f>
        <v/>
      </c>
      <c r="AZ74" s="105" t="str">
        <f>IF('Marks Entry'!AX74="","",'Marks Entry'!AX74)</f>
        <v/>
      </c>
      <c r="BA74" s="105">
        <f t="shared" ref="BA74:BA109" si="147">SUM(AY74:AZ74)</f>
        <v>0</v>
      </c>
      <c r="BB74" s="105" t="str">
        <f>IF(AND('Marks Entry'!AY74="",'Marks Entry'!AZ74=""),"",SUM('Marks Entry'!AY74:AZ74))</f>
        <v/>
      </c>
      <c r="BC74" s="105" t="str">
        <f>IF('Marks Entry'!BA74="","",'Marks Entry'!BA74)</f>
        <v/>
      </c>
      <c r="BD74" s="105">
        <f t="shared" ref="BD74:BD109" si="148">SUM(BB74:BC74)</f>
        <v>0</v>
      </c>
      <c r="BE74" s="105">
        <f t="shared" ref="BE74:BE109" si="149">IF(AND(AW74="",AX74="",BA74="",BD74=""),"",SUM(AW74:AX74,BA74,BD74))</f>
        <v>0</v>
      </c>
      <c r="BF74" s="105" t="str">
        <f t="shared" ref="BF74:BF109" si="150">IF(OR($B74="NSO",$C74="",BE74=""),"",IF(AND(BE74&gt;=36%*200,BB74&gt;=20),"P",IF(AND(BE74&gt;=34%*200,BB74&gt;=20),"G2",IF(AND(BE74&gt;=200*31%,BB74&gt;=20),"G1",IF(BE74&gt;=200*25%,"S","F")))))</f>
        <v/>
      </c>
      <c r="BG74" s="105" t="str">
        <f t="shared" ref="BG74:BG109" si="151">IF(OR(BF74="",BF74=0,BF74="S",BF74="F",BF74="AB"),BF74,IF(BE74&gt;=75%*200,"D",IF(BE74&gt;=60%*200,"I",IF(BE74&gt;=48%*200,"II",IF(BE74&gt;=36%*200,"III",BF74)))))</f>
        <v/>
      </c>
      <c r="BH74" s="105" t="str">
        <f t="shared" ref="BH74:BH109" si="152">IF(OR(B74="",B74="NSO"),"",SUM(N74,U74,AG74,AS74,BE74))</f>
        <v/>
      </c>
      <c r="BI74" s="50" t="str">
        <f t="shared" si="102"/>
        <v/>
      </c>
      <c r="BJ74" s="47" t="str">
        <f t="shared" si="103"/>
        <v/>
      </c>
      <c r="BK74" s="105" t="str">
        <f t="shared" ref="BK74:BK109" si="153">IF(AND(BI74&gt;=60%,BJ74="PASS"),"1st",IF(AND(BI74&gt;=60%,BJ74="Passed with Grace"),"1st",IF(AND(BI74&gt;=48%,BJ74="PASS"),"2nd",IF(AND(BI74&gt;=48%,BJ74="Passed with Grace"),"2nd",IF(OR(BJ74="PASS",BJ74="Passed with Grace"),"3rd","")))))</f>
        <v/>
      </c>
      <c r="BL74" s="105" t="str">
        <f t="shared" ref="BL74:BL109" si="154">IF(CK74="","",SUMPRODUCT((CK74&lt;CK$9:CK$109)/COUNTIF(CK$9:CK$109,CK$9:CK$109)))</f>
        <v/>
      </c>
      <c r="BM74" s="105" t="str">
        <f>IF(OR(B74="",'Marks Entry'!BY74=""),"",'Marks Entry'!BY74)</f>
        <v/>
      </c>
      <c r="BN74" s="105" t="str">
        <f>IF(OR(B74="",'Marks Entry'!BZ74=""),"",'Marks Entry'!BZ74)</f>
        <v/>
      </c>
      <c r="BO74" s="105" t="str">
        <f>IF('Marks Entry'!BC74="","",'Marks Entry'!BC74)</f>
        <v/>
      </c>
      <c r="BP74" s="105" t="str">
        <f>IF('Marks Entry'!BD74="","",'Marks Entry'!BD74)</f>
        <v/>
      </c>
      <c r="BQ74" s="105" t="str">
        <f>IF(AND('Marks Entry'!BE74="",'Marks Entry'!BF74=""),"",SUM('Marks Entry'!BE74:BF74))</f>
        <v/>
      </c>
      <c r="BR74" s="105" t="str">
        <f>IF(AND('Marks Entry'!BG74="",'Marks Entry'!BH74=""),"",SUM('Marks Entry'!BG74:BH74))</f>
        <v/>
      </c>
      <c r="BS74" s="105" t="str">
        <f t="shared" ref="BS74:BS109" si="155">IF(AND(BO74="",BP74="",BQ74="",BR74=""),"",SUM(BO74:BR74))</f>
        <v/>
      </c>
      <c r="BT74" s="105" t="str">
        <f t="shared" ref="BT74:BT109" si="156">IF(OR($B74="NSO",$B74="",BS74=""),"",IF(AND(BS74&gt;=36%*200,BR74&gt;=20),"P","S"))</f>
        <v/>
      </c>
      <c r="BU74" s="105" t="str">
        <f t="shared" ref="BU74:BU109" si="157">IF(OR(BT74="RE",BT74="",BT74="F",BT74="AB"),BT74,IF(BS74&gt;=80%*200,"A",IF(BS74&gt;=60%*200,"B",IF(BS74&gt;=40%*200,"C","D"))))</f>
        <v/>
      </c>
      <c r="BV74" s="105" t="str">
        <f>IF('Marks Entry'!BJ74="","",'Marks Entry'!BJ74)</f>
        <v/>
      </c>
      <c r="BW74" s="105" t="str">
        <f>IF('Marks Entry'!BK74="","",'Marks Entry'!BK74)</f>
        <v/>
      </c>
      <c r="BX74" s="105" t="str">
        <f>IF(AND('Marks Entry'!BL74="",'Marks Entry'!BM74=""),"",SUM('Marks Entry'!BL74:BM74))</f>
        <v/>
      </c>
      <c r="BY74" s="105" t="str">
        <f>IF(AND('Marks Entry'!BN74="",'Marks Entry'!BO74=""),"",SUM('Marks Entry'!BN74:BO74))</f>
        <v/>
      </c>
      <c r="BZ74" s="105" t="str">
        <f t="shared" ref="BZ74:BZ109" si="158">IF(AND(BV74="",BW74="",BX74="",BY74=""),"",SUM(BV74:BY74))</f>
        <v/>
      </c>
      <c r="CA74" s="105" t="str">
        <f t="shared" ref="CA74:CA109" si="159">IF(OR($B74="NSO",$B74="",BZ74=""),"",IF(AND(BZ74&gt;=36%*200,BY74&gt;=20),"P","S"))</f>
        <v/>
      </c>
      <c r="CB74" s="105" t="str">
        <f t="shared" ref="CB74:CB109" si="160">IF(OR(CA74="RE",CA74="",CA74="F",CA74="AB"),CA74,IF(BZ74&gt;=80%*200,"A",IF(BZ74&gt;=60%*200,"B",IF(BZ74&gt;=40%*200,"C","D"))))</f>
        <v/>
      </c>
      <c r="CC74" s="105" t="str">
        <f>IF('Marks Entry'!BQ74="","",'Marks Entry'!BQ74)</f>
        <v/>
      </c>
      <c r="CD74" s="105" t="str">
        <f>IF('Marks Entry'!BR74="","",'Marks Entry'!BR74)</f>
        <v/>
      </c>
      <c r="CE74" s="105" t="str">
        <f>IF(AND('Marks Entry'!BS74="",'Marks Entry'!BT74=""),"",SUM('Marks Entry'!BS74:BT74))</f>
        <v/>
      </c>
      <c r="CF74" s="105" t="str">
        <f>IF(AND('Marks Entry'!BU74="",'Marks Entry'!BV74=""),"",SUM('Marks Entry'!BU74:BV74))</f>
        <v/>
      </c>
      <c r="CG74" s="105" t="str">
        <f t="shared" ref="CG74:CG109" si="161">IF(AND(CC74="",CD74="",CE74="",CF74=""),"",SUM(CC74:CF74))</f>
        <v/>
      </c>
      <c r="CH74" s="105" t="str">
        <f t="shared" ref="CH74:CH109" si="162">IF(OR($B74="NSO",$B74="",CG74=""),"",IF(AND(CG74&gt;=36%*200,CF74&gt;=20),"P","S"))</f>
        <v/>
      </c>
      <c r="CI74" s="105" t="str">
        <f t="shared" ref="CI74:CI109" si="163">IF(OR(CH74="RE",CH74="",CH74="F",CH74="AB"),CH74,IF(CG74&gt;=80%*200,"A",IF(CG74&gt;=60%*200,"B",IF(CG74&gt;=40%*200,"C","D"))))</f>
        <v/>
      </c>
      <c r="CJ74" s="81"/>
      <c r="CK74" s="50" t="str">
        <f t="shared" si="104"/>
        <v/>
      </c>
      <c r="CM74" s="105" t="str">
        <f t="shared" si="105"/>
        <v/>
      </c>
      <c r="CN74" s="105" t="str">
        <f t="shared" si="106"/>
        <v/>
      </c>
      <c r="CO74" s="105" t="str">
        <f t="shared" si="107"/>
        <v/>
      </c>
      <c r="CP74" s="105" t="str">
        <f t="shared" si="108"/>
        <v/>
      </c>
      <c r="CQ74" s="105" t="str">
        <f t="shared" si="109"/>
        <v/>
      </c>
      <c r="CS74" s="105">
        <f t="shared" si="110"/>
        <v>0</v>
      </c>
      <c r="CT74" s="105">
        <f t="shared" si="111"/>
        <v>0</v>
      </c>
      <c r="CU74" s="105">
        <f t="shared" si="112"/>
        <v>0</v>
      </c>
      <c r="CV74" s="105">
        <f t="shared" si="113"/>
        <v>0</v>
      </c>
      <c r="CW74" s="81"/>
      <c r="CX74" s="105" t="str">
        <f t="shared" si="114"/>
        <v/>
      </c>
      <c r="CY74" s="105" t="str">
        <f t="shared" si="115"/>
        <v/>
      </c>
      <c r="CZ74" s="105" t="str">
        <f t="shared" si="116"/>
        <v/>
      </c>
      <c r="DA74" s="105" t="str">
        <f t="shared" si="117"/>
        <v/>
      </c>
      <c r="DB74" s="105" t="str">
        <f t="shared" si="118"/>
        <v/>
      </c>
      <c r="DD74" s="105" t="str">
        <f t="shared" si="119"/>
        <v/>
      </c>
      <c r="DE74" s="105" t="str">
        <f t="shared" si="120"/>
        <v/>
      </c>
      <c r="DF74" s="105" t="str">
        <f t="shared" si="121"/>
        <v/>
      </c>
      <c r="DG74" s="105" t="str">
        <f t="shared" si="122"/>
        <v/>
      </c>
      <c r="DH74" s="105" t="str">
        <f t="shared" si="123"/>
        <v/>
      </c>
      <c r="DI74" s="105" t="str">
        <f t="shared" si="124"/>
        <v/>
      </c>
      <c r="DJ74" s="105" t="str">
        <f t="shared" si="125"/>
        <v/>
      </c>
      <c r="DK74" s="105" t="str">
        <f t="shared" si="126"/>
        <v/>
      </c>
      <c r="DL74" s="105" t="str">
        <f t="shared" si="127"/>
        <v/>
      </c>
      <c r="DM74" s="105" t="str">
        <f t="shared" si="128"/>
        <v/>
      </c>
      <c r="DN74" s="105" t="str">
        <f t="shared" si="129"/>
        <v/>
      </c>
      <c r="DO74" s="105" t="str">
        <f t="shared" si="130"/>
        <v/>
      </c>
      <c r="DP74" s="105" t="str">
        <f t="shared" si="131"/>
        <v/>
      </c>
      <c r="DR74" s="118" t="str">
        <f t="shared" ref="DR74:DR109" si="164">CONCATENATE(IF(DD74="F",$DD$6,"")," ",IF(DF74="F",$DF$6,"")," ",IF(DH74="F",$DH$6,""),IF(DJ74="F",$DJ$6,"")," ",IF(DL74="F",$DL$6,"")," ")</f>
        <v xml:space="preserve">    </v>
      </c>
      <c r="DS74" s="75"/>
      <c r="DT74" s="119" t="str">
        <f t="shared" ref="DT74:DT109" si="165">CONCATENATE(IF(DD74="S",$DD$6,"")," ",IF(DF74="S",$DF$6,"")," ",IF(DH74="S",$DH$6,""),IF(DJ74="S",$DJ$6,"")," ",IF(DL74="S",$DL$6,"")," ")</f>
        <v xml:space="preserve">    </v>
      </c>
      <c r="DU74" s="136"/>
      <c r="DV74" s="119" t="str">
        <f t="shared" ref="DV74:DV109" si="166">CONCATENATE(IF(DD74="RE",$DD$6,"")," ",IF(DF74="RE",$DF$6,"")," ",IF(DH74="RE",$DH$6,""),IF(DJ74="RE",$DJ$6,"")," ",IF(DL74="RE",$DL$6,"")," ")</f>
        <v xml:space="preserve">    </v>
      </c>
      <c r="DW74" s="75"/>
      <c r="DX74" s="119" t="str">
        <f t="shared" ref="DX74:DX109" si="167">CONCATENATE(IF(DD74="G",CONCATENATE($DD$6,DE74),"")," ",IF(DF74="G",CONCATENATE($DF$6,DG74),"")," ",IF(DH74="G",CONCATENATE($DH$6,DI74),"")," ",IF(DJ74="G",CONCATENATE($DJ$6,DK74),"")," ",IF(DL74="G",CONCATENATE($DL$6,DM74),"")," ")</f>
        <v xml:space="preserve">     </v>
      </c>
      <c r="DY74" s="75"/>
      <c r="DZ74" s="119" t="str">
        <f t="shared" ref="DZ74:DZ109" si="168">CONCATENATE(IF(DD74="D",$DD$6,"")," ",IF(DF74="D",$DF$6,"")," ",IF(DH74="D",$DH$6,""),IF(DJ74="D",$DJ$6,"")," ",IF(DL74="D",$DL$6,"")," ")</f>
        <v xml:space="preserve">    </v>
      </c>
    </row>
    <row r="75" spans="1:130" ht="30" customHeight="1" x14ac:dyDescent="0.25">
      <c r="A75" s="105" t="str">
        <f>IF('Marks Entry'!A75="","",'Marks Entry'!A75)</f>
        <v/>
      </c>
      <c r="B75" s="105" t="str">
        <f>IF('Marks Entry'!B75="","",'Marks Entry'!B75)</f>
        <v/>
      </c>
      <c r="C75" s="105" t="str">
        <f>IF('Marks Entry'!C75="","",'Marks Entry'!C75)</f>
        <v/>
      </c>
      <c r="D75" s="48" t="str">
        <f>IF('Marks Entry'!D75="","",'Marks Entry'!D75)</f>
        <v/>
      </c>
      <c r="E75" s="48" t="str">
        <f>IF('Marks Entry'!E75="","",'Marks Entry'!E75)</f>
        <v/>
      </c>
      <c r="F75" s="48" t="str">
        <f>IF('Marks Entry'!F75="","",'Marks Entry'!F75)</f>
        <v/>
      </c>
      <c r="G75" s="105" t="str">
        <f>IF('Marks Entry'!G75="","",'Marks Entry'!G75)</f>
        <v/>
      </c>
      <c r="H75" s="49" t="str">
        <f>IF('Marks Entry'!H75="","",'Marks Entry'!H75)</f>
        <v/>
      </c>
      <c r="I75" s="105" t="str">
        <f>IF('Marks Entry'!I75="","",'Marks Entry'!I75)</f>
        <v/>
      </c>
      <c r="J75" s="105" t="str">
        <f>IF('Marks Entry'!K75="","",'Marks Entry'!K75)</f>
        <v/>
      </c>
      <c r="K75" s="105" t="str">
        <f>IF('Marks Entry'!L75="","",'Marks Entry'!L75)</f>
        <v/>
      </c>
      <c r="L75" s="105" t="str">
        <f>IF(AND('Marks Entry'!M75="",'Marks Entry'!N75=""),"",SUM('Marks Entry'!M75:N75))</f>
        <v/>
      </c>
      <c r="M75" s="105" t="str">
        <f>IF(AND('Marks Entry'!O75="",'Marks Entry'!P75=""),"",SUM('Marks Entry'!O75:P75))</f>
        <v/>
      </c>
      <c r="N75" s="105" t="str">
        <f t="shared" si="101"/>
        <v/>
      </c>
      <c r="O75" s="105" t="str">
        <f t="shared" si="132"/>
        <v/>
      </c>
      <c r="P75" s="105" t="str">
        <f t="shared" si="133"/>
        <v/>
      </c>
      <c r="Q75" s="105" t="str">
        <f>IF('Marks Entry'!R75="","",'Marks Entry'!R75)</f>
        <v/>
      </c>
      <c r="R75" s="105" t="str">
        <f>IF('Marks Entry'!S75="","",'Marks Entry'!S75)</f>
        <v/>
      </c>
      <c r="S75" s="105" t="str">
        <f>IF(AND('Marks Entry'!T75="",'Marks Entry'!U75=""),"",SUM('Marks Entry'!T75:U75))</f>
        <v/>
      </c>
      <c r="T75" s="105" t="str">
        <f>IF(AND('Marks Entry'!V75="",'Marks Entry'!W75=""),"",SUM('Marks Entry'!V75:W75))</f>
        <v/>
      </c>
      <c r="U75" s="105" t="str">
        <f t="shared" si="134"/>
        <v/>
      </c>
      <c r="V75" s="105" t="str">
        <f t="shared" si="135"/>
        <v/>
      </c>
      <c r="W75" s="105" t="str">
        <f t="shared" si="136"/>
        <v/>
      </c>
      <c r="X75" s="47" t="str">
        <f>IF(B75="","",IF('Marks Entry'!Y75="",'Marks Entry'!$Y$4,'Marks Entry'!Y75))</f>
        <v/>
      </c>
      <c r="Y75" s="105" t="str">
        <f>IF('Marks Entry'!Z75="","",'Marks Entry'!Z75)</f>
        <v/>
      </c>
      <c r="Z75" s="105" t="str">
        <f>IF('Marks Entry'!AA75="","",'Marks Entry'!AA75)</f>
        <v/>
      </c>
      <c r="AA75" s="105" t="str">
        <f>IF(AND('Marks Entry'!AB75="",'Marks Entry'!AC75=""),"",SUM('Marks Entry'!AB75:AC75))</f>
        <v/>
      </c>
      <c r="AB75" s="105" t="str">
        <f>IF('Marks Entry'!AD75="","",'Marks Entry'!AD75)</f>
        <v/>
      </c>
      <c r="AC75" s="105" t="str">
        <f t="shared" si="137"/>
        <v/>
      </c>
      <c r="AD75" s="105" t="str">
        <f>IF(AND('Marks Entry'!AE75="",'Marks Entry'!AF75=""),"",SUM('Marks Entry'!AE75:AF75))</f>
        <v/>
      </c>
      <c r="AE75" s="105" t="str">
        <f>IF('Marks Entry'!AG75="","",'Marks Entry'!AG75)</f>
        <v/>
      </c>
      <c r="AF75" s="105" t="str">
        <f t="shared" si="138"/>
        <v/>
      </c>
      <c r="AG75" s="105" t="str">
        <f t="shared" si="139"/>
        <v/>
      </c>
      <c r="AH75" s="105" t="str">
        <f t="shared" si="140"/>
        <v/>
      </c>
      <c r="AI75" s="105" t="str">
        <f t="shared" si="141"/>
        <v/>
      </c>
      <c r="AJ75" s="47" t="str">
        <f>IF(B75="","",IF('Marks Entry'!AI75="",'Marks Entry'!$AI$4,'Marks Entry'!AI75))</f>
        <v/>
      </c>
      <c r="AK75" s="105" t="str">
        <f>IF('Marks Entry'!AJ75="","",'Marks Entry'!AJ75)</f>
        <v/>
      </c>
      <c r="AL75" s="105" t="str">
        <f>IF('Marks Entry'!AK75="","",'Marks Entry'!AK75)</f>
        <v/>
      </c>
      <c r="AM75" s="105" t="str">
        <f>IF(AND('Marks Entry'!AL75="",'Marks Entry'!AM75=""),"",SUM('Marks Entry'!AL75:AM75))</f>
        <v/>
      </c>
      <c r="AN75" s="105" t="str">
        <f>IF('Marks Entry'!AN75="","",'Marks Entry'!AN75)</f>
        <v/>
      </c>
      <c r="AO75" s="105" t="str">
        <f t="shared" si="142"/>
        <v/>
      </c>
      <c r="AP75" s="105" t="str">
        <f>IF(AND('Marks Entry'!AO75="",'Marks Entry'!AP75=""),"",SUM('Marks Entry'!AO75:AP75))</f>
        <v/>
      </c>
      <c r="AQ75" s="105" t="str">
        <f>IF('Marks Entry'!AQ75="","",'Marks Entry'!AQ75)</f>
        <v/>
      </c>
      <c r="AR75" s="105" t="str">
        <f t="shared" si="143"/>
        <v/>
      </c>
      <c r="AS75" s="105" t="str">
        <f t="shared" si="144"/>
        <v/>
      </c>
      <c r="AT75" s="105" t="str">
        <f t="shared" si="145"/>
        <v/>
      </c>
      <c r="AU75" s="105" t="str">
        <f t="shared" si="146"/>
        <v/>
      </c>
      <c r="AV75" s="47" t="str">
        <f>IF(B75="","",IF('Marks Entry'!AS75="",'Marks Entry'!$AS$4,'Marks Entry'!AS75))</f>
        <v/>
      </c>
      <c r="AW75" s="105" t="str">
        <f>IF('Marks Entry'!AT75="","",'Marks Entry'!AT75)</f>
        <v/>
      </c>
      <c r="AX75" s="105" t="str">
        <f>IF('Marks Entry'!AU75="","",'Marks Entry'!AU75)</f>
        <v/>
      </c>
      <c r="AY75" s="105" t="str">
        <f>IF(AND('Marks Entry'!AV75="",'Marks Entry'!AW75=""),"",SUM('Marks Entry'!AV75:AW75))</f>
        <v/>
      </c>
      <c r="AZ75" s="105" t="str">
        <f>IF('Marks Entry'!AX75="","",'Marks Entry'!AX75)</f>
        <v/>
      </c>
      <c r="BA75" s="105">
        <f t="shared" si="147"/>
        <v>0</v>
      </c>
      <c r="BB75" s="105" t="str">
        <f>IF(AND('Marks Entry'!AY75="",'Marks Entry'!AZ75=""),"",SUM('Marks Entry'!AY75:AZ75))</f>
        <v/>
      </c>
      <c r="BC75" s="105" t="str">
        <f>IF('Marks Entry'!BA75="","",'Marks Entry'!BA75)</f>
        <v/>
      </c>
      <c r="BD75" s="105">
        <f t="shared" si="148"/>
        <v>0</v>
      </c>
      <c r="BE75" s="105">
        <f t="shared" si="149"/>
        <v>0</v>
      </c>
      <c r="BF75" s="105" t="str">
        <f t="shared" si="150"/>
        <v/>
      </c>
      <c r="BG75" s="105" t="str">
        <f t="shared" si="151"/>
        <v/>
      </c>
      <c r="BH75" s="105" t="str">
        <f t="shared" si="152"/>
        <v/>
      </c>
      <c r="BI75" s="50" t="str">
        <f t="shared" si="102"/>
        <v/>
      </c>
      <c r="BJ75" s="47" t="str">
        <f t="shared" si="103"/>
        <v/>
      </c>
      <c r="BK75" s="105" t="str">
        <f t="shared" si="153"/>
        <v/>
      </c>
      <c r="BL75" s="105" t="str">
        <f t="shared" si="154"/>
        <v/>
      </c>
      <c r="BM75" s="105" t="str">
        <f>IF(OR(B75="",'Marks Entry'!BY75=""),"",'Marks Entry'!BY75)</f>
        <v/>
      </c>
      <c r="BN75" s="105" t="str">
        <f>IF(OR(B75="",'Marks Entry'!BZ75=""),"",'Marks Entry'!BZ75)</f>
        <v/>
      </c>
      <c r="BO75" s="105" t="str">
        <f>IF('Marks Entry'!BC75="","",'Marks Entry'!BC75)</f>
        <v/>
      </c>
      <c r="BP75" s="105" t="str">
        <f>IF('Marks Entry'!BD75="","",'Marks Entry'!BD75)</f>
        <v/>
      </c>
      <c r="BQ75" s="105" t="str">
        <f>IF(AND('Marks Entry'!BE75="",'Marks Entry'!BF75=""),"",SUM('Marks Entry'!BE75:BF75))</f>
        <v/>
      </c>
      <c r="BR75" s="105" t="str">
        <f>IF(AND('Marks Entry'!BG75="",'Marks Entry'!BH75=""),"",SUM('Marks Entry'!BG75:BH75))</f>
        <v/>
      </c>
      <c r="BS75" s="105" t="str">
        <f t="shared" si="155"/>
        <v/>
      </c>
      <c r="BT75" s="105" t="str">
        <f t="shared" si="156"/>
        <v/>
      </c>
      <c r="BU75" s="105" t="str">
        <f t="shared" si="157"/>
        <v/>
      </c>
      <c r="BV75" s="105" t="str">
        <f>IF('Marks Entry'!BJ75="","",'Marks Entry'!BJ75)</f>
        <v/>
      </c>
      <c r="BW75" s="105" t="str">
        <f>IF('Marks Entry'!BK75="","",'Marks Entry'!BK75)</f>
        <v/>
      </c>
      <c r="BX75" s="105" t="str">
        <f>IF(AND('Marks Entry'!BL75="",'Marks Entry'!BM75=""),"",SUM('Marks Entry'!BL75:BM75))</f>
        <v/>
      </c>
      <c r="BY75" s="105" t="str">
        <f>IF(AND('Marks Entry'!BN75="",'Marks Entry'!BO75=""),"",SUM('Marks Entry'!BN75:BO75))</f>
        <v/>
      </c>
      <c r="BZ75" s="105" t="str">
        <f t="shared" si="158"/>
        <v/>
      </c>
      <c r="CA75" s="105" t="str">
        <f t="shared" si="159"/>
        <v/>
      </c>
      <c r="CB75" s="105" t="str">
        <f t="shared" si="160"/>
        <v/>
      </c>
      <c r="CC75" s="105" t="str">
        <f>IF('Marks Entry'!BQ75="","",'Marks Entry'!BQ75)</f>
        <v/>
      </c>
      <c r="CD75" s="105" t="str">
        <f>IF('Marks Entry'!BR75="","",'Marks Entry'!BR75)</f>
        <v/>
      </c>
      <c r="CE75" s="105" t="str">
        <f>IF(AND('Marks Entry'!BS75="",'Marks Entry'!BT75=""),"",SUM('Marks Entry'!BS75:BT75))</f>
        <v/>
      </c>
      <c r="CF75" s="105" t="str">
        <f>IF(AND('Marks Entry'!BU75="",'Marks Entry'!BV75=""),"",SUM('Marks Entry'!BU75:BV75))</f>
        <v/>
      </c>
      <c r="CG75" s="105" t="str">
        <f t="shared" si="161"/>
        <v/>
      </c>
      <c r="CH75" s="105" t="str">
        <f t="shared" si="162"/>
        <v/>
      </c>
      <c r="CI75" s="105" t="str">
        <f t="shared" si="163"/>
        <v/>
      </c>
      <c r="CJ75" s="81"/>
      <c r="CK75" s="50" t="str">
        <f t="shared" si="104"/>
        <v/>
      </c>
      <c r="CM75" s="105" t="str">
        <f t="shared" si="105"/>
        <v/>
      </c>
      <c r="CN75" s="105" t="str">
        <f t="shared" si="106"/>
        <v/>
      </c>
      <c r="CO75" s="105" t="str">
        <f t="shared" si="107"/>
        <v/>
      </c>
      <c r="CP75" s="105" t="str">
        <f t="shared" si="108"/>
        <v/>
      </c>
      <c r="CQ75" s="105" t="str">
        <f t="shared" si="109"/>
        <v/>
      </c>
      <c r="CS75" s="105">
        <f t="shared" si="110"/>
        <v>0</v>
      </c>
      <c r="CT75" s="105">
        <f t="shared" si="111"/>
        <v>0</v>
      </c>
      <c r="CU75" s="105">
        <f t="shared" si="112"/>
        <v>0</v>
      </c>
      <c r="CV75" s="105">
        <f t="shared" si="113"/>
        <v>0</v>
      </c>
      <c r="CW75" s="81"/>
      <c r="CX75" s="105" t="str">
        <f t="shared" si="114"/>
        <v/>
      </c>
      <c r="CY75" s="105" t="str">
        <f t="shared" si="115"/>
        <v/>
      </c>
      <c r="CZ75" s="105" t="str">
        <f t="shared" si="116"/>
        <v/>
      </c>
      <c r="DA75" s="105" t="str">
        <f t="shared" si="117"/>
        <v/>
      </c>
      <c r="DB75" s="105" t="str">
        <f t="shared" si="118"/>
        <v/>
      </c>
      <c r="DD75" s="105" t="str">
        <f t="shared" si="119"/>
        <v/>
      </c>
      <c r="DE75" s="105" t="str">
        <f t="shared" si="120"/>
        <v/>
      </c>
      <c r="DF75" s="105" t="str">
        <f t="shared" si="121"/>
        <v/>
      </c>
      <c r="DG75" s="105" t="str">
        <f t="shared" si="122"/>
        <v/>
      </c>
      <c r="DH75" s="105" t="str">
        <f t="shared" si="123"/>
        <v/>
      </c>
      <c r="DI75" s="105" t="str">
        <f t="shared" si="124"/>
        <v/>
      </c>
      <c r="DJ75" s="105" t="str">
        <f t="shared" si="125"/>
        <v/>
      </c>
      <c r="DK75" s="105" t="str">
        <f t="shared" si="126"/>
        <v/>
      </c>
      <c r="DL75" s="105" t="str">
        <f t="shared" si="127"/>
        <v/>
      </c>
      <c r="DM75" s="105" t="str">
        <f t="shared" si="128"/>
        <v/>
      </c>
      <c r="DN75" s="105" t="str">
        <f t="shared" si="129"/>
        <v/>
      </c>
      <c r="DO75" s="105" t="str">
        <f t="shared" si="130"/>
        <v/>
      </c>
      <c r="DP75" s="105" t="str">
        <f t="shared" si="131"/>
        <v/>
      </c>
      <c r="DR75" s="118" t="str">
        <f t="shared" si="164"/>
        <v xml:space="preserve">    </v>
      </c>
      <c r="DS75" s="75"/>
      <c r="DT75" s="119" t="str">
        <f t="shared" si="165"/>
        <v xml:space="preserve">    </v>
      </c>
      <c r="DU75" s="136"/>
      <c r="DV75" s="119" t="str">
        <f t="shared" si="166"/>
        <v xml:space="preserve">    </v>
      </c>
      <c r="DW75" s="75"/>
      <c r="DX75" s="119" t="str">
        <f t="shared" si="167"/>
        <v xml:space="preserve">     </v>
      </c>
      <c r="DY75" s="75"/>
      <c r="DZ75" s="119" t="str">
        <f t="shared" si="168"/>
        <v xml:space="preserve">    </v>
      </c>
    </row>
    <row r="76" spans="1:130" ht="30" customHeight="1" x14ac:dyDescent="0.25">
      <c r="A76" s="105" t="str">
        <f>IF('Marks Entry'!A76="","",'Marks Entry'!A76)</f>
        <v/>
      </c>
      <c r="B76" s="105" t="str">
        <f>IF('Marks Entry'!B76="","",'Marks Entry'!B76)</f>
        <v/>
      </c>
      <c r="C76" s="105" t="str">
        <f>IF('Marks Entry'!C76="","",'Marks Entry'!C76)</f>
        <v/>
      </c>
      <c r="D76" s="48" t="str">
        <f>IF('Marks Entry'!D76="","",'Marks Entry'!D76)</f>
        <v/>
      </c>
      <c r="E76" s="48" t="str">
        <f>IF('Marks Entry'!E76="","",'Marks Entry'!E76)</f>
        <v/>
      </c>
      <c r="F76" s="48" t="str">
        <f>IF('Marks Entry'!F76="","",'Marks Entry'!F76)</f>
        <v/>
      </c>
      <c r="G76" s="105" t="str">
        <f>IF('Marks Entry'!G76="","",'Marks Entry'!G76)</f>
        <v/>
      </c>
      <c r="H76" s="49" t="str">
        <f>IF('Marks Entry'!H76="","",'Marks Entry'!H76)</f>
        <v/>
      </c>
      <c r="I76" s="105" t="str">
        <f>IF('Marks Entry'!I76="","",'Marks Entry'!I76)</f>
        <v/>
      </c>
      <c r="J76" s="105" t="str">
        <f>IF('Marks Entry'!K76="","",'Marks Entry'!K76)</f>
        <v/>
      </c>
      <c r="K76" s="105" t="str">
        <f>IF('Marks Entry'!L76="","",'Marks Entry'!L76)</f>
        <v/>
      </c>
      <c r="L76" s="105" t="str">
        <f>IF(AND('Marks Entry'!M76="",'Marks Entry'!N76=""),"",SUM('Marks Entry'!M76:N76))</f>
        <v/>
      </c>
      <c r="M76" s="105" t="str">
        <f>IF(AND('Marks Entry'!O76="",'Marks Entry'!P76=""),"",SUM('Marks Entry'!O76:P76))</f>
        <v/>
      </c>
      <c r="N76" s="105" t="str">
        <f t="shared" si="101"/>
        <v/>
      </c>
      <c r="O76" s="105" t="str">
        <f t="shared" si="132"/>
        <v/>
      </c>
      <c r="P76" s="105" t="str">
        <f t="shared" si="133"/>
        <v/>
      </c>
      <c r="Q76" s="105" t="str">
        <f>IF('Marks Entry'!R76="","",'Marks Entry'!R76)</f>
        <v/>
      </c>
      <c r="R76" s="105" t="str">
        <f>IF('Marks Entry'!S76="","",'Marks Entry'!S76)</f>
        <v/>
      </c>
      <c r="S76" s="105" t="str">
        <f>IF(AND('Marks Entry'!T76="",'Marks Entry'!U76=""),"",SUM('Marks Entry'!T76:U76))</f>
        <v/>
      </c>
      <c r="T76" s="105" t="str">
        <f>IF(AND('Marks Entry'!V76="",'Marks Entry'!W76=""),"",SUM('Marks Entry'!V76:W76))</f>
        <v/>
      </c>
      <c r="U76" s="105" t="str">
        <f t="shared" si="134"/>
        <v/>
      </c>
      <c r="V76" s="105" t="str">
        <f t="shared" si="135"/>
        <v/>
      </c>
      <c r="W76" s="105" t="str">
        <f t="shared" si="136"/>
        <v/>
      </c>
      <c r="X76" s="47" t="str">
        <f>IF(B76="","",IF('Marks Entry'!Y76="",'Marks Entry'!$Y$4,'Marks Entry'!Y76))</f>
        <v/>
      </c>
      <c r="Y76" s="105" t="str">
        <f>IF('Marks Entry'!Z76="","",'Marks Entry'!Z76)</f>
        <v/>
      </c>
      <c r="Z76" s="105" t="str">
        <f>IF('Marks Entry'!AA76="","",'Marks Entry'!AA76)</f>
        <v/>
      </c>
      <c r="AA76" s="105" t="str">
        <f>IF(AND('Marks Entry'!AB76="",'Marks Entry'!AC76=""),"",SUM('Marks Entry'!AB76:AC76))</f>
        <v/>
      </c>
      <c r="AB76" s="105" t="str">
        <f>IF('Marks Entry'!AD76="","",'Marks Entry'!AD76)</f>
        <v/>
      </c>
      <c r="AC76" s="105" t="str">
        <f t="shared" si="137"/>
        <v/>
      </c>
      <c r="AD76" s="105" t="str">
        <f>IF(AND('Marks Entry'!AE76="",'Marks Entry'!AF76=""),"",SUM('Marks Entry'!AE76:AF76))</f>
        <v/>
      </c>
      <c r="AE76" s="105" t="str">
        <f>IF('Marks Entry'!AG76="","",'Marks Entry'!AG76)</f>
        <v/>
      </c>
      <c r="AF76" s="105" t="str">
        <f t="shared" si="138"/>
        <v/>
      </c>
      <c r="AG76" s="105" t="str">
        <f t="shared" si="139"/>
        <v/>
      </c>
      <c r="AH76" s="105" t="str">
        <f t="shared" si="140"/>
        <v/>
      </c>
      <c r="AI76" s="105" t="str">
        <f t="shared" si="141"/>
        <v/>
      </c>
      <c r="AJ76" s="47" t="str">
        <f>IF(B76="","",IF('Marks Entry'!AI76="",'Marks Entry'!$AI$4,'Marks Entry'!AI76))</f>
        <v/>
      </c>
      <c r="AK76" s="105" t="str">
        <f>IF('Marks Entry'!AJ76="","",'Marks Entry'!AJ76)</f>
        <v/>
      </c>
      <c r="AL76" s="105" t="str">
        <f>IF('Marks Entry'!AK76="","",'Marks Entry'!AK76)</f>
        <v/>
      </c>
      <c r="AM76" s="105" t="str">
        <f>IF(AND('Marks Entry'!AL76="",'Marks Entry'!AM76=""),"",SUM('Marks Entry'!AL76:AM76))</f>
        <v/>
      </c>
      <c r="AN76" s="105" t="str">
        <f>IF('Marks Entry'!AN76="","",'Marks Entry'!AN76)</f>
        <v/>
      </c>
      <c r="AO76" s="105" t="str">
        <f t="shared" si="142"/>
        <v/>
      </c>
      <c r="AP76" s="105" t="str">
        <f>IF(AND('Marks Entry'!AO76="",'Marks Entry'!AP76=""),"",SUM('Marks Entry'!AO76:AP76))</f>
        <v/>
      </c>
      <c r="AQ76" s="105" t="str">
        <f>IF('Marks Entry'!AQ76="","",'Marks Entry'!AQ76)</f>
        <v/>
      </c>
      <c r="AR76" s="105" t="str">
        <f t="shared" si="143"/>
        <v/>
      </c>
      <c r="AS76" s="105" t="str">
        <f t="shared" si="144"/>
        <v/>
      </c>
      <c r="AT76" s="105" t="str">
        <f t="shared" si="145"/>
        <v/>
      </c>
      <c r="AU76" s="105" t="str">
        <f t="shared" si="146"/>
        <v/>
      </c>
      <c r="AV76" s="47" t="str">
        <f>IF(B76="","",IF('Marks Entry'!AS76="",'Marks Entry'!$AS$4,'Marks Entry'!AS76))</f>
        <v/>
      </c>
      <c r="AW76" s="105" t="str">
        <f>IF('Marks Entry'!AT76="","",'Marks Entry'!AT76)</f>
        <v/>
      </c>
      <c r="AX76" s="105" t="str">
        <f>IF('Marks Entry'!AU76="","",'Marks Entry'!AU76)</f>
        <v/>
      </c>
      <c r="AY76" s="105" t="str">
        <f>IF(AND('Marks Entry'!AV76="",'Marks Entry'!AW76=""),"",SUM('Marks Entry'!AV76:AW76))</f>
        <v/>
      </c>
      <c r="AZ76" s="105" t="str">
        <f>IF('Marks Entry'!AX76="","",'Marks Entry'!AX76)</f>
        <v/>
      </c>
      <c r="BA76" s="105">
        <f t="shared" si="147"/>
        <v>0</v>
      </c>
      <c r="BB76" s="105" t="str">
        <f>IF(AND('Marks Entry'!AY76="",'Marks Entry'!AZ76=""),"",SUM('Marks Entry'!AY76:AZ76))</f>
        <v/>
      </c>
      <c r="BC76" s="105" t="str">
        <f>IF('Marks Entry'!BA76="","",'Marks Entry'!BA76)</f>
        <v/>
      </c>
      <c r="BD76" s="105">
        <f t="shared" si="148"/>
        <v>0</v>
      </c>
      <c r="BE76" s="105">
        <f t="shared" si="149"/>
        <v>0</v>
      </c>
      <c r="BF76" s="105" t="str">
        <f t="shared" si="150"/>
        <v/>
      </c>
      <c r="BG76" s="105" t="str">
        <f t="shared" si="151"/>
        <v/>
      </c>
      <c r="BH76" s="105" t="str">
        <f t="shared" si="152"/>
        <v/>
      </c>
      <c r="BI76" s="50" t="str">
        <f t="shared" si="102"/>
        <v/>
      </c>
      <c r="BJ76" s="47" t="str">
        <f t="shared" si="103"/>
        <v/>
      </c>
      <c r="BK76" s="105" t="str">
        <f t="shared" si="153"/>
        <v/>
      </c>
      <c r="BL76" s="105" t="str">
        <f t="shared" si="154"/>
        <v/>
      </c>
      <c r="BM76" s="105" t="str">
        <f>IF(OR(B76="",'Marks Entry'!BY76=""),"",'Marks Entry'!BY76)</f>
        <v/>
      </c>
      <c r="BN76" s="105" t="str">
        <f>IF(OR(B76="",'Marks Entry'!BZ76=""),"",'Marks Entry'!BZ76)</f>
        <v/>
      </c>
      <c r="BO76" s="105" t="str">
        <f>IF('Marks Entry'!BC76="","",'Marks Entry'!BC76)</f>
        <v/>
      </c>
      <c r="BP76" s="105" t="str">
        <f>IF('Marks Entry'!BD76="","",'Marks Entry'!BD76)</f>
        <v/>
      </c>
      <c r="BQ76" s="105" t="str">
        <f>IF(AND('Marks Entry'!BE76="",'Marks Entry'!BF76=""),"",SUM('Marks Entry'!BE76:BF76))</f>
        <v/>
      </c>
      <c r="BR76" s="105" t="str">
        <f>IF(AND('Marks Entry'!BG76="",'Marks Entry'!BH76=""),"",SUM('Marks Entry'!BG76:BH76))</f>
        <v/>
      </c>
      <c r="BS76" s="105" t="str">
        <f t="shared" si="155"/>
        <v/>
      </c>
      <c r="BT76" s="105" t="str">
        <f t="shared" si="156"/>
        <v/>
      </c>
      <c r="BU76" s="105" t="str">
        <f t="shared" si="157"/>
        <v/>
      </c>
      <c r="BV76" s="105" t="str">
        <f>IF('Marks Entry'!BJ76="","",'Marks Entry'!BJ76)</f>
        <v/>
      </c>
      <c r="BW76" s="105" t="str">
        <f>IF('Marks Entry'!BK76="","",'Marks Entry'!BK76)</f>
        <v/>
      </c>
      <c r="BX76" s="105" t="str">
        <f>IF(AND('Marks Entry'!BL76="",'Marks Entry'!BM76=""),"",SUM('Marks Entry'!BL76:BM76))</f>
        <v/>
      </c>
      <c r="BY76" s="105" t="str">
        <f>IF(AND('Marks Entry'!BN76="",'Marks Entry'!BO76=""),"",SUM('Marks Entry'!BN76:BO76))</f>
        <v/>
      </c>
      <c r="BZ76" s="105" t="str">
        <f t="shared" si="158"/>
        <v/>
      </c>
      <c r="CA76" s="105" t="str">
        <f t="shared" si="159"/>
        <v/>
      </c>
      <c r="CB76" s="105" t="str">
        <f t="shared" si="160"/>
        <v/>
      </c>
      <c r="CC76" s="105" t="str">
        <f>IF('Marks Entry'!BQ76="","",'Marks Entry'!BQ76)</f>
        <v/>
      </c>
      <c r="CD76" s="105" t="str">
        <f>IF('Marks Entry'!BR76="","",'Marks Entry'!BR76)</f>
        <v/>
      </c>
      <c r="CE76" s="105" t="str">
        <f>IF(AND('Marks Entry'!BS76="",'Marks Entry'!BT76=""),"",SUM('Marks Entry'!BS76:BT76))</f>
        <v/>
      </c>
      <c r="CF76" s="105" t="str">
        <f>IF(AND('Marks Entry'!BU76="",'Marks Entry'!BV76=""),"",SUM('Marks Entry'!BU76:BV76))</f>
        <v/>
      </c>
      <c r="CG76" s="105" t="str">
        <f t="shared" si="161"/>
        <v/>
      </c>
      <c r="CH76" s="105" t="str">
        <f t="shared" si="162"/>
        <v/>
      </c>
      <c r="CI76" s="105" t="str">
        <f t="shared" si="163"/>
        <v/>
      </c>
      <c r="CJ76" s="81"/>
      <c r="CK76" s="50" t="str">
        <f t="shared" si="104"/>
        <v/>
      </c>
      <c r="CM76" s="105" t="str">
        <f t="shared" si="105"/>
        <v/>
      </c>
      <c r="CN76" s="105" t="str">
        <f t="shared" si="106"/>
        <v/>
      </c>
      <c r="CO76" s="105" t="str">
        <f t="shared" si="107"/>
        <v/>
      </c>
      <c r="CP76" s="105" t="str">
        <f t="shared" si="108"/>
        <v/>
      </c>
      <c r="CQ76" s="105" t="str">
        <f t="shared" si="109"/>
        <v/>
      </c>
      <c r="CS76" s="105">
        <f t="shared" si="110"/>
        <v>0</v>
      </c>
      <c r="CT76" s="105">
        <f t="shared" si="111"/>
        <v>0</v>
      </c>
      <c r="CU76" s="105">
        <f t="shared" si="112"/>
        <v>0</v>
      </c>
      <c r="CV76" s="105">
        <f t="shared" si="113"/>
        <v>0</v>
      </c>
      <c r="CW76" s="81"/>
      <c r="CX76" s="105" t="str">
        <f t="shared" si="114"/>
        <v/>
      </c>
      <c r="CY76" s="105" t="str">
        <f t="shared" si="115"/>
        <v/>
      </c>
      <c r="CZ76" s="105" t="str">
        <f t="shared" si="116"/>
        <v/>
      </c>
      <c r="DA76" s="105" t="str">
        <f t="shared" si="117"/>
        <v/>
      </c>
      <c r="DB76" s="105" t="str">
        <f t="shared" si="118"/>
        <v/>
      </c>
      <c r="DD76" s="105" t="str">
        <f t="shared" si="119"/>
        <v/>
      </c>
      <c r="DE76" s="105" t="str">
        <f t="shared" si="120"/>
        <v/>
      </c>
      <c r="DF76" s="105" t="str">
        <f t="shared" si="121"/>
        <v/>
      </c>
      <c r="DG76" s="105" t="str">
        <f t="shared" si="122"/>
        <v/>
      </c>
      <c r="DH76" s="105" t="str">
        <f t="shared" si="123"/>
        <v/>
      </c>
      <c r="DI76" s="105" t="str">
        <f t="shared" si="124"/>
        <v/>
      </c>
      <c r="DJ76" s="105" t="str">
        <f t="shared" si="125"/>
        <v/>
      </c>
      <c r="DK76" s="105" t="str">
        <f t="shared" si="126"/>
        <v/>
      </c>
      <c r="DL76" s="105" t="str">
        <f t="shared" si="127"/>
        <v/>
      </c>
      <c r="DM76" s="105" t="str">
        <f t="shared" si="128"/>
        <v/>
      </c>
      <c r="DN76" s="105" t="str">
        <f t="shared" si="129"/>
        <v/>
      </c>
      <c r="DO76" s="105" t="str">
        <f t="shared" si="130"/>
        <v/>
      </c>
      <c r="DP76" s="105" t="str">
        <f t="shared" si="131"/>
        <v/>
      </c>
      <c r="DR76" s="118" t="str">
        <f t="shared" si="164"/>
        <v xml:space="preserve">    </v>
      </c>
      <c r="DS76" s="75"/>
      <c r="DT76" s="119" t="str">
        <f t="shared" si="165"/>
        <v xml:space="preserve">    </v>
      </c>
      <c r="DU76" s="136"/>
      <c r="DV76" s="119" t="str">
        <f t="shared" si="166"/>
        <v xml:space="preserve">    </v>
      </c>
      <c r="DW76" s="75"/>
      <c r="DX76" s="119" t="str">
        <f t="shared" si="167"/>
        <v xml:space="preserve">     </v>
      </c>
      <c r="DY76" s="75"/>
      <c r="DZ76" s="119" t="str">
        <f t="shared" si="168"/>
        <v xml:space="preserve">    </v>
      </c>
    </row>
    <row r="77" spans="1:130" ht="30" customHeight="1" x14ac:dyDescent="0.25">
      <c r="A77" s="105" t="str">
        <f>IF('Marks Entry'!A77="","",'Marks Entry'!A77)</f>
        <v/>
      </c>
      <c r="B77" s="105" t="str">
        <f>IF('Marks Entry'!B77="","",'Marks Entry'!B77)</f>
        <v/>
      </c>
      <c r="C77" s="105" t="str">
        <f>IF('Marks Entry'!C77="","",'Marks Entry'!C77)</f>
        <v/>
      </c>
      <c r="D77" s="48" t="str">
        <f>IF('Marks Entry'!D77="","",'Marks Entry'!D77)</f>
        <v/>
      </c>
      <c r="E77" s="48" t="str">
        <f>IF('Marks Entry'!E77="","",'Marks Entry'!E77)</f>
        <v/>
      </c>
      <c r="F77" s="48" t="str">
        <f>IF('Marks Entry'!F77="","",'Marks Entry'!F77)</f>
        <v/>
      </c>
      <c r="G77" s="105" t="str">
        <f>IF('Marks Entry'!G77="","",'Marks Entry'!G77)</f>
        <v/>
      </c>
      <c r="H77" s="49" t="str">
        <f>IF('Marks Entry'!H77="","",'Marks Entry'!H77)</f>
        <v/>
      </c>
      <c r="I77" s="105" t="str">
        <f>IF('Marks Entry'!I77="","",'Marks Entry'!I77)</f>
        <v/>
      </c>
      <c r="J77" s="105" t="str">
        <f>IF('Marks Entry'!K77="","",'Marks Entry'!K77)</f>
        <v/>
      </c>
      <c r="K77" s="105" t="str">
        <f>IF('Marks Entry'!L77="","",'Marks Entry'!L77)</f>
        <v/>
      </c>
      <c r="L77" s="105" t="str">
        <f>IF(AND('Marks Entry'!M77="",'Marks Entry'!N77=""),"",SUM('Marks Entry'!M77:N77))</f>
        <v/>
      </c>
      <c r="M77" s="105" t="str">
        <f>IF(AND('Marks Entry'!O77="",'Marks Entry'!P77=""),"",SUM('Marks Entry'!O77:P77))</f>
        <v/>
      </c>
      <c r="N77" s="105" t="str">
        <f t="shared" si="101"/>
        <v/>
      </c>
      <c r="O77" s="105" t="str">
        <f t="shared" si="132"/>
        <v/>
      </c>
      <c r="P77" s="105" t="str">
        <f t="shared" si="133"/>
        <v/>
      </c>
      <c r="Q77" s="105" t="str">
        <f>IF('Marks Entry'!R77="","",'Marks Entry'!R77)</f>
        <v/>
      </c>
      <c r="R77" s="105" t="str">
        <f>IF('Marks Entry'!S77="","",'Marks Entry'!S77)</f>
        <v/>
      </c>
      <c r="S77" s="105" t="str">
        <f>IF(AND('Marks Entry'!T77="",'Marks Entry'!U77=""),"",SUM('Marks Entry'!T77:U77))</f>
        <v/>
      </c>
      <c r="T77" s="105" t="str">
        <f>IF(AND('Marks Entry'!V77="",'Marks Entry'!W77=""),"",SUM('Marks Entry'!V77:W77))</f>
        <v/>
      </c>
      <c r="U77" s="105" t="str">
        <f t="shared" si="134"/>
        <v/>
      </c>
      <c r="V77" s="105" t="str">
        <f t="shared" si="135"/>
        <v/>
      </c>
      <c r="W77" s="105" t="str">
        <f t="shared" si="136"/>
        <v/>
      </c>
      <c r="X77" s="47" t="str">
        <f>IF(B77="","",IF('Marks Entry'!Y77="",'Marks Entry'!$Y$4,'Marks Entry'!Y77))</f>
        <v/>
      </c>
      <c r="Y77" s="105" t="str">
        <f>IF('Marks Entry'!Z77="","",'Marks Entry'!Z77)</f>
        <v/>
      </c>
      <c r="Z77" s="105" t="str">
        <f>IF('Marks Entry'!AA77="","",'Marks Entry'!AA77)</f>
        <v/>
      </c>
      <c r="AA77" s="105" t="str">
        <f>IF(AND('Marks Entry'!AB77="",'Marks Entry'!AC77=""),"",SUM('Marks Entry'!AB77:AC77))</f>
        <v/>
      </c>
      <c r="AB77" s="105" t="str">
        <f>IF('Marks Entry'!AD77="","",'Marks Entry'!AD77)</f>
        <v/>
      </c>
      <c r="AC77" s="105" t="str">
        <f t="shared" si="137"/>
        <v/>
      </c>
      <c r="AD77" s="105" t="str">
        <f>IF(AND('Marks Entry'!AE77="",'Marks Entry'!AF77=""),"",SUM('Marks Entry'!AE77:AF77))</f>
        <v/>
      </c>
      <c r="AE77" s="105" t="str">
        <f>IF('Marks Entry'!AG77="","",'Marks Entry'!AG77)</f>
        <v/>
      </c>
      <c r="AF77" s="105" t="str">
        <f t="shared" si="138"/>
        <v/>
      </c>
      <c r="AG77" s="105" t="str">
        <f t="shared" si="139"/>
        <v/>
      </c>
      <c r="AH77" s="105" t="str">
        <f t="shared" si="140"/>
        <v/>
      </c>
      <c r="AI77" s="105" t="str">
        <f t="shared" si="141"/>
        <v/>
      </c>
      <c r="AJ77" s="47" t="str">
        <f>IF(B77="","",IF('Marks Entry'!AI77="",'Marks Entry'!$AI$4,'Marks Entry'!AI77))</f>
        <v/>
      </c>
      <c r="AK77" s="105" t="str">
        <f>IF('Marks Entry'!AJ77="","",'Marks Entry'!AJ77)</f>
        <v/>
      </c>
      <c r="AL77" s="105" t="str">
        <f>IF('Marks Entry'!AK77="","",'Marks Entry'!AK77)</f>
        <v/>
      </c>
      <c r="AM77" s="105" t="str">
        <f>IF(AND('Marks Entry'!AL77="",'Marks Entry'!AM77=""),"",SUM('Marks Entry'!AL77:AM77))</f>
        <v/>
      </c>
      <c r="AN77" s="105" t="str">
        <f>IF('Marks Entry'!AN77="","",'Marks Entry'!AN77)</f>
        <v/>
      </c>
      <c r="AO77" s="105" t="str">
        <f t="shared" si="142"/>
        <v/>
      </c>
      <c r="AP77" s="105" t="str">
        <f>IF(AND('Marks Entry'!AO77="",'Marks Entry'!AP77=""),"",SUM('Marks Entry'!AO77:AP77))</f>
        <v/>
      </c>
      <c r="AQ77" s="105" t="str">
        <f>IF('Marks Entry'!AQ77="","",'Marks Entry'!AQ77)</f>
        <v/>
      </c>
      <c r="AR77" s="105" t="str">
        <f t="shared" si="143"/>
        <v/>
      </c>
      <c r="AS77" s="105" t="str">
        <f t="shared" si="144"/>
        <v/>
      </c>
      <c r="AT77" s="105" t="str">
        <f t="shared" si="145"/>
        <v/>
      </c>
      <c r="AU77" s="105" t="str">
        <f t="shared" si="146"/>
        <v/>
      </c>
      <c r="AV77" s="47" t="str">
        <f>IF(B77="","",IF('Marks Entry'!AS77="",'Marks Entry'!$AS$4,'Marks Entry'!AS77))</f>
        <v/>
      </c>
      <c r="AW77" s="105" t="str">
        <f>IF('Marks Entry'!AT77="","",'Marks Entry'!AT77)</f>
        <v/>
      </c>
      <c r="AX77" s="105" t="str">
        <f>IF('Marks Entry'!AU77="","",'Marks Entry'!AU77)</f>
        <v/>
      </c>
      <c r="AY77" s="105" t="str">
        <f>IF(AND('Marks Entry'!AV77="",'Marks Entry'!AW77=""),"",SUM('Marks Entry'!AV77:AW77))</f>
        <v/>
      </c>
      <c r="AZ77" s="105" t="str">
        <f>IF('Marks Entry'!AX77="","",'Marks Entry'!AX77)</f>
        <v/>
      </c>
      <c r="BA77" s="105">
        <f t="shared" si="147"/>
        <v>0</v>
      </c>
      <c r="BB77" s="105" t="str">
        <f>IF(AND('Marks Entry'!AY77="",'Marks Entry'!AZ77=""),"",SUM('Marks Entry'!AY77:AZ77))</f>
        <v/>
      </c>
      <c r="BC77" s="105" t="str">
        <f>IF('Marks Entry'!BA77="","",'Marks Entry'!BA77)</f>
        <v/>
      </c>
      <c r="BD77" s="105">
        <f t="shared" si="148"/>
        <v>0</v>
      </c>
      <c r="BE77" s="105">
        <f t="shared" si="149"/>
        <v>0</v>
      </c>
      <c r="BF77" s="105" t="str">
        <f t="shared" si="150"/>
        <v/>
      </c>
      <c r="BG77" s="105" t="str">
        <f t="shared" si="151"/>
        <v/>
      </c>
      <c r="BH77" s="105" t="str">
        <f t="shared" si="152"/>
        <v/>
      </c>
      <c r="BI77" s="50" t="str">
        <f t="shared" si="102"/>
        <v/>
      </c>
      <c r="BJ77" s="47" t="str">
        <f t="shared" si="103"/>
        <v/>
      </c>
      <c r="BK77" s="105" t="str">
        <f t="shared" si="153"/>
        <v/>
      </c>
      <c r="BL77" s="105" t="str">
        <f t="shared" si="154"/>
        <v/>
      </c>
      <c r="BM77" s="105" t="str">
        <f>IF(OR(B77="",'Marks Entry'!BY77=""),"",'Marks Entry'!BY77)</f>
        <v/>
      </c>
      <c r="BN77" s="105" t="str">
        <f>IF(OR(B77="",'Marks Entry'!BZ77=""),"",'Marks Entry'!BZ77)</f>
        <v/>
      </c>
      <c r="BO77" s="105" t="str">
        <f>IF('Marks Entry'!BC77="","",'Marks Entry'!BC77)</f>
        <v/>
      </c>
      <c r="BP77" s="105" t="str">
        <f>IF('Marks Entry'!BD77="","",'Marks Entry'!BD77)</f>
        <v/>
      </c>
      <c r="BQ77" s="105" t="str">
        <f>IF(AND('Marks Entry'!BE77="",'Marks Entry'!BF77=""),"",SUM('Marks Entry'!BE77:BF77))</f>
        <v/>
      </c>
      <c r="BR77" s="105" t="str">
        <f>IF(AND('Marks Entry'!BG77="",'Marks Entry'!BH77=""),"",SUM('Marks Entry'!BG77:BH77))</f>
        <v/>
      </c>
      <c r="BS77" s="105" t="str">
        <f t="shared" si="155"/>
        <v/>
      </c>
      <c r="BT77" s="105" t="str">
        <f t="shared" si="156"/>
        <v/>
      </c>
      <c r="BU77" s="105" t="str">
        <f t="shared" si="157"/>
        <v/>
      </c>
      <c r="BV77" s="105" t="str">
        <f>IF('Marks Entry'!BJ77="","",'Marks Entry'!BJ77)</f>
        <v/>
      </c>
      <c r="BW77" s="105" t="str">
        <f>IF('Marks Entry'!BK77="","",'Marks Entry'!BK77)</f>
        <v/>
      </c>
      <c r="BX77" s="105" t="str">
        <f>IF(AND('Marks Entry'!BL77="",'Marks Entry'!BM77=""),"",SUM('Marks Entry'!BL77:BM77))</f>
        <v/>
      </c>
      <c r="BY77" s="105" t="str">
        <f>IF(AND('Marks Entry'!BN77="",'Marks Entry'!BO77=""),"",SUM('Marks Entry'!BN77:BO77))</f>
        <v/>
      </c>
      <c r="BZ77" s="105" t="str">
        <f t="shared" si="158"/>
        <v/>
      </c>
      <c r="CA77" s="105" t="str">
        <f t="shared" si="159"/>
        <v/>
      </c>
      <c r="CB77" s="105" t="str">
        <f t="shared" si="160"/>
        <v/>
      </c>
      <c r="CC77" s="105" t="str">
        <f>IF('Marks Entry'!BQ77="","",'Marks Entry'!BQ77)</f>
        <v/>
      </c>
      <c r="CD77" s="105" t="str">
        <f>IF('Marks Entry'!BR77="","",'Marks Entry'!BR77)</f>
        <v/>
      </c>
      <c r="CE77" s="105" t="str">
        <f>IF(AND('Marks Entry'!BS77="",'Marks Entry'!BT77=""),"",SUM('Marks Entry'!BS77:BT77))</f>
        <v/>
      </c>
      <c r="CF77" s="105" t="str">
        <f>IF(AND('Marks Entry'!BU77="",'Marks Entry'!BV77=""),"",SUM('Marks Entry'!BU77:BV77))</f>
        <v/>
      </c>
      <c r="CG77" s="105" t="str">
        <f t="shared" si="161"/>
        <v/>
      </c>
      <c r="CH77" s="105" t="str">
        <f t="shared" si="162"/>
        <v/>
      </c>
      <c r="CI77" s="105" t="str">
        <f t="shared" si="163"/>
        <v/>
      </c>
      <c r="CJ77" s="81"/>
      <c r="CK77" s="50" t="str">
        <f t="shared" si="104"/>
        <v/>
      </c>
      <c r="CM77" s="105" t="str">
        <f t="shared" si="105"/>
        <v/>
      </c>
      <c r="CN77" s="105" t="str">
        <f t="shared" si="106"/>
        <v/>
      </c>
      <c r="CO77" s="105" t="str">
        <f t="shared" si="107"/>
        <v/>
      </c>
      <c r="CP77" s="105" t="str">
        <f t="shared" si="108"/>
        <v/>
      </c>
      <c r="CQ77" s="105" t="str">
        <f t="shared" si="109"/>
        <v/>
      </c>
      <c r="CS77" s="105">
        <f t="shared" si="110"/>
        <v>0</v>
      </c>
      <c r="CT77" s="105">
        <f t="shared" si="111"/>
        <v>0</v>
      </c>
      <c r="CU77" s="105">
        <f t="shared" si="112"/>
        <v>0</v>
      </c>
      <c r="CV77" s="105">
        <f t="shared" si="113"/>
        <v>0</v>
      </c>
      <c r="CW77" s="81"/>
      <c r="CX77" s="105" t="str">
        <f t="shared" si="114"/>
        <v/>
      </c>
      <c r="CY77" s="105" t="str">
        <f t="shared" si="115"/>
        <v/>
      </c>
      <c r="CZ77" s="105" t="str">
        <f t="shared" si="116"/>
        <v/>
      </c>
      <c r="DA77" s="105" t="str">
        <f t="shared" si="117"/>
        <v/>
      </c>
      <c r="DB77" s="105" t="str">
        <f t="shared" si="118"/>
        <v/>
      </c>
      <c r="DD77" s="105" t="str">
        <f t="shared" si="119"/>
        <v/>
      </c>
      <c r="DE77" s="105" t="str">
        <f t="shared" si="120"/>
        <v/>
      </c>
      <c r="DF77" s="105" t="str">
        <f t="shared" si="121"/>
        <v/>
      </c>
      <c r="DG77" s="105" t="str">
        <f t="shared" si="122"/>
        <v/>
      </c>
      <c r="DH77" s="105" t="str">
        <f t="shared" si="123"/>
        <v/>
      </c>
      <c r="DI77" s="105" t="str">
        <f t="shared" si="124"/>
        <v/>
      </c>
      <c r="DJ77" s="105" t="str">
        <f t="shared" si="125"/>
        <v/>
      </c>
      <c r="DK77" s="105" t="str">
        <f t="shared" si="126"/>
        <v/>
      </c>
      <c r="DL77" s="105" t="str">
        <f t="shared" si="127"/>
        <v/>
      </c>
      <c r="DM77" s="105" t="str">
        <f t="shared" si="128"/>
        <v/>
      </c>
      <c r="DN77" s="105" t="str">
        <f t="shared" si="129"/>
        <v/>
      </c>
      <c r="DO77" s="105" t="str">
        <f t="shared" si="130"/>
        <v/>
      </c>
      <c r="DP77" s="105" t="str">
        <f t="shared" si="131"/>
        <v/>
      </c>
      <c r="DR77" s="118" t="str">
        <f t="shared" si="164"/>
        <v xml:space="preserve">    </v>
      </c>
      <c r="DS77" s="75"/>
      <c r="DT77" s="119" t="str">
        <f t="shared" si="165"/>
        <v xml:space="preserve">    </v>
      </c>
      <c r="DU77" s="136"/>
      <c r="DV77" s="119" t="str">
        <f t="shared" si="166"/>
        <v xml:space="preserve">    </v>
      </c>
      <c r="DW77" s="75"/>
      <c r="DX77" s="119" t="str">
        <f t="shared" si="167"/>
        <v xml:space="preserve">     </v>
      </c>
      <c r="DY77" s="75"/>
      <c r="DZ77" s="119" t="str">
        <f t="shared" si="168"/>
        <v xml:space="preserve">    </v>
      </c>
    </row>
    <row r="78" spans="1:130" ht="30" customHeight="1" x14ac:dyDescent="0.25">
      <c r="A78" s="105" t="str">
        <f>IF('Marks Entry'!A78="","",'Marks Entry'!A78)</f>
        <v/>
      </c>
      <c r="B78" s="105" t="str">
        <f>IF('Marks Entry'!B78="","",'Marks Entry'!B78)</f>
        <v/>
      </c>
      <c r="C78" s="105" t="str">
        <f>IF('Marks Entry'!C78="","",'Marks Entry'!C78)</f>
        <v/>
      </c>
      <c r="D78" s="48" t="str">
        <f>IF('Marks Entry'!D78="","",'Marks Entry'!D78)</f>
        <v/>
      </c>
      <c r="E78" s="48" t="str">
        <f>IF('Marks Entry'!E78="","",'Marks Entry'!E78)</f>
        <v/>
      </c>
      <c r="F78" s="48" t="str">
        <f>IF('Marks Entry'!F78="","",'Marks Entry'!F78)</f>
        <v/>
      </c>
      <c r="G78" s="105" t="str">
        <f>IF('Marks Entry'!G78="","",'Marks Entry'!G78)</f>
        <v/>
      </c>
      <c r="H78" s="49" t="str">
        <f>IF('Marks Entry'!H78="","",'Marks Entry'!H78)</f>
        <v/>
      </c>
      <c r="I78" s="105" t="str">
        <f>IF('Marks Entry'!I78="","",'Marks Entry'!I78)</f>
        <v/>
      </c>
      <c r="J78" s="105" t="str">
        <f>IF('Marks Entry'!K78="","",'Marks Entry'!K78)</f>
        <v/>
      </c>
      <c r="K78" s="105" t="str">
        <f>IF('Marks Entry'!L78="","",'Marks Entry'!L78)</f>
        <v/>
      </c>
      <c r="L78" s="105" t="str">
        <f>IF(AND('Marks Entry'!M78="",'Marks Entry'!N78=""),"",SUM('Marks Entry'!M78:N78))</f>
        <v/>
      </c>
      <c r="M78" s="105" t="str">
        <f>IF(AND('Marks Entry'!O78="",'Marks Entry'!P78=""),"",SUM('Marks Entry'!O78:P78))</f>
        <v/>
      </c>
      <c r="N78" s="105" t="str">
        <f t="shared" si="101"/>
        <v/>
      </c>
      <c r="O78" s="105" t="str">
        <f t="shared" si="132"/>
        <v/>
      </c>
      <c r="P78" s="105" t="str">
        <f t="shared" si="133"/>
        <v/>
      </c>
      <c r="Q78" s="105" t="str">
        <f>IF('Marks Entry'!R78="","",'Marks Entry'!R78)</f>
        <v/>
      </c>
      <c r="R78" s="105" t="str">
        <f>IF('Marks Entry'!S78="","",'Marks Entry'!S78)</f>
        <v/>
      </c>
      <c r="S78" s="105" t="str">
        <f>IF(AND('Marks Entry'!T78="",'Marks Entry'!U78=""),"",SUM('Marks Entry'!T78:U78))</f>
        <v/>
      </c>
      <c r="T78" s="105" t="str">
        <f>IF(AND('Marks Entry'!V78="",'Marks Entry'!W78=""),"",SUM('Marks Entry'!V78:W78))</f>
        <v/>
      </c>
      <c r="U78" s="105" t="str">
        <f t="shared" si="134"/>
        <v/>
      </c>
      <c r="V78" s="105" t="str">
        <f t="shared" si="135"/>
        <v/>
      </c>
      <c r="W78" s="105" t="str">
        <f t="shared" si="136"/>
        <v/>
      </c>
      <c r="X78" s="47" t="str">
        <f>IF(B78="","",IF('Marks Entry'!Y78="",'Marks Entry'!$Y$4,'Marks Entry'!Y78))</f>
        <v/>
      </c>
      <c r="Y78" s="105" t="str">
        <f>IF('Marks Entry'!Z78="","",'Marks Entry'!Z78)</f>
        <v/>
      </c>
      <c r="Z78" s="105" t="str">
        <f>IF('Marks Entry'!AA78="","",'Marks Entry'!AA78)</f>
        <v/>
      </c>
      <c r="AA78" s="105" t="str">
        <f>IF(AND('Marks Entry'!AB78="",'Marks Entry'!AC78=""),"",SUM('Marks Entry'!AB78:AC78))</f>
        <v/>
      </c>
      <c r="AB78" s="105" t="str">
        <f>IF('Marks Entry'!AD78="","",'Marks Entry'!AD78)</f>
        <v/>
      </c>
      <c r="AC78" s="105" t="str">
        <f t="shared" si="137"/>
        <v/>
      </c>
      <c r="AD78" s="105" t="str">
        <f>IF(AND('Marks Entry'!AE78="",'Marks Entry'!AF78=""),"",SUM('Marks Entry'!AE78:AF78))</f>
        <v/>
      </c>
      <c r="AE78" s="105" t="str">
        <f>IF('Marks Entry'!AG78="","",'Marks Entry'!AG78)</f>
        <v/>
      </c>
      <c r="AF78" s="105" t="str">
        <f t="shared" si="138"/>
        <v/>
      </c>
      <c r="AG78" s="105" t="str">
        <f t="shared" si="139"/>
        <v/>
      </c>
      <c r="AH78" s="105" t="str">
        <f t="shared" si="140"/>
        <v/>
      </c>
      <c r="AI78" s="105" t="str">
        <f t="shared" si="141"/>
        <v/>
      </c>
      <c r="AJ78" s="47" t="str">
        <f>IF(B78="","",IF('Marks Entry'!AI78="",'Marks Entry'!$AI$4,'Marks Entry'!AI78))</f>
        <v/>
      </c>
      <c r="AK78" s="105" t="str">
        <f>IF('Marks Entry'!AJ78="","",'Marks Entry'!AJ78)</f>
        <v/>
      </c>
      <c r="AL78" s="105" t="str">
        <f>IF('Marks Entry'!AK78="","",'Marks Entry'!AK78)</f>
        <v/>
      </c>
      <c r="AM78" s="105" t="str">
        <f>IF(AND('Marks Entry'!AL78="",'Marks Entry'!AM78=""),"",SUM('Marks Entry'!AL78:AM78))</f>
        <v/>
      </c>
      <c r="AN78" s="105" t="str">
        <f>IF('Marks Entry'!AN78="","",'Marks Entry'!AN78)</f>
        <v/>
      </c>
      <c r="AO78" s="105" t="str">
        <f t="shared" si="142"/>
        <v/>
      </c>
      <c r="AP78" s="105" t="str">
        <f>IF(AND('Marks Entry'!AO78="",'Marks Entry'!AP78=""),"",SUM('Marks Entry'!AO78:AP78))</f>
        <v/>
      </c>
      <c r="AQ78" s="105" t="str">
        <f>IF('Marks Entry'!AQ78="","",'Marks Entry'!AQ78)</f>
        <v/>
      </c>
      <c r="AR78" s="105" t="str">
        <f t="shared" si="143"/>
        <v/>
      </c>
      <c r="AS78" s="105" t="str">
        <f t="shared" si="144"/>
        <v/>
      </c>
      <c r="AT78" s="105" t="str">
        <f t="shared" si="145"/>
        <v/>
      </c>
      <c r="AU78" s="105" t="str">
        <f t="shared" si="146"/>
        <v/>
      </c>
      <c r="AV78" s="47" t="str">
        <f>IF(B78="","",IF('Marks Entry'!AS78="",'Marks Entry'!$AS$4,'Marks Entry'!AS78))</f>
        <v/>
      </c>
      <c r="AW78" s="105" t="str">
        <f>IF('Marks Entry'!AT78="","",'Marks Entry'!AT78)</f>
        <v/>
      </c>
      <c r="AX78" s="105" t="str">
        <f>IF('Marks Entry'!AU78="","",'Marks Entry'!AU78)</f>
        <v/>
      </c>
      <c r="AY78" s="105" t="str">
        <f>IF(AND('Marks Entry'!AV78="",'Marks Entry'!AW78=""),"",SUM('Marks Entry'!AV78:AW78))</f>
        <v/>
      </c>
      <c r="AZ78" s="105" t="str">
        <f>IF('Marks Entry'!AX78="","",'Marks Entry'!AX78)</f>
        <v/>
      </c>
      <c r="BA78" s="105">
        <f t="shared" si="147"/>
        <v>0</v>
      </c>
      <c r="BB78" s="105" t="str">
        <f>IF(AND('Marks Entry'!AY78="",'Marks Entry'!AZ78=""),"",SUM('Marks Entry'!AY78:AZ78))</f>
        <v/>
      </c>
      <c r="BC78" s="105" t="str">
        <f>IF('Marks Entry'!BA78="","",'Marks Entry'!BA78)</f>
        <v/>
      </c>
      <c r="BD78" s="105">
        <f t="shared" si="148"/>
        <v>0</v>
      </c>
      <c r="BE78" s="105">
        <f t="shared" si="149"/>
        <v>0</v>
      </c>
      <c r="BF78" s="105" t="str">
        <f t="shared" si="150"/>
        <v/>
      </c>
      <c r="BG78" s="105" t="str">
        <f t="shared" si="151"/>
        <v/>
      </c>
      <c r="BH78" s="105" t="str">
        <f t="shared" si="152"/>
        <v/>
      </c>
      <c r="BI78" s="50" t="str">
        <f t="shared" si="102"/>
        <v/>
      </c>
      <c r="BJ78" s="47" t="str">
        <f t="shared" si="103"/>
        <v/>
      </c>
      <c r="BK78" s="105" t="str">
        <f t="shared" si="153"/>
        <v/>
      </c>
      <c r="BL78" s="105" t="str">
        <f t="shared" si="154"/>
        <v/>
      </c>
      <c r="BM78" s="105" t="str">
        <f>IF(OR(B78="",'Marks Entry'!BY78=""),"",'Marks Entry'!BY78)</f>
        <v/>
      </c>
      <c r="BN78" s="105" t="str">
        <f>IF(OR(B78="",'Marks Entry'!BZ78=""),"",'Marks Entry'!BZ78)</f>
        <v/>
      </c>
      <c r="BO78" s="105" t="str">
        <f>IF('Marks Entry'!BC78="","",'Marks Entry'!BC78)</f>
        <v/>
      </c>
      <c r="BP78" s="105" t="str">
        <f>IF('Marks Entry'!BD78="","",'Marks Entry'!BD78)</f>
        <v/>
      </c>
      <c r="BQ78" s="105" t="str">
        <f>IF(AND('Marks Entry'!BE78="",'Marks Entry'!BF78=""),"",SUM('Marks Entry'!BE78:BF78))</f>
        <v/>
      </c>
      <c r="BR78" s="105" t="str">
        <f>IF(AND('Marks Entry'!BG78="",'Marks Entry'!BH78=""),"",SUM('Marks Entry'!BG78:BH78))</f>
        <v/>
      </c>
      <c r="BS78" s="105" t="str">
        <f t="shared" si="155"/>
        <v/>
      </c>
      <c r="BT78" s="105" t="str">
        <f t="shared" si="156"/>
        <v/>
      </c>
      <c r="BU78" s="105" t="str">
        <f t="shared" si="157"/>
        <v/>
      </c>
      <c r="BV78" s="105" t="str">
        <f>IF('Marks Entry'!BJ78="","",'Marks Entry'!BJ78)</f>
        <v/>
      </c>
      <c r="BW78" s="105" t="str">
        <f>IF('Marks Entry'!BK78="","",'Marks Entry'!BK78)</f>
        <v/>
      </c>
      <c r="BX78" s="105" t="str">
        <f>IF(AND('Marks Entry'!BL78="",'Marks Entry'!BM78=""),"",SUM('Marks Entry'!BL78:BM78))</f>
        <v/>
      </c>
      <c r="BY78" s="105" t="str">
        <f>IF(AND('Marks Entry'!BN78="",'Marks Entry'!BO78=""),"",SUM('Marks Entry'!BN78:BO78))</f>
        <v/>
      </c>
      <c r="BZ78" s="105" t="str">
        <f t="shared" si="158"/>
        <v/>
      </c>
      <c r="CA78" s="105" t="str">
        <f t="shared" si="159"/>
        <v/>
      </c>
      <c r="CB78" s="105" t="str">
        <f t="shared" si="160"/>
        <v/>
      </c>
      <c r="CC78" s="105" t="str">
        <f>IF('Marks Entry'!BQ78="","",'Marks Entry'!BQ78)</f>
        <v/>
      </c>
      <c r="CD78" s="105" t="str">
        <f>IF('Marks Entry'!BR78="","",'Marks Entry'!BR78)</f>
        <v/>
      </c>
      <c r="CE78" s="105" t="str">
        <f>IF(AND('Marks Entry'!BS78="",'Marks Entry'!BT78=""),"",SUM('Marks Entry'!BS78:BT78))</f>
        <v/>
      </c>
      <c r="CF78" s="105" t="str">
        <f>IF(AND('Marks Entry'!BU78="",'Marks Entry'!BV78=""),"",SUM('Marks Entry'!BU78:BV78))</f>
        <v/>
      </c>
      <c r="CG78" s="105" t="str">
        <f t="shared" si="161"/>
        <v/>
      </c>
      <c r="CH78" s="105" t="str">
        <f t="shared" si="162"/>
        <v/>
      </c>
      <c r="CI78" s="105" t="str">
        <f t="shared" si="163"/>
        <v/>
      </c>
      <c r="CJ78" s="81"/>
      <c r="CK78" s="50" t="str">
        <f t="shared" si="104"/>
        <v/>
      </c>
      <c r="CM78" s="105" t="str">
        <f t="shared" si="105"/>
        <v/>
      </c>
      <c r="CN78" s="105" t="str">
        <f t="shared" si="106"/>
        <v/>
      </c>
      <c r="CO78" s="105" t="str">
        <f t="shared" si="107"/>
        <v/>
      </c>
      <c r="CP78" s="105" t="str">
        <f t="shared" si="108"/>
        <v/>
      </c>
      <c r="CQ78" s="105" t="str">
        <f t="shared" si="109"/>
        <v/>
      </c>
      <c r="CS78" s="105">
        <f t="shared" si="110"/>
        <v>0</v>
      </c>
      <c r="CT78" s="105">
        <f t="shared" si="111"/>
        <v>0</v>
      </c>
      <c r="CU78" s="105">
        <f t="shared" si="112"/>
        <v>0</v>
      </c>
      <c r="CV78" s="105">
        <f t="shared" si="113"/>
        <v>0</v>
      </c>
      <c r="CW78" s="81"/>
      <c r="CX78" s="105" t="str">
        <f t="shared" si="114"/>
        <v/>
      </c>
      <c r="CY78" s="105" t="str">
        <f t="shared" si="115"/>
        <v/>
      </c>
      <c r="CZ78" s="105" t="str">
        <f t="shared" si="116"/>
        <v/>
      </c>
      <c r="DA78" s="105" t="str">
        <f t="shared" si="117"/>
        <v/>
      </c>
      <c r="DB78" s="105" t="str">
        <f t="shared" si="118"/>
        <v/>
      </c>
      <c r="DD78" s="105" t="str">
        <f t="shared" si="119"/>
        <v/>
      </c>
      <c r="DE78" s="105" t="str">
        <f t="shared" si="120"/>
        <v/>
      </c>
      <c r="DF78" s="105" t="str">
        <f t="shared" si="121"/>
        <v/>
      </c>
      <c r="DG78" s="105" t="str">
        <f t="shared" si="122"/>
        <v/>
      </c>
      <c r="DH78" s="105" t="str">
        <f t="shared" si="123"/>
        <v/>
      </c>
      <c r="DI78" s="105" t="str">
        <f t="shared" si="124"/>
        <v/>
      </c>
      <c r="DJ78" s="105" t="str">
        <f t="shared" si="125"/>
        <v/>
      </c>
      <c r="DK78" s="105" t="str">
        <f t="shared" si="126"/>
        <v/>
      </c>
      <c r="DL78" s="105" t="str">
        <f t="shared" si="127"/>
        <v/>
      </c>
      <c r="DM78" s="105" t="str">
        <f t="shared" si="128"/>
        <v/>
      </c>
      <c r="DN78" s="105" t="str">
        <f t="shared" si="129"/>
        <v/>
      </c>
      <c r="DO78" s="105" t="str">
        <f t="shared" si="130"/>
        <v/>
      </c>
      <c r="DP78" s="105" t="str">
        <f t="shared" si="131"/>
        <v/>
      </c>
      <c r="DR78" s="118" t="str">
        <f t="shared" si="164"/>
        <v xml:space="preserve">    </v>
      </c>
      <c r="DS78" s="75"/>
      <c r="DT78" s="119" t="str">
        <f t="shared" si="165"/>
        <v xml:space="preserve">    </v>
      </c>
      <c r="DU78" s="136"/>
      <c r="DV78" s="119" t="str">
        <f t="shared" si="166"/>
        <v xml:space="preserve">    </v>
      </c>
      <c r="DW78" s="75"/>
      <c r="DX78" s="119" t="str">
        <f t="shared" si="167"/>
        <v xml:space="preserve">     </v>
      </c>
      <c r="DY78" s="75"/>
      <c r="DZ78" s="119" t="str">
        <f t="shared" si="168"/>
        <v xml:space="preserve">    </v>
      </c>
    </row>
    <row r="79" spans="1:130" ht="30" customHeight="1" x14ac:dyDescent="0.25">
      <c r="A79" s="105" t="str">
        <f>IF('Marks Entry'!A79="","",'Marks Entry'!A79)</f>
        <v/>
      </c>
      <c r="B79" s="105" t="str">
        <f>IF('Marks Entry'!B79="","",'Marks Entry'!B79)</f>
        <v/>
      </c>
      <c r="C79" s="105" t="str">
        <f>IF('Marks Entry'!C79="","",'Marks Entry'!C79)</f>
        <v/>
      </c>
      <c r="D79" s="48" t="str">
        <f>IF('Marks Entry'!D79="","",'Marks Entry'!D79)</f>
        <v/>
      </c>
      <c r="E79" s="48" t="str">
        <f>IF('Marks Entry'!E79="","",'Marks Entry'!E79)</f>
        <v/>
      </c>
      <c r="F79" s="48" t="str">
        <f>IF('Marks Entry'!F79="","",'Marks Entry'!F79)</f>
        <v/>
      </c>
      <c r="G79" s="105" t="str">
        <f>IF('Marks Entry'!G79="","",'Marks Entry'!G79)</f>
        <v/>
      </c>
      <c r="H79" s="49" t="str">
        <f>IF('Marks Entry'!H79="","",'Marks Entry'!H79)</f>
        <v/>
      </c>
      <c r="I79" s="105" t="str">
        <f>IF('Marks Entry'!I79="","",'Marks Entry'!I79)</f>
        <v/>
      </c>
      <c r="J79" s="105" t="str">
        <f>IF('Marks Entry'!K79="","",'Marks Entry'!K79)</f>
        <v/>
      </c>
      <c r="K79" s="105" t="str">
        <f>IF('Marks Entry'!L79="","",'Marks Entry'!L79)</f>
        <v/>
      </c>
      <c r="L79" s="105" t="str">
        <f>IF(AND('Marks Entry'!M79="",'Marks Entry'!N79=""),"",SUM('Marks Entry'!M79:N79))</f>
        <v/>
      </c>
      <c r="M79" s="105" t="str">
        <f>IF(AND('Marks Entry'!O79="",'Marks Entry'!P79=""),"",SUM('Marks Entry'!O79:P79))</f>
        <v/>
      </c>
      <c r="N79" s="105" t="str">
        <f t="shared" si="101"/>
        <v/>
      </c>
      <c r="O79" s="105" t="str">
        <f t="shared" si="132"/>
        <v/>
      </c>
      <c r="P79" s="105" t="str">
        <f t="shared" si="133"/>
        <v/>
      </c>
      <c r="Q79" s="105" t="str">
        <f>IF('Marks Entry'!R79="","",'Marks Entry'!R79)</f>
        <v/>
      </c>
      <c r="R79" s="105" t="str">
        <f>IF('Marks Entry'!S79="","",'Marks Entry'!S79)</f>
        <v/>
      </c>
      <c r="S79" s="105" t="str">
        <f>IF(AND('Marks Entry'!T79="",'Marks Entry'!U79=""),"",SUM('Marks Entry'!T79:U79))</f>
        <v/>
      </c>
      <c r="T79" s="105" t="str">
        <f>IF(AND('Marks Entry'!V79="",'Marks Entry'!W79=""),"",SUM('Marks Entry'!V79:W79))</f>
        <v/>
      </c>
      <c r="U79" s="105" t="str">
        <f t="shared" si="134"/>
        <v/>
      </c>
      <c r="V79" s="105" t="str">
        <f t="shared" si="135"/>
        <v/>
      </c>
      <c r="W79" s="105" t="str">
        <f t="shared" si="136"/>
        <v/>
      </c>
      <c r="X79" s="47" t="str">
        <f>IF(B79="","",IF('Marks Entry'!Y79="",'Marks Entry'!$Y$4,'Marks Entry'!Y79))</f>
        <v/>
      </c>
      <c r="Y79" s="105" t="str">
        <f>IF('Marks Entry'!Z79="","",'Marks Entry'!Z79)</f>
        <v/>
      </c>
      <c r="Z79" s="105" t="str">
        <f>IF('Marks Entry'!AA79="","",'Marks Entry'!AA79)</f>
        <v/>
      </c>
      <c r="AA79" s="105" t="str">
        <f>IF(AND('Marks Entry'!AB79="",'Marks Entry'!AC79=""),"",SUM('Marks Entry'!AB79:AC79))</f>
        <v/>
      </c>
      <c r="AB79" s="105" t="str">
        <f>IF('Marks Entry'!AD79="","",'Marks Entry'!AD79)</f>
        <v/>
      </c>
      <c r="AC79" s="105" t="str">
        <f t="shared" si="137"/>
        <v/>
      </c>
      <c r="AD79" s="105" t="str">
        <f>IF(AND('Marks Entry'!AE79="",'Marks Entry'!AF79=""),"",SUM('Marks Entry'!AE79:AF79))</f>
        <v/>
      </c>
      <c r="AE79" s="105" t="str">
        <f>IF('Marks Entry'!AG79="","",'Marks Entry'!AG79)</f>
        <v/>
      </c>
      <c r="AF79" s="105" t="str">
        <f t="shared" si="138"/>
        <v/>
      </c>
      <c r="AG79" s="105" t="str">
        <f t="shared" si="139"/>
        <v/>
      </c>
      <c r="AH79" s="105" t="str">
        <f t="shared" si="140"/>
        <v/>
      </c>
      <c r="AI79" s="105" t="str">
        <f t="shared" si="141"/>
        <v/>
      </c>
      <c r="AJ79" s="47" t="str">
        <f>IF(B79="","",IF('Marks Entry'!AI79="",'Marks Entry'!$AI$4,'Marks Entry'!AI79))</f>
        <v/>
      </c>
      <c r="AK79" s="105" t="str">
        <f>IF('Marks Entry'!AJ79="","",'Marks Entry'!AJ79)</f>
        <v/>
      </c>
      <c r="AL79" s="105" t="str">
        <f>IF('Marks Entry'!AK79="","",'Marks Entry'!AK79)</f>
        <v/>
      </c>
      <c r="AM79" s="105" t="str">
        <f>IF(AND('Marks Entry'!AL79="",'Marks Entry'!AM79=""),"",SUM('Marks Entry'!AL79:AM79))</f>
        <v/>
      </c>
      <c r="AN79" s="105" t="str">
        <f>IF('Marks Entry'!AN79="","",'Marks Entry'!AN79)</f>
        <v/>
      </c>
      <c r="AO79" s="105" t="str">
        <f t="shared" si="142"/>
        <v/>
      </c>
      <c r="AP79" s="105" t="str">
        <f>IF(AND('Marks Entry'!AO79="",'Marks Entry'!AP79=""),"",SUM('Marks Entry'!AO79:AP79))</f>
        <v/>
      </c>
      <c r="AQ79" s="105" t="str">
        <f>IF('Marks Entry'!AQ79="","",'Marks Entry'!AQ79)</f>
        <v/>
      </c>
      <c r="AR79" s="105" t="str">
        <f t="shared" si="143"/>
        <v/>
      </c>
      <c r="AS79" s="105" t="str">
        <f t="shared" si="144"/>
        <v/>
      </c>
      <c r="AT79" s="105" t="str">
        <f t="shared" si="145"/>
        <v/>
      </c>
      <c r="AU79" s="105" t="str">
        <f t="shared" si="146"/>
        <v/>
      </c>
      <c r="AV79" s="47" t="str">
        <f>IF(B79="","",IF('Marks Entry'!AS79="",'Marks Entry'!$AS$4,'Marks Entry'!AS79))</f>
        <v/>
      </c>
      <c r="AW79" s="105" t="str">
        <f>IF('Marks Entry'!AT79="","",'Marks Entry'!AT79)</f>
        <v/>
      </c>
      <c r="AX79" s="105" t="str">
        <f>IF('Marks Entry'!AU79="","",'Marks Entry'!AU79)</f>
        <v/>
      </c>
      <c r="AY79" s="105" t="str">
        <f>IF(AND('Marks Entry'!AV79="",'Marks Entry'!AW79=""),"",SUM('Marks Entry'!AV79:AW79))</f>
        <v/>
      </c>
      <c r="AZ79" s="105" t="str">
        <f>IF('Marks Entry'!AX79="","",'Marks Entry'!AX79)</f>
        <v/>
      </c>
      <c r="BA79" s="105">
        <f t="shared" si="147"/>
        <v>0</v>
      </c>
      <c r="BB79" s="105" t="str">
        <f>IF(AND('Marks Entry'!AY79="",'Marks Entry'!AZ79=""),"",SUM('Marks Entry'!AY79:AZ79))</f>
        <v/>
      </c>
      <c r="BC79" s="105" t="str">
        <f>IF('Marks Entry'!BA79="","",'Marks Entry'!BA79)</f>
        <v/>
      </c>
      <c r="BD79" s="105">
        <f t="shared" si="148"/>
        <v>0</v>
      </c>
      <c r="BE79" s="105">
        <f t="shared" si="149"/>
        <v>0</v>
      </c>
      <c r="BF79" s="105" t="str">
        <f t="shared" si="150"/>
        <v/>
      </c>
      <c r="BG79" s="105" t="str">
        <f t="shared" si="151"/>
        <v/>
      </c>
      <c r="BH79" s="105" t="str">
        <f t="shared" si="152"/>
        <v/>
      </c>
      <c r="BI79" s="50" t="str">
        <f t="shared" si="102"/>
        <v/>
      </c>
      <c r="BJ79" s="47" t="str">
        <f t="shared" si="103"/>
        <v/>
      </c>
      <c r="BK79" s="105" t="str">
        <f t="shared" si="153"/>
        <v/>
      </c>
      <c r="BL79" s="105" t="str">
        <f t="shared" si="154"/>
        <v/>
      </c>
      <c r="BM79" s="105" t="str">
        <f>IF(OR(B79="",'Marks Entry'!BY79=""),"",'Marks Entry'!BY79)</f>
        <v/>
      </c>
      <c r="BN79" s="105" t="str">
        <f>IF(OR(B79="",'Marks Entry'!BZ79=""),"",'Marks Entry'!BZ79)</f>
        <v/>
      </c>
      <c r="BO79" s="105" t="str">
        <f>IF('Marks Entry'!BC79="","",'Marks Entry'!BC79)</f>
        <v/>
      </c>
      <c r="BP79" s="105" t="str">
        <f>IF('Marks Entry'!BD79="","",'Marks Entry'!BD79)</f>
        <v/>
      </c>
      <c r="BQ79" s="105" t="str">
        <f>IF(AND('Marks Entry'!BE79="",'Marks Entry'!BF79=""),"",SUM('Marks Entry'!BE79:BF79))</f>
        <v/>
      </c>
      <c r="BR79" s="105" t="str">
        <f>IF(AND('Marks Entry'!BG79="",'Marks Entry'!BH79=""),"",SUM('Marks Entry'!BG79:BH79))</f>
        <v/>
      </c>
      <c r="BS79" s="105" t="str">
        <f t="shared" si="155"/>
        <v/>
      </c>
      <c r="BT79" s="105" t="str">
        <f t="shared" si="156"/>
        <v/>
      </c>
      <c r="BU79" s="105" t="str">
        <f t="shared" si="157"/>
        <v/>
      </c>
      <c r="BV79" s="105" t="str">
        <f>IF('Marks Entry'!BJ79="","",'Marks Entry'!BJ79)</f>
        <v/>
      </c>
      <c r="BW79" s="105" t="str">
        <f>IF('Marks Entry'!BK79="","",'Marks Entry'!BK79)</f>
        <v/>
      </c>
      <c r="BX79" s="105" t="str">
        <f>IF(AND('Marks Entry'!BL79="",'Marks Entry'!BM79=""),"",SUM('Marks Entry'!BL79:BM79))</f>
        <v/>
      </c>
      <c r="BY79" s="105" t="str">
        <f>IF(AND('Marks Entry'!BN79="",'Marks Entry'!BO79=""),"",SUM('Marks Entry'!BN79:BO79))</f>
        <v/>
      </c>
      <c r="BZ79" s="105" t="str">
        <f t="shared" si="158"/>
        <v/>
      </c>
      <c r="CA79" s="105" t="str">
        <f t="shared" si="159"/>
        <v/>
      </c>
      <c r="CB79" s="105" t="str">
        <f t="shared" si="160"/>
        <v/>
      </c>
      <c r="CC79" s="105" t="str">
        <f>IF('Marks Entry'!BQ79="","",'Marks Entry'!BQ79)</f>
        <v/>
      </c>
      <c r="CD79" s="105" t="str">
        <f>IF('Marks Entry'!BR79="","",'Marks Entry'!BR79)</f>
        <v/>
      </c>
      <c r="CE79" s="105" t="str">
        <f>IF(AND('Marks Entry'!BS79="",'Marks Entry'!BT79=""),"",SUM('Marks Entry'!BS79:BT79))</f>
        <v/>
      </c>
      <c r="CF79" s="105" t="str">
        <f>IF(AND('Marks Entry'!BU79="",'Marks Entry'!BV79=""),"",SUM('Marks Entry'!BU79:BV79))</f>
        <v/>
      </c>
      <c r="CG79" s="105" t="str">
        <f t="shared" si="161"/>
        <v/>
      </c>
      <c r="CH79" s="105" t="str">
        <f t="shared" si="162"/>
        <v/>
      </c>
      <c r="CI79" s="105" t="str">
        <f t="shared" si="163"/>
        <v/>
      </c>
      <c r="CJ79" s="81"/>
      <c r="CK79" s="50" t="str">
        <f t="shared" si="104"/>
        <v/>
      </c>
      <c r="CM79" s="105" t="str">
        <f t="shared" si="105"/>
        <v/>
      </c>
      <c r="CN79" s="105" t="str">
        <f t="shared" si="106"/>
        <v/>
      </c>
      <c r="CO79" s="105" t="str">
        <f t="shared" si="107"/>
        <v/>
      </c>
      <c r="CP79" s="105" t="str">
        <f t="shared" si="108"/>
        <v/>
      </c>
      <c r="CQ79" s="105" t="str">
        <f t="shared" si="109"/>
        <v/>
      </c>
      <c r="CS79" s="105">
        <f t="shared" si="110"/>
        <v>0</v>
      </c>
      <c r="CT79" s="105">
        <f t="shared" si="111"/>
        <v>0</v>
      </c>
      <c r="CU79" s="105">
        <f t="shared" si="112"/>
        <v>0</v>
      </c>
      <c r="CV79" s="105">
        <f t="shared" si="113"/>
        <v>0</v>
      </c>
      <c r="CW79" s="81"/>
      <c r="CX79" s="105" t="str">
        <f t="shared" si="114"/>
        <v/>
      </c>
      <c r="CY79" s="105" t="str">
        <f t="shared" si="115"/>
        <v/>
      </c>
      <c r="CZ79" s="105" t="str">
        <f t="shared" si="116"/>
        <v/>
      </c>
      <c r="DA79" s="105" t="str">
        <f t="shared" si="117"/>
        <v/>
      </c>
      <c r="DB79" s="105" t="str">
        <f t="shared" si="118"/>
        <v/>
      </c>
      <c r="DD79" s="105" t="str">
        <f t="shared" si="119"/>
        <v/>
      </c>
      <c r="DE79" s="105" t="str">
        <f t="shared" si="120"/>
        <v/>
      </c>
      <c r="DF79" s="105" t="str">
        <f t="shared" si="121"/>
        <v/>
      </c>
      <c r="DG79" s="105" t="str">
        <f t="shared" si="122"/>
        <v/>
      </c>
      <c r="DH79" s="105" t="str">
        <f t="shared" si="123"/>
        <v/>
      </c>
      <c r="DI79" s="105" t="str">
        <f t="shared" si="124"/>
        <v/>
      </c>
      <c r="DJ79" s="105" t="str">
        <f t="shared" si="125"/>
        <v/>
      </c>
      <c r="DK79" s="105" t="str">
        <f t="shared" si="126"/>
        <v/>
      </c>
      <c r="DL79" s="105" t="str">
        <f t="shared" si="127"/>
        <v/>
      </c>
      <c r="DM79" s="105" t="str">
        <f t="shared" si="128"/>
        <v/>
      </c>
      <c r="DN79" s="105" t="str">
        <f t="shared" si="129"/>
        <v/>
      </c>
      <c r="DO79" s="105" t="str">
        <f t="shared" si="130"/>
        <v/>
      </c>
      <c r="DP79" s="105" t="str">
        <f t="shared" si="131"/>
        <v/>
      </c>
      <c r="DR79" s="118" t="str">
        <f t="shared" si="164"/>
        <v xml:space="preserve">    </v>
      </c>
      <c r="DS79" s="75"/>
      <c r="DT79" s="119" t="str">
        <f t="shared" si="165"/>
        <v xml:space="preserve">    </v>
      </c>
      <c r="DU79" s="136"/>
      <c r="DV79" s="119" t="str">
        <f t="shared" si="166"/>
        <v xml:space="preserve">    </v>
      </c>
      <c r="DW79" s="75"/>
      <c r="DX79" s="119" t="str">
        <f t="shared" si="167"/>
        <v xml:space="preserve">     </v>
      </c>
      <c r="DY79" s="75"/>
      <c r="DZ79" s="119" t="str">
        <f t="shared" si="168"/>
        <v xml:space="preserve">    </v>
      </c>
    </row>
    <row r="80" spans="1:130" ht="30" customHeight="1" x14ac:dyDescent="0.25">
      <c r="A80" s="105" t="str">
        <f>IF('Marks Entry'!A80="","",'Marks Entry'!A80)</f>
        <v/>
      </c>
      <c r="B80" s="105" t="str">
        <f>IF('Marks Entry'!B80="","",'Marks Entry'!B80)</f>
        <v/>
      </c>
      <c r="C80" s="105" t="str">
        <f>IF('Marks Entry'!C80="","",'Marks Entry'!C80)</f>
        <v/>
      </c>
      <c r="D80" s="48" t="str">
        <f>IF('Marks Entry'!D80="","",'Marks Entry'!D80)</f>
        <v/>
      </c>
      <c r="E80" s="48" t="str">
        <f>IF('Marks Entry'!E80="","",'Marks Entry'!E80)</f>
        <v/>
      </c>
      <c r="F80" s="48" t="str">
        <f>IF('Marks Entry'!F80="","",'Marks Entry'!F80)</f>
        <v/>
      </c>
      <c r="G80" s="105" t="str">
        <f>IF('Marks Entry'!G80="","",'Marks Entry'!G80)</f>
        <v/>
      </c>
      <c r="H80" s="49" t="str">
        <f>IF('Marks Entry'!H80="","",'Marks Entry'!H80)</f>
        <v/>
      </c>
      <c r="I80" s="105" t="str">
        <f>IF('Marks Entry'!I80="","",'Marks Entry'!I80)</f>
        <v/>
      </c>
      <c r="J80" s="105" t="str">
        <f>IF('Marks Entry'!K80="","",'Marks Entry'!K80)</f>
        <v/>
      </c>
      <c r="K80" s="105" t="str">
        <f>IF('Marks Entry'!L80="","",'Marks Entry'!L80)</f>
        <v/>
      </c>
      <c r="L80" s="105" t="str">
        <f>IF(AND('Marks Entry'!M80="",'Marks Entry'!N80=""),"",SUM('Marks Entry'!M80:N80))</f>
        <v/>
      </c>
      <c r="M80" s="105" t="str">
        <f>IF(AND('Marks Entry'!O80="",'Marks Entry'!P80=""),"",SUM('Marks Entry'!O80:P80))</f>
        <v/>
      </c>
      <c r="N80" s="105" t="str">
        <f t="shared" si="101"/>
        <v/>
      </c>
      <c r="O80" s="105" t="str">
        <f t="shared" si="132"/>
        <v/>
      </c>
      <c r="P80" s="105" t="str">
        <f t="shared" si="133"/>
        <v/>
      </c>
      <c r="Q80" s="105" t="str">
        <f>IF('Marks Entry'!R80="","",'Marks Entry'!R80)</f>
        <v/>
      </c>
      <c r="R80" s="105" t="str">
        <f>IF('Marks Entry'!S80="","",'Marks Entry'!S80)</f>
        <v/>
      </c>
      <c r="S80" s="105" t="str">
        <f>IF(AND('Marks Entry'!T80="",'Marks Entry'!U80=""),"",SUM('Marks Entry'!T80:U80))</f>
        <v/>
      </c>
      <c r="T80" s="105" t="str">
        <f>IF(AND('Marks Entry'!V80="",'Marks Entry'!W80=""),"",SUM('Marks Entry'!V80:W80))</f>
        <v/>
      </c>
      <c r="U80" s="105" t="str">
        <f t="shared" si="134"/>
        <v/>
      </c>
      <c r="V80" s="105" t="str">
        <f t="shared" si="135"/>
        <v/>
      </c>
      <c r="W80" s="105" t="str">
        <f t="shared" si="136"/>
        <v/>
      </c>
      <c r="X80" s="47" t="str">
        <f>IF(B80="","",IF('Marks Entry'!Y80="",'Marks Entry'!$Y$4,'Marks Entry'!Y80))</f>
        <v/>
      </c>
      <c r="Y80" s="105" t="str">
        <f>IF('Marks Entry'!Z80="","",'Marks Entry'!Z80)</f>
        <v/>
      </c>
      <c r="Z80" s="105" t="str">
        <f>IF('Marks Entry'!AA80="","",'Marks Entry'!AA80)</f>
        <v/>
      </c>
      <c r="AA80" s="105" t="str">
        <f>IF(AND('Marks Entry'!AB80="",'Marks Entry'!AC80=""),"",SUM('Marks Entry'!AB80:AC80))</f>
        <v/>
      </c>
      <c r="AB80" s="105" t="str">
        <f>IF('Marks Entry'!AD80="","",'Marks Entry'!AD80)</f>
        <v/>
      </c>
      <c r="AC80" s="105" t="str">
        <f t="shared" si="137"/>
        <v/>
      </c>
      <c r="AD80" s="105" t="str">
        <f>IF(AND('Marks Entry'!AE80="",'Marks Entry'!AF80=""),"",SUM('Marks Entry'!AE80:AF80))</f>
        <v/>
      </c>
      <c r="AE80" s="105" t="str">
        <f>IF('Marks Entry'!AG80="","",'Marks Entry'!AG80)</f>
        <v/>
      </c>
      <c r="AF80" s="105" t="str">
        <f t="shared" si="138"/>
        <v/>
      </c>
      <c r="AG80" s="105" t="str">
        <f t="shared" si="139"/>
        <v/>
      </c>
      <c r="AH80" s="105" t="str">
        <f t="shared" si="140"/>
        <v/>
      </c>
      <c r="AI80" s="105" t="str">
        <f t="shared" si="141"/>
        <v/>
      </c>
      <c r="AJ80" s="47" t="str">
        <f>IF(B80="","",IF('Marks Entry'!AI80="",'Marks Entry'!$AI$4,'Marks Entry'!AI80))</f>
        <v/>
      </c>
      <c r="AK80" s="105" t="str">
        <f>IF('Marks Entry'!AJ80="","",'Marks Entry'!AJ80)</f>
        <v/>
      </c>
      <c r="AL80" s="105" t="str">
        <f>IF('Marks Entry'!AK80="","",'Marks Entry'!AK80)</f>
        <v/>
      </c>
      <c r="AM80" s="105" t="str">
        <f>IF(AND('Marks Entry'!AL80="",'Marks Entry'!AM80=""),"",SUM('Marks Entry'!AL80:AM80))</f>
        <v/>
      </c>
      <c r="AN80" s="105" t="str">
        <f>IF('Marks Entry'!AN80="","",'Marks Entry'!AN80)</f>
        <v/>
      </c>
      <c r="AO80" s="105" t="str">
        <f t="shared" si="142"/>
        <v/>
      </c>
      <c r="AP80" s="105" t="str">
        <f>IF(AND('Marks Entry'!AO80="",'Marks Entry'!AP80=""),"",SUM('Marks Entry'!AO80:AP80))</f>
        <v/>
      </c>
      <c r="AQ80" s="105" t="str">
        <f>IF('Marks Entry'!AQ80="","",'Marks Entry'!AQ80)</f>
        <v/>
      </c>
      <c r="AR80" s="105" t="str">
        <f t="shared" si="143"/>
        <v/>
      </c>
      <c r="AS80" s="105" t="str">
        <f t="shared" si="144"/>
        <v/>
      </c>
      <c r="AT80" s="105" t="str">
        <f t="shared" si="145"/>
        <v/>
      </c>
      <c r="AU80" s="105" t="str">
        <f t="shared" si="146"/>
        <v/>
      </c>
      <c r="AV80" s="47" t="str">
        <f>IF(B80="","",IF('Marks Entry'!AS80="",'Marks Entry'!$AS$4,'Marks Entry'!AS80))</f>
        <v/>
      </c>
      <c r="AW80" s="105" t="str">
        <f>IF('Marks Entry'!AT80="","",'Marks Entry'!AT80)</f>
        <v/>
      </c>
      <c r="AX80" s="105" t="str">
        <f>IF('Marks Entry'!AU80="","",'Marks Entry'!AU80)</f>
        <v/>
      </c>
      <c r="AY80" s="105" t="str">
        <f>IF(AND('Marks Entry'!AV80="",'Marks Entry'!AW80=""),"",SUM('Marks Entry'!AV80:AW80))</f>
        <v/>
      </c>
      <c r="AZ80" s="105" t="str">
        <f>IF('Marks Entry'!AX80="","",'Marks Entry'!AX80)</f>
        <v/>
      </c>
      <c r="BA80" s="105">
        <f t="shared" si="147"/>
        <v>0</v>
      </c>
      <c r="BB80" s="105" t="str">
        <f>IF(AND('Marks Entry'!AY80="",'Marks Entry'!AZ80=""),"",SUM('Marks Entry'!AY80:AZ80))</f>
        <v/>
      </c>
      <c r="BC80" s="105" t="str">
        <f>IF('Marks Entry'!BA80="","",'Marks Entry'!BA80)</f>
        <v/>
      </c>
      <c r="BD80" s="105">
        <f t="shared" si="148"/>
        <v>0</v>
      </c>
      <c r="BE80" s="105">
        <f t="shared" si="149"/>
        <v>0</v>
      </c>
      <c r="BF80" s="105" t="str">
        <f t="shared" si="150"/>
        <v/>
      </c>
      <c r="BG80" s="105" t="str">
        <f t="shared" si="151"/>
        <v/>
      </c>
      <c r="BH80" s="105" t="str">
        <f t="shared" si="152"/>
        <v/>
      </c>
      <c r="BI80" s="50" t="str">
        <f t="shared" si="102"/>
        <v/>
      </c>
      <c r="BJ80" s="47" t="str">
        <f t="shared" si="103"/>
        <v/>
      </c>
      <c r="BK80" s="105" t="str">
        <f t="shared" si="153"/>
        <v/>
      </c>
      <c r="BL80" s="105" t="str">
        <f t="shared" si="154"/>
        <v/>
      </c>
      <c r="BM80" s="105" t="str">
        <f>IF(OR(B80="",'Marks Entry'!BY80=""),"",'Marks Entry'!BY80)</f>
        <v/>
      </c>
      <c r="BN80" s="105" t="str">
        <f>IF(OR(B80="",'Marks Entry'!BZ80=""),"",'Marks Entry'!BZ80)</f>
        <v/>
      </c>
      <c r="BO80" s="105" t="str">
        <f>IF('Marks Entry'!BC80="","",'Marks Entry'!BC80)</f>
        <v/>
      </c>
      <c r="BP80" s="105" t="str">
        <f>IF('Marks Entry'!BD80="","",'Marks Entry'!BD80)</f>
        <v/>
      </c>
      <c r="BQ80" s="105" t="str">
        <f>IF(AND('Marks Entry'!BE80="",'Marks Entry'!BF80=""),"",SUM('Marks Entry'!BE80:BF80))</f>
        <v/>
      </c>
      <c r="BR80" s="105" t="str">
        <f>IF(AND('Marks Entry'!BG80="",'Marks Entry'!BH80=""),"",SUM('Marks Entry'!BG80:BH80))</f>
        <v/>
      </c>
      <c r="BS80" s="105" t="str">
        <f t="shared" si="155"/>
        <v/>
      </c>
      <c r="BT80" s="105" t="str">
        <f t="shared" si="156"/>
        <v/>
      </c>
      <c r="BU80" s="105" t="str">
        <f t="shared" si="157"/>
        <v/>
      </c>
      <c r="BV80" s="105" t="str">
        <f>IF('Marks Entry'!BJ80="","",'Marks Entry'!BJ80)</f>
        <v/>
      </c>
      <c r="BW80" s="105" t="str">
        <f>IF('Marks Entry'!BK80="","",'Marks Entry'!BK80)</f>
        <v/>
      </c>
      <c r="BX80" s="105" t="str">
        <f>IF(AND('Marks Entry'!BL80="",'Marks Entry'!BM80=""),"",SUM('Marks Entry'!BL80:BM80))</f>
        <v/>
      </c>
      <c r="BY80" s="105" t="str">
        <f>IF(AND('Marks Entry'!BN80="",'Marks Entry'!BO80=""),"",SUM('Marks Entry'!BN80:BO80))</f>
        <v/>
      </c>
      <c r="BZ80" s="105" t="str">
        <f t="shared" si="158"/>
        <v/>
      </c>
      <c r="CA80" s="105" t="str">
        <f t="shared" si="159"/>
        <v/>
      </c>
      <c r="CB80" s="105" t="str">
        <f t="shared" si="160"/>
        <v/>
      </c>
      <c r="CC80" s="105" t="str">
        <f>IF('Marks Entry'!BQ80="","",'Marks Entry'!BQ80)</f>
        <v/>
      </c>
      <c r="CD80" s="105" t="str">
        <f>IF('Marks Entry'!BR80="","",'Marks Entry'!BR80)</f>
        <v/>
      </c>
      <c r="CE80" s="105" t="str">
        <f>IF(AND('Marks Entry'!BS80="",'Marks Entry'!BT80=""),"",SUM('Marks Entry'!BS80:BT80))</f>
        <v/>
      </c>
      <c r="CF80" s="105" t="str">
        <f>IF(AND('Marks Entry'!BU80="",'Marks Entry'!BV80=""),"",SUM('Marks Entry'!BU80:BV80))</f>
        <v/>
      </c>
      <c r="CG80" s="105" t="str">
        <f t="shared" si="161"/>
        <v/>
      </c>
      <c r="CH80" s="105" t="str">
        <f t="shared" si="162"/>
        <v/>
      </c>
      <c r="CI80" s="105" t="str">
        <f t="shared" si="163"/>
        <v/>
      </c>
      <c r="CJ80" s="81"/>
      <c r="CK80" s="50" t="str">
        <f t="shared" si="104"/>
        <v/>
      </c>
      <c r="CM80" s="105" t="str">
        <f t="shared" si="105"/>
        <v/>
      </c>
      <c r="CN80" s="105" t="str">
        <f t="shared" si="106"/>
        <v/>
      </c>
      <c r="CO80" s="105" t="str">
        <f t="shared" si="107"/>
        <v/>
      </c>
      <c r="CP80" s="105" t="str">
        <f t="shared" si="108"/>
        <v/>
      </c>
      <c r="CQ80" s="105" t="str">
        <f t="shared" si="109"/>
        <v/>
      </c>
      <c r="CS80" s="105">
        <f t="shared" si="110"/>
        <v>0</v>
      </c>
      <c r="CT80" s="105">
        <f t="shared" si="111"/>
        <v>0</v>
      </c>
      <c r="CU80" s="105">
        <f t="shared" si="112"/>
        <v>0</v>
      </c>
      <c r="CV80" s="105">
        <f t="shared" si="113"/>
        <v>0</v>
      </c>
      <c r="CW80" s="81"/>
      <c r="CX80" s="105" t="str">
        <f t="shared" si="114"/>
        <v/>
      </c>
      <c r="CY80" s="105" t="str">
        <f t="shared" si="115"/>
        <v/>
      </c>
      <c r="CZ80" s="105" t="str">
        <f t="shared" si="116"/>
        <v/>
      </c>
      <c r="DA80" s="105" t="str">
        <f t="shared" si="117"/>
        <v/>
      </c>
      <c r="DB80" s="105" t="str">
        <f t="shared" si="118"/>
        <v/>
      </c>
      <c r="DD80" s="105" t="str">
        <f t="shared" si="119"/>
        <v/>
      </c>
      <c r="DE80" s="105" t="str">
        <f t="shared" si="120"/>
        <v/>
      </c>
      <c r="DF80" s="105" t="str">
        <f t="shared" si="121"/>
        <v/>
      </c>
      <c r="DG80" s="105" t="str">
        <f t="shared" si="122"/>
        <v/>
      </c>
      <c r="DH80" s="105" t="str">
        <f t="shared" si="123"/>
        <v/>
      </c>
      <c r="DI80" s="105" t="str">
        <f t="shared" si="124"/>
        <v/>
      </c>
      <c r="DJ80" s="105" t="str">
        <f t="shared" si="125"/>
        <v/>
      </c>
      <c r="DK80" s="105" t="str">
        <f t="shared" si="126"/>
        <v/>
      </c>
      <c r="DL80" s="105" t="str">
        <f t="shared" si="127"/>
        <v/>
      </c>
      <c r="DM80" s="105" t="str">
        <f t="shared" si="128"/>
        <v/>
      </c>
      <c r="DN80" s="105" t="str">
        <f t="shared" si="129"/>
        <v/>
      </c>
      <c r="DO80" s="105" t="str">
        <f t="shared" si="130"/>
        <v/>
      </c>
      <c r="DP80" s="105" t="str">
        <f t="shared" si="131"/>
        <v/>
      </c>
      <c r="DR80" s="118" t="str">
        <f t="shared" si="164"/>
        <v xml:space="preserve">    </v>
      </c>
      <c r="DS80" s="75"/>
      <c r="DT80" s="119" t="str">
        <f t="shared" si="165"/>
        <v xml:space="preserve">    </v>
      </c>
      <c r="DU80" s="136"/>
      <c r="DV80" s="119" t="str">
        <f t="shared" si="166"/>
        <v xml:space="preserve">    </v>
      </c>
      <c r="DW80" s="75"/>
      <c r="DX80" s="119" t="str">
        <f t="shared" si="167"/>
        <v xml:space="preserve">     </v>
      </c>
      <c r="DY80" s="75"/>
      <c r="DZ80" s="119" t="str">
        <f t="shared" si="168"/>
        <v xml:space="preserve">    </v>
      </c>
    </row>
    <row r="81" spans="1:130" ht="30" customHeight="1" x14ac:dyDescent="0.25">
      <c r="A81" s="105" t="str">
        <f>IF('Marks Entry'!A81="","",'Marks Entry'!A81)</f>
        <v/>
      </c>
      <c r="B81" s="105" t="str">
        <f>IF('Marks Entry'!B81="","",'Marks Entry'!B81)</f>
        <v/>
      </c>
      <c r="C81" s="105" t="str">
        <f>IF('Marks Entry'!C81="","",'Marks Entry'!C81)</f>
        <v/>
      </c>
      <c r="D81" s="48" t="str">
        <f>IF('Marks Entry'!D81="","",'Marks Entry'!D81)</f>
        <v/>
      </c>
      <c r="E81" s="48" t="str">
        <f>IF('Marks Entry'!E81="","",'Marks Entry'!E81)</f>
        <v/>
      </c>
      <c r="F81" s="48" t="str">
        <f>IF('Marks Entry'!F81="","",'Marks Entry'!F81)</f>
        <v/>
      </c>
      <c r="G81" s="105" t="str">
        <f>IF('Marks Entry'!G81="","",'Marks Entry'!G81)</f>
        <v/>
      </c>
      <c r="H81" s="49" t="str">
        <f>IF('Marks Entry'!H81="","",'Marks Entry'!H81)</f>
        <v/>
      </c>
      <c r="I81" s="105" t="str">
        <f>IF('Marks Entry'!I81="","",'Marks Entry'!I81)</f>
        <v/>
      </c>
      <c r="J81" s="105" t="str">
        <f>IF('Marks Entry'!K81="","",'Marks Entry'!K81)</f>
        <v/>
      </c>
      <c r="K81" s="105" t="str">
        <f>IF('Marks Entry'!L81="","",'Marks Entry'!L81)</f>
        <v/>
      </c>
      <c r="L81" s="105" t="str">
        <f>IF(AND('Marks Entry'!M81="",'Marks Entry'!N81=""),"",SUM('Marks Entry'!M81:N81))</f>
        <v/>
      </c>
      <c r="M81" s="105" t="str">
        <f>IF(AND('Marks Entry'!O81="",'Marks Entry'!P81=""),"",SUM('Marks Entry'!O81:P81))</f>
        <v/>
      </c>
      <c r="N81" s="105" t="str">
        <f t="shared" si="101"/>
        <v/>
      </c>
      <c r="O81" s="105" t="str">
        <f t="shared" si="132"/>
        <v/>
      </c>
      <c r="P81" s="105" t="str">
        <f t="shared" si="133"/>
        <v/>
      </c>
      <c r="Q81" s="105" t="str">
        <f>IF('Marks Entry'!R81="","",'Marks Entry'!R81)</f>
        <v/>
      </c>
      <c r="R81" s="105" t="str">
        <f>IF('Marks Entry'!S81="","",'Marks Entry'!S81)</f>
        <v/>
      </c>
      <c r="S81" s="105" t="str">
        <f>IF(AND('Marks Entry'!T81="",'Marks Entry'!U81=""),"",SUM('Marks Entry'!T81:U81))</f>
        <v/>
      </c>
      <c r="T81" s="105" t="str">
        <f>IF(AND('Marks Entry'!V81="",'Marks Entry'!W81=""),"",SUM('Marks Entry'!V81:W81))</f>
        <v/>
      </c>
      <c r="U81" s="105" t="str">
        <f t="shared" si="134"/>
        <v/>
      </c>
      <c r="V81" s="105" t="str">
        <f t="shared" si="135"/>
        <v/>
      </c>
      <c r="W81" s="105" t="str">
        <f t="shared" si="136"/>
        <v/>
      </c>
      <c r="X81" s="47" t="str">
        <f>IF(B81="","",IF('Marks Entry'!Y81="",'Marks Entry'!$Y$4,'Marks Entry'!Y81))</f>
        <v/>
      </c>
      <c r="Y81" s="105" t="str">
        <f>IF('Marks Entry'!Z81="","",'Marks Entry'!Z81)</f>
        <v/>
      </c>
      <c r="Z81" s="105" t="str">
        <f>IF('Marks Entry'!AA81="","",'Marks Entry'!AA81)</f>
        <v/>
      </c>
      <c r="AA81" s="105" t="str">
        <f>IF(AND('Marks Entry'!AB81="",'Marks Entry'!AC81=""),"",SUM('Marks Entry'!AB81:AC81))</f>
        <v/>
      </c>
      <c r="AB81" s="105" t="str">
        <f>IF('Marks Entry'!AD81="","",'Marks Entry'!AD81)</f>
        <v/>
      </c>
      <c r="AC81" s="105" t="str">
        <f t="shared" si="137"/>
        <v/>
      </c>
      <c r="AD81" s="105" t="str">
        <f>IF(AND('Marks Entry'!AE81="",'Marks Entry'!AF81=""),"",SUM('Marks Entry'!AE81:AF81))</f>
        <v/>
      </c>
      <c r="AE81" s="105" t="str">
        <f>IF('Marks Entry'!AG81="","",'Marks Entry'!AG81)</f>
        <v/>
      </c>
      <c r="AF81" s="105" t="str">
        <f t="shared" si="138"/>
        <v/>
      </c>
      <c r="AG81" s="105" t="str">
        <f t="shared" si="139"/>
        <v/>
      </c>
      <c r="AH81" s="105" t="str">
        <f t="shared" si="140"/>
        <v/>
      </c>
      <c r="AI81" s="105" t="str">
        <f t="shared" si="141"/>
        <v/>
      </c>
      <c r="AJ81" s="47" t="str">
        <f>IF(B81="","",IF('Marks Entry'!AI81="",'Marks Entry'!$AI$4,'Marks Entry'!AI81))</f>
        <v/>
      </c>
      <c r="AK81" s="105" t="str">
        <f>IF('Marks Entry'!AJ81="","",'Marks Entry'!AJ81)</f>
        <v/>
      </c>
      <c r="AL81" s="105" t="str">
        <f>IF('Marks Entry'!AK81="","",'Marks Entry'!AK81)</f>
        <v/>
      </c>
      <c r="AM81" s="105" t="str">
        <f>IF(AND('Marks Entry'!AL81="",'Marks Entry'!AM81=""),"",SUM('Marks Entry'!AL81:AM81))</f>
        <v/>
      </c>
      <c r="AN81" s="105" t="str">
        <f>IF('Marks Entry'!AN81="","",'Marks Entry'!AN81)</f>
        <v/>
      </c>
      <c r="AO81" s="105" t="str">
        <f t="shared" si="142"/>
        <v/>
      </c>
      <c r="AP81" s="105" t="str">
        <f>IF(AND('Marks Entry'!AO81="",'Marks Entry'!AP81=""),"",SUM('Marks Entry'!AO81:AP81))</f>
        <v/>
      </c>
      <c r="AQ81" s="105" t="str">
        <f>IF('Marks Entry'!AQ81="","",'Marks Entry'!AQ81)</f>
        <v/>
      </c>
      <c r="AR81" s="105" t="str">
        <f t="shared" si="143"/>
        <v/>
      </c>
      <c r="AS81" s="105" t="str">
        <f t="shared" si="144"/>
        <v/>
      </c>
      <c r="AT81" s="105" t="str">
        <f t="shared" si="145"/>
        <v/>
      </c>
      <c r="AU81" s="105" t="str">
        <f t="shared" si="146"/>
        <v/>
      </c>
      <c r="AV81" s="47" t="str">
        <f>IF(B81="","",IF('Marks Entry'!AS81="",'Marks Entry'!$AS$4,'Marks Entry'!AS81))</f>
        <v/>
      </c>
      <c r="AW81" s="105" t="str">
        <f>IF('Marks Entry'!AT81="","",'Marks Entry'!AT81)</f>
        <v/>
      </c>
      <c r="AX81" s="105" t="str">
        <f>IF('Marks Entry'!AU81="","",'Marks Entry'!AU81)</f>
        <v/>
      </c>
      <c r="AY81" s="105" t="str">
        <f>IF(AND('Marks Entry'!AV81="",'Marks Entry'!AW81=""),"",SUM('Marks Entry'!AV81:AW81))</f>
        <v/>
      </c>
      <c r="AZ81" s="105" t="str">
        <f>IF('Marks Entry'!AX81="","",'Marks Entry'!AX81)</f>
        <v/>
      </c>
      <c r="BA81" s="105">
        <f t="shared" si="147"/>
        <v>0</v>
      </c>
      <c r="BB81" s="105" t="str">
        <f>IF(AND('Marks Entry'!AY81="",'Marks Entry'!AZ81=""),"",SUM('Marks Entry'!AY81:AZ81))</f>
        <v/>
      </c>
      <c r="BC81" s="105" t="str">
        <f>IF('Marks Entry'!BA81="","",'Marks Entry'!BA81)</f>
        <v/>
      </c>
      <c r="BD81" s="105">
        <f t="shared" si="148"/>
        <v>0</v>
      </c>
      <c r="BE81" s="105">
        <f t="shared" si="149"/>
        <v>0</v>
      </c>
      <c r="BF81" s="105" t="str">
        <f t="shared" si="150"/>
        <v/>
      </c>
      <c r="BG81" s="105" t="str">
        <f t="shared" si="151"/>
        <v/>
      </c>
      <c r="BH81" s="105" t="str">
        <f t="shared" si="152"/>
        <v/>
      </c>
      <c r="BI81" s="50" t="str">
        <f t="shared" si="102"/>
        <v/>
      </c>
      <c r="BJ81" s="47" t="str">
        <f t="shared" si="103"/>
        <v/>
      </c>
      <c r="BK81" s="105" t="str">
        <f t="shared" si="153"/>
        <v/>
      </c>
      <c r="BL81" s="105" t="str">
        <f t="shared" si="154"/>
        <v/>
      </c>
      <c r="BM81" s="105" t="str">
        <f>IF(OR(B81="",'Marks Entry'!BY81=""),"",'Marks Entry'!BY81)</f>
        <v/>
      </c>
      <c r="BN81" s="105" t="str">
        <f>IF(OR(B81="",'Marks Entry'!BZ81=""),"",'Marks Entry'!BZ81)</f>
        <v/>
      </c>
      <c r="BO81" s="105" t="str">
        <f>IF('Marks Entry'!BC81="","",'Marks Entry'!BC81)</f>
        <v/>
      </c>
      <c r="BP81" s="105" t="str">
        <f>IF('Marks Entry'!BD81="","",'Marks Entry'!BD81)</f>
        <v/>
      </c>
      <c r="BQ81" s="105" t="str">
        <f>IF(AND('Marks Entry'!BE81="",'Marks Entry'!BF81=""),"",SUM('Marks Entry'!BE81:BF81))</f>
        <v/>
      </c>
      <c r="BR81" s="105" t="str">
        <f>IF(AND('Marks Entry'!BG81="",'Marks Entry'!BH81=""),"",SUM('Marks Entry'!BG81:BH81))</f>
        <v/>
      </c>
      <c r="BS81" s="105" t="str">
        <f t="shared" si="155"/>
        <v/>
      </c>
      <c r="BT81" s="105" t="str">
        <f t="shared" si="156"/>
        <v/>
      </c>
      <c r="BU81" s="105" t="str">
        <f t="shared" si="157"/>
        <v/>
      </c>
      <c r="BV81" s="105" t="str">
        <f>IF('Marks Entry'!BJ81="","",'Marks Entry'!BJ81)</f>
        <v/>
      </c>
      <c r="BW81" s="105" t="str">
        <f>IF('Marks Entry'!BK81="","",'Marks Entry'!BK81)</f>
        <v/>
      </c>
      <c r="BX81" s="105" t="str">
        <f>IF(AND('Marks Entry'!BL81="",'Marks Entry'!BM81=""),"",SUM('Marks Entry'!BL81:BM81))</f>
        <v/>
      </c>
      <c r="BY81" s="105" t="str">
        <f>IF(AND('Marks Entry'!BN81="",'Marks Entry'!BO81=""),"",SUM('Marks Entry'!BN81:BO81))</f>
        <v/>
      </c>
      <c r="BZ81" s="105" t="str">
        <f t="shared" si="158"/>
        <v/>
      </c>
      <c r="CA81" s="105" t="str">
        <f t="shared" si="159"/>
        <v/>
      </c>
      <c r="CB81" s="105" t="str">
        <f t="shared" si="160"/>
        <v/>
      </c>
      <c r="CC81" s="105" t="str">
        <f>IF('Marks Entry'!BQ81="","",'Marks Entry'!BQ81)</f>
        <v/>
      </c>
      <c r="CD81" s="105" t="str">
        <f>IF('Marks Entry'!BR81="","",'Marks Entry'!BR81)</f>
        <v/>
      </c>
      <c r="CE81" s="105" t="str">
        <f>IF(AND('Marks Entry'!BS81="",'Marks Entry'!BT81=""),"",SUM('Marks Entry'!BS81:BT81))</f>
        <v/>
      </c>
      <c r="CF81" s="105" t="str">
        <f>IF(AND('Marks Entry'!BU81="",'Marks Entry'!BV81=""),"",SUM('Marks Entry'!BU81:BV81))</f>
        <v/>
      </c>
      <c r="CG81" s="105" t="str">
        <f t="shared" si="161"/>
        <v/>
      </c>
      <c r="CH81" s="105" t="str">
        <f t="shared" si="162"/>
        <v/>
      </c>
      <c r="CI81" s="105" t="str">
        <f t="shared" si="163"/>
        <v/>
      </c>
      <c r="CJ81" s="81"/>
      <c r="CK81" s="50" t="str">
        <f t="shared" si="104"/>
        <v/>
      </c>
      <c r="CM81" s="105" t="str">
        <f t="shared" si="105"/>
        <v/>
      </c>
      <c r="CN81" s="105" t="str">
        <f t="shared" si="106"/>
        <v/>
      </c>
      <c r="CO81" s="105" t="str">
        <f t="shared" si="107"/>
        <v/>
      </c>
      <c r="CP81" s="105" t="str">
        <f t="shared" si="108"/>
        <v/>
      </c>
      <c r="CQ81" s="105" t="str">
        <f t="shared" si="109"/>
        <v/>
      </c>
      <c r="CS81" s="105">
        <f t="shared" si="110"/>
        <v>0</v>
      </c>
      <c r="CT81" s="105">
        <f t="shared" si="111"/>
        <v>0</v>
      </c>
      <c r="CU81" s="105">
        <f t="shared" si="112"/>
        <v>0</v>
      </c>
      <c r="CV81" s="105">
        <f t="shared" si="113"/>
        <v>0</v>
      </c>
      <c r="CW81" s="81"/>
      <c r="CX81" s="105" t="str">
        <f t="shared" si="114"/>
        <v/>
      </c>
      <c r="CY81" s="105" t="str">
        <f t="shared" si="115"/>
        <v/>
      </c>
      <c r="CZ81" s="105" t="str">
        <f t="shared" si="116"/>
        <v/>
      </c>
      <c r="DA81" s="105" t="str">
        <f t="shared" si="117"/>
        <v/>
      </c>
      <c r="DB81" s="105" t="str">
        <f t="shared" si="118"/>
        <v/>
      </c>
      <c r="DD81" s="105" t="str">
        <f t="shared" si="119"/>
        <v/>
      </c>
      <c r="DE81" s="105" t="str">
        <f t="shared" si="120"/>
        <v/>
      </c>
      <c r="DF81" s="105" t="str">
        <f t="shared" si="121"/>
        <v/>
      </c>
      <c r="DG81" s="105" t="str">
        <f t="shared" si="122"/>
        <v/>
      </c>
      <c r="DH81" s="105" t="str">
        <f t="shared" si="123"/>
        <v/>
      </c>
      <c r="DI81" s="105" t="str">
        <f t="shared" si="124"/>
        <v/>
      </c>
      <c r="DJ81" s="105" t="str">
        <f t="shared" si="125"/>
        <v/>
      </c>
      <c r="DK81" s="105" t="str">
        <f t="shared" si="126"/>
        <v/>
      </c>
      <c r="DL81" s="105" t="str">
        <f t="shared" si="127"/>
        <v/>
      </c>
      <c r="DM81" s="105" t="str">
        <f t="shared" si="128"/>
        <v/>
      </c>
      <c r="DN81" s="105" t="str">
        <f t="shared" si="129"/>
        <v/>
      </c>
      <c r="DO81" s="105" t="str">
        <f t="shared" si="130"/>
        <v/>
      </c>
      <c r="DP81" s="105" t="str">
        <f t="shared" si="131"/>
        <v/>
      </c>
      <c r="DR81" s="118" t="str">
        <f t="shared" si="164"/>
        <v xml:space="preserve">    </v>
      </c>
      <c r="DS81" s="75"/>
      <c r="DT81" s="119" t="str">
        <f t="shared" si="165"/>
        <v xml:space="preserve">    </v>
      </c>
      <c r="DU81" s="136"/>
      <c r="DV81" s="119" t="str">
        <f t="shared" si="166"/>
        <v xml:space="preserve">    </v>
      </c>
      <c r="DW81" s="75"/>
      <c r="DX81" s="119" t="str">
        <f t="shared" si="167"/>
        <v xml:space="preserve">     </v>
      </c>
      <c r="DY81" s="75"/>
      <c r="DZ81" s="119" t="str">
        <f t="shared" si="168"/>
        <v xml:space="preserve">    </v>
      </c>
    </row>
    <row r="82" spans="1:130" ht="30" customHeight="1" x14ac:dyDescent="0.25">
      <c r="A82" s="105" t="str">
        <f>IF('Marks Entry'!A82="","",'Marks Entry'!A82)</f>
        <v/>
      </c>
      <c r="B82" s="105" t="str">
        <f>IF('Marks Entry'!B82="","",'Marks Entry'!B82)</f>
        <v/>
      </c>
      <c r="C82" s="105" t="str">
        <f>IF('Marks Entry'!C82="","",'Marks Entry'!C82)</f>
        <v/>
      </c>
      <c r="D82" s="48" t="str">
        <f>IF('Marks Entry'!D82="","",'Marks Entry'!D82)</f>
        <v/>
      </c>
      <c r="E82" s="48" t="str">
        <f>IF('Marks Entry'!E82="","",'Marks Entry'!E82)</f>
        <v/>
      </c>
      <c r="F82" s="48" t="str">
        <f>IF('Marks Entry'!F82="","",'Marks Entry'!F82)</f>
        <v/>
      </c>
      <c r="G82" s="105" t="str">
        <f>IF('Marks Entry'!G82="","",'Marks Entry'!G82)</f>
        <v/>
      </c>
      <c r="H82" s="49" t="str">
        <f>IF('Marks Entry'!H82="","",'Marks Entry'!H82)</f>
        <v/>
      </c>
      <c r="I82" s="105" t="str">
        <f>IF('Marks Entry'!I82="","",'Marks Entry'!I82)</f>
        <v/>
      </c>
      <c r="J82" s="105" t="str">
        <f>IF('Marks Entry'!K82="","",'Marks Entry'!K82)</f>
        <v/>
      </c>
      <c r="K82" s="105" t="str">
        <f>IF('Marks Entry'!L82="","",'Marks Entry'!L82)</f>
        <v/>
      </c>
      <c r="L82" s="105" t="str">
        <f>IF(AND('Marks Entry'!M82="",'Marks Entry'!N82=""),"",SUM('Marks Entry'!M82:N82))</f>
        <v/>
      </c>
      <c r="M82" s="105" t="str">
        <f>IF(AND('Marks Entry'!O82="",'Marks Entry'!P82=""),"",SUM('Marks Entry'!O82:P82))</f>
        <v/>
      </c>
      <c r="N82" s="105" t="str">
        <f t="shared" si="101"/>
        <v/>
      </c>
      <c r="O82" s="105" t="str">
        <f t="shared" si="132"/>
        <v/>
      </c>
      <c r="P82" s="105" t="str">
        <f t="shared" si="133"/>
        <v/>
      </c>
      <c r="Q82" s="105" t="str">
        <f>IF('Marks Entry'!R82="","",'Marks Entry'!R82)</f>
        <v/>
      </c>
      <c r="R82" s="105" t="str">
        <f>IF('Marks Entry'!S82="","",'Marks Entry'!S82)</f>
        <v/>
      </c>
      <c r="S82" s="105" t="str">
        <f>IF(AND('Marks Entry'!T82="",'Marks Entry'!U82=""),"",SUM('Marks Entry'!T82:U82))</f>
        <v/>
      </c>
      <c r="T82" s="105" t="str">
        <f>IF(AND('Marks Entry'!V82="",'Marks Entry'!W82=""),"",SUM('Marks Entry'!V82:W82))</f>
        <v/>
      </c>
      <c r="U82" s="105" t="str">
        <f t="shared" si="134"/>
        <v/>
      </c>
      <c r="V82" s="105" t="str">
        <f t="shared" si="135"/>
        <v/>
      </c>
      <c r="W82" s="105" t="str">
        <f t="shared" si="136"/>
        <v/>
      </c>
      <c r="X82" s="47" t="str">
        <f>IF(B82="","",IF('Marks Entry'!Y82="",'Marks Entry'!$Y$4,'Marks Entry'!Y82))</f>
        <v/>
      </c>
      <c r="Y82" s="105" t="str">
        <f>IF('Marks Entry'!Z82="","",'Marks Entry'!Z82)</f>
        <v/>
      </c>
      <c r="Z82" s="105" t="str">
        <f>IF('Marks Entry'!AA82="","",'Marks Entry'!AA82)</f>
        <v/>
      </c>
      <c r="AA82" s="105" t="str">
        <f>IF(AND('Marks Entry'!AB82="",'Marks Entry'!AC82=""),"",SUM('Marks Entry'!AB82:AC82))</f>
        <v/>
      </c>
      <c r="AB82" s="105" t="str">
        <f>IF('Marks Entry'!AD82="","",'Marks Entry'!AD82)</f>
        <v/>
      </c>
      <c r="AC82" s="105" t="str">
        <f t="shared" si="137"/>
        <v/>
      </c>
      <c r="AD82" s="105" t="str">
        <f>IF(AND('Marks Entry'!AE82="",'Marks Entry'!AF82=""),"",SUM('Marks Entry'!AE82:AF82))</f>
        <v/>
      </c>
      <c r="AE82" s="105" t="str">
        <f>IF('Marks Entry'!AG82="","",'Marks Entry'!AG82)</f>
        <v/>
      </c>
      <c r="AF82" s="105" t="str">
        <f t="shared" si="138"/>
        <v/>
      </c>
      <c r="AG82" s="105" t="str">
        <f t="shared" si="139"/>
        <v/>
      </c>
      <c r="AH82" s="105" t="str">
        <f t="shared" si="140"/>
        <v/>
      </c>
      <c r="AI82" s="105" t="str">
        <f t="shared" si="141"/>
        <v/>
      </c>
      <c r="AJ82" s="47" t="str">
        <f>IF(B82="","",IF('Marks Entry'!AI82="",'Marks Entry'!$AI$4,'Marks Entry'!AI82))</f>
        <v/>
      </c>
      <c r="AK82" s="105" t="str">
        <f>IF('Marks Entry'!AJ82="","",'Marks Entry'!AJ82)</f>
        <v/>
      </c>
      <c r="AL82" s="105" t="str">
        <f>IF('Marks Entry'!AK82="","",'Marks Entry'!AK82)</f>
        <v/>
      </c>
      <c r="AM82" s="105" t="str">
        <f>IF(AND('Marks Entry'!AL82="",'Marks Entry'!AM82=""),"",SUM('Marks Entry'!AL82:AM82))</f>
        <v/>
      </c>
      <c r="AN82" s="105" t="str">
        <f>IF('Marks Entry'!AN82="","",'Marks Entry'!AN82)</f>
        <v/>
      </c>
      <c r="AO82" s="105" t="str">
        <f t="shared" si="142"/>
        <v/>
      </c>
      <c r="AP82" s="105" t="str">
        <f>IF(AND('Marks Entry'!AO82="",'Marks Entry'!AP82=""),"",SUM('Marks Entry'!AO82:AP82))</f>
        <v/>
      </c>
      <c r="AQ82" s="105" t="str">
        <f>IF('Marks Entry'!AQ82="","",'Marks Entry'!AQ82)</f>
        <v/>
      </c>
      <c r="AR82" s="105" t="str">
        <f t="shared" si="143"/>
        <v/>
      </c>
      <c r="AS82" s="105" t="str">
        <f t="shared" si="144"/>
        <v/>
      </c>
      <c r="AT82" s="105" t="str">
        <f t="shared" si="145"/>
        <v/>
      </c>
      <c r="AU82" s="105" t="str">
        <f t="shared" si="146"/>
        <v/>
      </c>
      <c r="AV82" s="47" t="str">
        <f>IF(B82="","",IF('Marks Entry'!AS82="",'Marks Entry'!$AS$4,'Marks Entry'!AS82))</f>
        <v/>
      </c>
      <c r="AW82" s="105" t="str">
        <f>IF('Marks Entry'!AT82="","",'Marks Entry'!AT82)</f>
        <v/>
      </c>
      <c r="AX82" s="105" t="str">
        <f>IF('Marks Entry'!AU82="","",'Marks Entry'!AU82)</f>
        <v/>
      </c>
      <c r="AY82" s="105" t="str">
        <f>IF(AND('Marks Entry'!AV82="",'Marks Entry'!AW82=""),"",SUM('Marks Entry'!AV82:AW82))</f>
        <v/>
      </c>
      <c r="AZ82" s="105" t="str">
        <f>IF('Marks Entry'!AX82="","",'Marks Entry'!AX82)</f>
        <v/>
      </c>
      <c r="BA82" s="105">
        <f t="shared" si="147"/>
        <v>0</v>
      </c>
      <c r="BB82" s="105" t="str">
        <f>IF(AND('Marks Entry'!AY82="",'Marks Entry'!AZ82=""),"",SUM('Marks Entry'!AY82:AZ82))</f>
        <v/>
      </c>
      <c r="BC82" s="105" t="str">
        <f>IF('Marks Entry'!BA82="","",'Marks Entry'!BA82)</f>
        <v/>
      </c>
      <c r="BD82" s="105">
        <f t="shared" si="148"/>
        <v>0</v>
      </c>
      <c r="BE82" s="105">
        <f t="shared" si="149"/>
        <v>0</v>
      </c>
      <c r="BF82" s="105" t="str">
        <f t="shared" si="150"/>
        <v/>
      </c>
      <c r="BG82" s="105" t="str">
        <f t="shared" si="151"/>
        <v/>
      </c>
      <c r="BH82" s="105" t="str">
        <f t="shared" si="152"/>
        <v/>
      </c>
      <c r="BI82" s="50" t="str">
        <f t="shared" si="102"/>
        <v/>
      </c>
      <c r="BJ82" s="47" t="str">
        <f t="shared" si="103"/>
        <v/>
      </c>
      <c r="BK82" s="105" t="str">
        <f t="shared" si="153"/>
        <v/>
      </c>
      <c r="BL82" s="105" t="str">
        <f t="shared" si="154"/>
        <v/>
      </c>
      <c r="BM82" s="105" t="str">
        <f>IF(OR(B82="",'Marks Entry'!BY82=""),"",'Marks Entry'!BY82)</f>
        <v/>
      </c>
      <c r="BN82" s="105" t="str">
        <f>IF(OR(B82="",'Marks Entry'!BZ82=""),"",'Marks Entry'!BZ82)</f>
        <v/>
      </c>
      <c r="BO82" s="105" t="str">
        <f>IF('Marks Entry'!BC82="","",'Marks Entry'!BC82)</f>
        <v/>
      </c>
      <c r="BP82" s="105" t="str">
        <f>IF('Marks Entry'!BD82="","",'Marks Entry'!BD82)</f>
        <v/>
      </c>
      <c r="BQ82" s="105" t="str">
        <f>IF(AND('Marks Entry'!BE82="",'Marks Entry'!BF82=""),"",SUM('Marks Entry'!BE82:BF82))</f>
        <v/>
      </c>
      <c r="BR82" s="105" t="str">
        <f>IF(AND('Marks Entry'!BG82="",'Marks Entry'!BH82=""),"",SUM('Marks Entry'!BG82:BH82))</f>
        <v/>
      </c>
      <c r="BS82" s="105" t="str">
        <f t="shared" si="155"/>
        <v/>
      </c>
      <c r="BT82" s="105" t="str">
        <f t="shared" si="156"/>
        <v/>
      </c>
      <c r="BU82" s="105" t="str">
        <f t="shared" si="157"/>
        <v/>
      </c>
      <c r="BV82" s="105" t="str">
        <f>IF('Marks Entry'!BJ82="","",'Marks Entry'!BJ82)</f>
        <v/>
      </c>
      <c r="BW82" s="105" t="str">
        <f>IF('Marks Entry'!BK82="","",'Marks Entry'!BK82)</f>
        <v/>
      </c>
      <c r="BX82" s="105" t="str">
        <f>IF(AND('Marks Entry'!BL82="",'Marks Entry'!BM82=""),"",SUM('Marks Entry'!BL82:BM82))</f>
        <v/>
      </c>
      <c r="BY82" s="105" t="str">
        <f>IF(AND('Marks Entry'!BN82="",'Marks Entry'!BO82=""),"",SUM('Marks Entry'!BN82:BO82))</f>
        <v/>
      </c>
      <c r="BZ82" s="105" t="str">
        <f t="shared" si="158"/>
        <v/>
      </c>
      <c r="CA82" s="105" t="str">
        <f t="shared" si="159"/>
        <v/>
      </c>
      <c r="CB82" s="105" t="str">
        <f t="shared" si="160"/>
        <v/>
      </c>
      <c r="CC82" s="105" t="str">
        <f>IF('Marks Entry'!BQ82="","",'Marks Entry'!BQ82)</f>
        <v/>
      </c>
      <c r="CD82" s="105" t="str">
        <f>IF('Marks Entry'!BR82="","",'Marks Entry'!BR82)</f>
        <v/>
      </c>
      <c r="CE82" s="105" t="str">
        <f>IF(AND('Marks Entry'!BS82="",'Marks Entry'!BT82=""),"",SUM('Marks Entry'!BS82:BT82))</f>
        <v/>
      </c>
      <c r="CF82" s="105" t="str">
        <f>IF(AND('Marks Entry'!BU82="",'Marks Entry'!BV82=""),"",SUM('Marks Entry'!BU82:BV82))</f>
        <v/>
      </c>
      <c r="CG82" s="105" t="str">
        <f t="shared" si="161"/>
        <v/>
      </c>
      <c r="CH82" s="105" t="str">
        <f t="shared" si="162"/>
        <v/>
      </c>
      <c r="CI82" s="105" t="str">
        <f t="shared" si="163"/>
        <v/>
      </c>
      <c r="CJ82" s="81"/>
      <c r="CK82" s="50" t="str">
        <f t="shared" si="104"/>
        <v/>
      </c>
      <c r="CM82" s="105" t="str">
        <f t="shared" si="105"/>
        <v/>
      </c>
      <c r="CN82" s="105" t="str">
        <f t="shared" si="106"/>
        <v/>
      </c>
      <c r="CO82" s="105" t="str">
        <f t="shared" si="107"/>
        <v/>
      </c>
      <c r="CP82" s="105" t="str">
        <f t="shared" si="108"/>
        <v/>
      </c>
      <c r="CQ82" s="105" t="str">
        <f t="shared" si="109"/>
        <v/>
      </c>
      <c r="CS82" s="105">
        <f t="shared" si="110"/>
        <v>0</v>
      </c>
      <c r="CT82" s="105">
        <f t="shared" si="111"/>
        <v>0</v>
      </c>
      <c r="CU82" s="105">
        <f t="shared" si="112"/>
        <v>0</v>
      </c>
      <c r="CV82" s="105">
        <f t="shared" si="113"/>
        <v>0</v>
      </c>
      <c r="CW82" s="81"/>
      <c r="CX82" s="105" t="str">
        <f t="shared" si="114"/>
        <v/>
      </c>
      <c r="CY82" s="105" t="str">
        <f t="shared" si="115"/>
        <v/>
      </c>
      <c r="CZ82" s="105" t="str">
        <f t="shared" si="116"/>
        <v/>
      </c>
      <c r="DA82" s="105" t="str">
        <f t="shared" si="117"/>
        <v/>
      </c>
      <c r="DB82" s="105" t="str">
        <f t="shared" si="118"/>
        <v/>
      </c>
      <c r="DD82" s="105" t="str">
        <f t="shared" si="119"/>
        <v/>
      </c>
      <c r="DE82" s="105" t="str">
        <f t="shared" si="120"/>
        <v/>
      </c>
      <c r="DF82" s="105" t="str">
        <f t="shared" si="121"/>
        <v/>
      </c>
      <c r="DG82" s="105" t="str">
        <f t="shared" si="122"/>
        <v/>
      </c>
      <c r="DH82" s="105" t="str">
        <f t="shared" si="123"/>
        <v/>
      </c>
      <c r="DI82" s="105" t="str">
        <f t="shared" si="124"/>
        <v/>
      </c>
      <c r="DJ82" s="105" t="str">
        <f t="shared" si="125"/>
        <v/>
      </c>
      <c r="DK82" s="105" t="str">
        <f t="shared" si="126"/>
        <v/>
      </c>
      <c r="DL82" s="105" t="str">
        <f t="shared" si="127"/>
        <v/>
      </c>
      <c r="DM82" s="105" t="str">
        <f t="shared" si="128"/>
        <v/>
      </c>
      <c r="DN82" s="105" t="str">
        <f t="shared" si="129"/>
        <v/>
      </c>
      <c r="DO82" s="105" t="str">
        <f t="shared" si="130"/>
        <v/>
      </c>
      <c r="DP82" s="105" t="str">
        <f t="shared" si="131"/>
        <v/>
      </c>
      <c r="DR82" s="118" t="str">
        <f t="shared" si="164"/>
        <v xml:space="preserve">    </v>
      </c>
      <c r="DS82" s="75"/>
      <c r="DT82" s="119" t="str">
        <f t="shared" si="165"/>
        <v xml:space="preserve">    </v>
      </c>
      <c r="DU82" s="136"/>
      <c r="DV82" s="119" t="str">
        <f t="shared" si="166"/>
        <v xml:space="preserve">    </v>
      </c>
      <c r="DW82" s="75"/>
      <c r="DX82" s="119" t="str">
        <f t="shared" si="167"/>
        <v xml:space="preserve">     </v>
      </c>
      <c r="DY82" s="75"/>
      <c r="DZ82" s="119" t="str">
        <f t="shared" si="168"/>
        <v xml:space="preserve">    </v>
      </c>
    </row>
    <row r="83" spans="1:130" ht="30" customHeight="1" x14ac:dyDescent="0.25">
      <c r="A83" s="105" t="str">
        <f>IF('Marks Entry'!A83="","",'Marks Entry'!A83)</f>
        <v/>
      </c>
      <c r="B83" s="105" t="str">
        <f>IF('Marks Entry'!B83="","",'Marks Entry'!B83)</f>
        <v/>
      </c>
      <c r="C83" s="105" t="str">
        <f>IF('Marks Entry'!C83="","",'Marks Entry'!C83)</f>
        <v/>
      </c>
      <c r="D83" s="48" t="str">
        <f>IF('Marks Entry'!D83="","",'Marks Entry'!D83)</f>
        <v/>
      </c>
      <c r="E83" s="48" t="str">
        <f>IF('Marks Entry'!E83="","",'Marks Entry'!E83)</f>
        <v/>
      </c>
      <c r="F83" s="48" t="str">
        <f>IF('Marks Entry'!F83="","",'Marks Entry'!F83)</f>
        <v/>
      </c>
      <c r="G83" s="105" t="str">
        <f>IF('Marks Entry'!G83="","",'Marks Entry'!G83)</f>
        <v/>
      </c>
      <c r="H83" s="49" t="str">
        <f>IF('Marks Entry'!H83="","",'Marks Entry'!H83)</f>
        <v/>
      </c>
      <c r="I83" s="105" t="str">
        <f>IF('Marks Entry'!I83="","",'Marks Entry'!I83)</f>
        <v/>
      </c>
      <c r="J83" s="105" t="str">
        <f>IF('Marks Entry'!K83="","",'Marks Entry'!K83)</f>
        <v/>
      </c>
      <c r="K83" s="105" t="str">
        <f>IF('Marks Entry'!L83="","",'Marks Entry'!L83)</f>
        <v/>
      </c>
      <c r="L83" s="105" t="str">
        <f>IF(AND('Marks Entry'!M83="",'Marks Entry'!N83=""),"",SUM('Marks Entry'!M83:N83))</f>
        <v/>
      </c>
      <c r="M83" s="105" t="str">
        <f>IF(AND('Marks Entry'!O83="",'Marks Entry'!P83=""),"",SUM('Marks Entry'!O83:P83))</f>
        <v/>
      </c>
      <c r="N83" s="105" t="str">
        <f t="shared" si="101"/>
        <v/>
      </c>
      <c r="O83" s="105" t="str">
        <f t="shared" si="132"/>
        <v/>
      </c>
      <c r="P83" s="105" t="str">
        <f t="shared" si="133"/>
        <v/>
      </c>
      <c r="Q83" s="105" t="str">
        <f>IF('Marks Entry'!R83="","",'Marks Entry'!R83)</f>
        <v/>
      </c>
      <c r="R83" s="105" t="str">
        <f>IF('Marks Entry'!S83="","",'Marks Entry'!S83)</f>
        <v/>
      </c>
      <c r="S83" s="105" t="str">
        <f>IF(AND('Marks Entry'!T83="",'Marks Entry'!U83=""),"",SUM('Marks Entry'!T83:U83))</f>
        <v/>
      </c>
      <c r="T83" s="105" t="str">
        <f>IF(AND('Marks Entry'!V83="",'Marks Entry'!W83=""),"",SUM('Marks Entry'!V83:W83))</f>
        <v/>
      </c>
      <c r="U83" s="105" t="str">
        <f t="shared" si="134"/>
        <v/>
      </c>
      <c r="V83" s="105" t="str">
        <f t="shared" si="135"/>
        <v/>
      </c>
      <c r="W83" s="105" t="str">
        <f t="shared" si="136"/>
        <v/>
      </c>
      <c r="X83" s="47" t="str">
        <f>IF(B83="","",IF('Marks Entry'!Y83="",'Marks Entry'!$Y$4,'Marks Entry'!Y83))</f>
        <v/>
      </c>
      <c r="Y83" s="105" t="str">
        <f>IF('Marks Entry'!Z83="","",'Marks Entry'!Z83)</f>
        <v/>
      </c>
      <c r="Z83" s="105" t="str">
        <f>IF('Marks Entry'!AA83="","",'Marks Entry'!AA83)</f>
        <v/>
      </c>
      <c r="AA83" s="105" t="str">
        <f>IF(AND('Marks Entry'!AB83="",'Marks Entry'!AC83=""),"",SUM('Marks Entry'!AB83:AC83))</f>
        <v/>
      </c>
      <c r="AB83" s="105" t="str">
        <f>IF('Marks Entry'!AD83="","",'Marks Entry'!AD83)</f>
        <v/>
      </c>
      <c r="AC83" s="105" t="str">
        <f t="shared" si="137"/>
        <v/>
      </c>
      <c r="AD83" s="105" t="str">
        <f>IF(AND('Marks Entry'!AE83="",'Marks Entry'!AF83=""),"",SUM('Marks Entry'!AE83:AF83))</f>
        <v/>
      </c>
      <c r="AE83" s="105" t="str">
        <f>IF('Marks Entry'!AG83="","",'Marks Entry'!AG83)</f>
        <v/>
      </c>
      <c r="AF83" s="105" t="str">
        <f t="shared" si="138"/>
        <v/>
      </c>
      <c r="AG83" s="105" t="str">
        <f t="shared" si="139"/>
        <v/>
      </c>
      <c r="AH83" s="105" t="str">
        <f t="shared" si="140"/>
        <v/>
      </c>
      <c r="AI83" s="105" t="str">
        <f t="shared" si="141"/>
        <v/>
      </c>
      <c r="AJ83" s="47" t="str">
        <f>IF(B83="","",IF('Marks Entry'!AI83="",'Marks Entry'!$AI$4,'Marks Entry'!AI83))</f>
        <v/>
      </c>
      <c r="AK83" s="105" t="str">
        <f>IF('Marks Entry'!AJ83="","",'Marks Entry'!AJ83)</f>
        <v/>
      </c>
      <c r="AL83" s="105" t="str">
        <f>IF('Marks Entry'!AK83="","",'Marks Entry'!AK83)</f>
        <v/>
      </c>
      <c r="AM83" s="105" t="str">
        <f>IF(AND('Marks Entry'!AL83="",'Marks Entry'!AM83=""),"",SUM('Marks Entry'!AL83:AM83))</f>
        <v/>
      </c>
      <c r="AN83" s="105" t="str">
        <f>IF('Marks Entry'!AN83="","",'Marks Entry'!AN83)</f>
        <v/>
      </c>
      <c r="AO83" s="105" t="str">
        <f t="shared" si="142"/>
        <v/>
      </c>
      <c r="AP83" s="105" t="str">
        <f>IF(AND('Marks Entry'!AO83="",'Marks Entry'!AP83=""),"",SUM('Marks Entry'!AO83:AP83))</f>
        <v/>
      </c>
      <c r="AQ83" s="105" t="str">
        <f>IF('Marks Entry'!AQ83="","",'Marks Entry'!AQ83)</f>
        <v/>
      </c>
      <c r="AR83" s="105" t="str">
        <f t="shared" si="143"/>
        <v/>
      </c>
      <c r="AS83" s="105" t="str">
        <f t="shared" si="144"/>
        <v/>
      </c>
      <c r="AT83" s="105" t="str">
        <f t="shared" si="145"/>
        <v/>
      </c>
      <c r="AU83" s="105" t="str">
        <f t="shared" si="146"/>
        <v/>
      </c>
      <c r="AV83" s="47" t="str">
        <f>IF(B83="","",IF('Marks Entry'!AS83="",'Marks Entry'!$AS$4,'Marks Entry'!AS83))</f>
        <v/>
      </c>
      <c r="AW83" s="105" t="str">
        <f>IF('Marks Entry'!AT83="","",'Marks Entry'!AT83)</f>
        <v/>
      </c>
      <c r="AX83" s="105" t="str">
        <f>IF('Marks Entry'!AU83="","",'Marks Entry'!AU83)</f>
        <v/>
      </c>
      <c r="AY83" s="105" t="str">
        <f>IF(AND('Marks Entry'!AV83="",'Marks Entry'!AW83=""),"",SUM('Marks Entry'!AV83:AW83))</f>
        <v/>
      </c>
      <c r="AZ83" s="105" t="str">
        <f>IF('Marks Entry'!AX83="","",'Marks Entry'!AX83)</f>
        <v/>
      </c>
      <c r="BA83" s="105">
        <f t="shared" si="147"/>
        <v>0</v>
      </c>
      <c r="BB83" s="105" t="str">
        <f>IF(AND('Marks Entry'!AY83="",'Marks Entry'!AZ83=""),"",SUM('Marks Entry'!AY83:AZ83))</f>
        <v/>
      </c>
      <c r="BC83" s="105" t="str">
        <f>IF('Marks Entry'!BA83="","",'Marks Entry'!BA83)</f>
        <v/>
      </c>
      <c r="BD83" s="105">
        <f t="shared" si="148"/>
        <v>0</v>
      </c>
      <c r="BE83" s="105">
        <f t="shared" si="149"/>
        <v>0</v>
      </c>
      <c r="BF83" s="105" t="str">
        <f t="shared" si="150"/>
        <v/>
      </c>
      <c r="BG83" s="105" t="str">
        <f t="shared" si="151"/>
        <v/>
      </c>
      <c r="BH83" s="105" t="str">
        <f t="shared" si="152"/>
        <v/>
      </c>
      <c r="BI83" s="50" t="str">
        <f t="shared" si="102"/>
        <v/>
      </c>
      <c r="BJ83" s="47" t="str">
        <f t="shared" si="103"/>
        <v/>
      </c>
      <c r="BK83" s="105" t="str">
        <f t="shared" si="153"/>
        <v/>
      </c>
      <c r="BL83" s="105" t="str">
        <f t="shared" si="154"/>
        <v/>
      </c>
      <c r="BM83" s="105" t="str">
        <f>IF(OR(B83="",'Marks Entry'!BY83=""),"",'Marks Entry'!BY83)</f>
        <v/>
      </c>
      <c r="BN83" s="105" t="str">
        <f>IF(OR(B83="",'Marks Entry'!BZ83=""),"",'Marks Entry'!BZ83)</f>
        <v/>
      </c>
      <c r="BO83" s="105" t="str">
        <f>IF('Marks Entry'!BC83="","",'Marks Entry'!BC83)</f>
        <v/>
      </c>
      <c r="BP83" s="105" t="str">
        <f>IF('Marks Entry'!BD83="","",'Marks Entry'!BD83)</f>
        <v/>
      </c>
      <c r="BQ83" s="105" t="str">
        <f>IF(AND('Marks Entry'!BE83="",'Marks Entry'!BF83=""),"",SUM('Marks Entry'!BE83:BF83))</f>
        <v/>
      </c>
      <c r="BR83" s="105" t="str">
        <f>IF(AND('Marks Entry'!BG83="",'Marks Entry'!BH83=""),"",SUM('Marks Entry'!BG83:BH83))</f>
        <v/>
      </c>
      <c r="BS83" s="105" t="str">
        <f t="shared" si="155"/>
        <v/>
      </c>
      <c r="BT83" s="105" t="str">
        <f t="shared" si="156"/>
        <v/>
      </c>
      <c r="BU83" s="105" t="str">
        <f t="shared" si="157"/>
        <v/>
      </c>
      <c r="BV83" s="105" t="str">
        <f>IF('Marks Entry'!BJ83="","",'Marks Entry'!BJ83)</f>
        <v/>
      </c>
      <c r="BW83" s="105" t="str">
        <f>IF('Marks Entry'!BK83="","",'Marks Entry'!BK83)</f>
        <v/>
      </c>
      <c r="BX83" s="105" t="str">
        <f>IF(AND('Marks Entry'!BL83="",'Marks Entry'!BM83=""),"",SUM('Marks Entry'!BL83:BM83))</f>
        <v/>
      </c>
      <c r="BY83" s="105" t="str">
        <f>IF(AND('Marks Entry'!BN83="",'Marks Entry'!BO83=""),"",SUM('Marks Entry'!BN83:BO83))</f>
        <v/>
      </c>
      <c r="BZ83" s="105" t="str">
        <f t="shared" si="158"/>
        <v/>
      </c>
      <c r="CA83" s="105" t="str">
        <f t="shared" si="159"/>
        <v/>
      </c>
      <c r="CB83" s="105" t="str">
        <f t="shared" si="160"/>
        <v/>
      </c>
      <c r="CC83" s="105" t="str">
        <f>IF('Marks Entry'!BQ83="","",'Marks Entry'!BQ83)</f>
        <v/>
      </c>
      <c r="CD83" s="105" t="str">
        <f>IF('Marks Entry'!BR83="","",'Marks Entry'!BR83)</f>
        <v/>
      </c>
      <c r="CE83" s="105" t="str">
        <f>IF(AND('Marks Entry'!BS83="",'Marks Entry'!BT83=""),"",SUM('Marks Entry'!BS83:BT83))</f>
        <v/>
      </c>
      <c r="CF83" s="105" t="str">
        <f>IF(AND('Marks Entry'!BU83="",'Marks Entry'!BV83=""),"",SUM('Marks Entry'!BU83:BV83))</f>
        <v/>
      </c>
      <c r="CG83" s="105" t="str">
        <f t="shared" si="161"/>
        <v/>
      </c>
      <c r="CH83" s="105" t="str">
        <f t="shared" si="162"/>
        <v/>
      </c>
      <c r="CI83" s="105" t="str">
        <f t="shared" si="163"/>
        <v/>
      </c>
      <c r="CJ83" s="81"/>
      <c r="CK83" s="50" t="str">
        <f t="shared" si="104"/>
        <v/>
      </c>
      <c r="CM83" s="105" t="str">
        <f t="shared" si="105"/>
        <v/>
      </c>
      <c r="CN83" s="105" t="str">
        <f t="shared" si="106"/>
        <v/>
      </c>
      <c r="CO83" s="105" t="str">
        <f t="shared" si="107"/>
        <v/>
      </c>
      <c r="CP83" s="105" t="str">
        <f t="shared" si="108"/>
        <v/>
      </c>
      <c r="CQ83" s="105" t="str">
        <f t="shared" si="109"/>
        <v/>
      </c>
      <c r="CS83" s="105">
        <f t="shared" si="110"/>
        <v>0</v>
      </c>
      <c r="CT83" s="105">
        <f t="shared" si="111"/>
        <v>0</v>
      </c>
      <c r="CU83" s="105">
        <f t="shared" si="112"/>
        <v>0</v>
      </c>
      <c r="CV83" s="105">
        <f t="shared" si="113"/>
        <v>0</v>
      </c>
      <c r="CW83" s="81"/>
      <c r="CX83" s="105" t="str">
        <f t="shared" si="114"/>
        <v/>
      </c>
      <c r="CY83" s="105" t="str">
        <f t="shared" si="115"/>
        <v/>
      </c>
      <c r="CZ83" s="105" t="str">
        <f t="shared" si="116"/>
        <v/>
      </c>
      <c r="DA83" s="105" t="str">
        <f t="shared" si="117"/>
        <v/>
      </c>
      <c r="DB83" s="105" t="str">
        <f t="shared" si="118"/>
        <v/>
      </c>
      <c r="DD83" s="105" t="str">
        <f t="shared" si="119"/>
        <v/>
      </c>
      <c r="DE83" s="105" t="str">
        <f t="shared" si="120"/>
        <v/>
      </c>
      <c r="DF83" s="105" t="str">
        <f t="shared" si="121"/>
        <v/>
      </c>
      <c r="DG83" s="105" t="str">
        <f t="shared" si="122"/>
        <v/>
      </c>
      <c r="DH83" s="105" t="str">
        <f t="shared" si="123"/>
        <v/>
      </c>
      <c r="DI83" s="105" t="str">
        <f t="shared" si="124"/>
        <v/>
      </c>
      <c r="DJ83" s="105" t="str">
        <f t="shared" si="125"/>
        <v/>
      </c>
      <c r="DK83" s="105" t="str">
        <f t="shared" si="126"/>
        <v/>
      </c>
      <c r="DL83" s="105" t="str">
        <f t="shared" si="127"/>
        <v/>
      </c>
      <c r="DM83" s="105" t="str">
        <f t="shared" si="128"/>
        <v/>
      </c>
      <c r="DN83" s="105" t="str">
        <f t="shared" si="129"/>
        <v/>
      </c>
      <c r="DO83" s="105" t="str">
        <f t="shared" si="130"/>
        <v/>
      </c>
      <c r="DP83" s="105" t="str">
        <f t="shared" si="131"/>
        <v/>
      </c>
      <c r="DR83" s="118" t="str">
        <f t="shared" si="164"/>
        <v xml:space="preserve">    </v>
      </c>
      <c r="DS83" s="75"/>
      <c r="DT83" s="119" t="str">
        <f t="shared" si="165"/>
        <v xml:space="preserve">    </v>
      </c>
      <c r="DU83" s="136"/>
      <c r="DV83" s="119" t="str">
        <f t="shared" si="166"/>
        <v xml:space="preserve">    </v>
      </c>
      <c r="DW83" s="75"/>
      <c r="DX83" s="119" t="str">
        <f t="shared" si="167"/>
        <v xml:space="preserve">     </v>
      </c>
      <c r="DY83" s="75"/>
      <c r="DZ83" s="119" t="str">
        <f t="shared" si="168"/>
        <v xml:space="preserve">    </v>
      </c>
    </row>
    <row r="84" spans="1:130" ht="30" customHeight="1" x14ac:dyDescent="0.25">
      <c r="A84" s="105" t="str">
        <f>IF('Marks Entry'!A84="","",'Marks Entry'!A84)</f>
        <v/>
      </c>
      <c r="B84" s="105" t="str">
        <f>IF('Marks Entry'!B84="","",'Marks Entry'!B84)</f>
        <v/>
      </c>
      <c r="C84" s="105" t="str">
        <f>IF('Marks Entry'!C84="","",'Marks Entry'!C84)</f>
        <v/>
      </c>
      <c r="D84" s="48" t="str">
        <f>IF('Marks Entry'!D84="","",'Marks Entry'!D84)</f>
        <v/>
      </c>
      <c r="E84" s="48" t="str">
        <f>IF('Marks Entry'!E84="","",'Marks Entry'!E84)</f>
        <v/>
      </c>
      <c r="F84" s="48" t="str">
        <f>IF('Marks Entry'!F84="","",'Marks Entry'!F84)</f>
        <v/>
      </c>
      <c r="G84" s="105" t="str">
        <f>IF('Marks Entry'!G84="","",'Marks Entry'!G84)</f>
        <v/>
      </c>
      <c r="H84" s="49" t="str">
        <f>IF('Marks Entry'!H84="","",'Marks Entry'!H84)</f>
        <v/>
      </c>
      <c r="I84" s="105" t="str">
        <f>IF('Marks Entry'!I84="","",'Marks Entry'!I84)</f>
        <v/>
      </c>
      <c r="J84" s="105" t="str">
        <f>IF('Marks Entry'!K84="","",'Marks Entry'!K84)</f>
        <v/>
      </c>
      <c r="K84" s="105" t="str">
        <f>IF('Marks Entry'!L84="","",'Marks Entry'!L84)</f>
        <v/>
      </c>
      <c r="L84" s="105" t="str">
        <f>IF(AND('Marks Entry'!M84="",'Marks Entry'!N84=""),"",SUM('Marks Entry'!M84:N84))</f>
        <v/>
      </c>
      <c r="M84" s="105" t="str">
        <f>IF(AND('Marks Entry'!O84="",'Marks Entry'!P84=""),"",SUM('Marks Entry'!O84:P84))</f>
        <v/>
      </c>
      <c r="N84" s="105" t="str">
        <f t="shared" si="101"/>
        <v/>
      </c>
      <c r="O84" s="105" t="str">
        <f t="shared" si="132"/>
        <v/>
      </c>
      <c r="P84" s="105" t="str">
        <f t="shared" si="133"/>
        <v/>
      </c>
      <c r="Q84" s="105" t="str">
        <f>IF('Marks Entry'!R84="","",'Marks Entry'!R84)</f>
        <v/>
      </c>
      <c r="R84" s="105" t="str">
        <f>IF('Marks Entry'!S84="","",'Marks Entry'!S84)</f>
        <v/>
      </c>
      <c r="S84" s="105" t="str">
        <f>IF(AND('Marks Entry'!T84="",'Marks Entry'!U84=""),"",SUM('Marks Entry'!T84:U84))</f>
        <v/>
      </c>
      <c r="T84" s="105" t="str">
        <f>IF(AND('Marks Entry'!V84="",'Marks Entry'!W84=""),"",SUM('Marks Entry'!V84:W84))</f>
        <v/>
      </c>
      <c r="U84" s="105" t="str">
        <f t="shared" si="134"/>
        <v/>
      </c>
      <c r="V84" s="105" t="str">
        <f t="shared" si="135"/>
        <v/>
      </c>
      <c r="W84" s="105" t="str">
        <f t="shared" si="136"/>
        <v/>
      </c>
      <c r="X84" s="47" t="str">
        <f>IF(B84="","",IF('Marks Entry'!Y84="",'Marks Entry'!$Y$4,'Marks Entry'!Y84))</f>
        <v/>
      </c>
      <c r="Y84" s="105" t="str">
        <f>IF('Marks Entry'!Z84="","",'Marks Entry'!Z84)</f>
        <v/>
      </c>
      <c r="Z84" s="105" t="str">
        <f>IF('Marks Entry'!AA84="","",'Marks Entry'!AA84)</f>
        <v/>
      </c>
      <c r="AA84" s="105" t="str">
        <f>IF(AND('Marks Entry'!AB84="",'Marks Entry'!AC84=""),"",SUM('Marks Entry'!AB84:AC84))</f>
        <v/>
      </c>
      <c r="AB84" s="105" t="str">
        <f>IF('Marks Entry'!AD84="","",'Marks Entry'!AD84)</f>
        <v/>
      </c>
      <c r="AC84" s="105" t="str">
        <f t="shared" si="137"/>
        <v/>
      </c>
      <c r="AD84" s="105" t="str">
        <f>IF(AND('Marks Entry'!AE84="",'Marks Entry'!AF84=""),"",SUM('Marks Entry'!AE84:AF84))</f>
        <v/>
      </c>
      <c r="AE84" s="105" t="str">
        <f>IF('Marks Entry'!AG84="","",'Marks Entry'!AG84)</f>
        <v/>
      </c>
      <c r="AF84" s="105" t="str">
        <f t="shared" si="138"/>
        <v/>
      </c>
      <c r="AG84" s="105" t="str">
        <f t="shared" si="139"/>
        <v/>
      </c>
      <c r="AH84" s="105" t="str">
        <f t="shared" si="140"/>
        <v/>
      </c>
      <c r="AI84" s="105" t="str">
        <f t="shared" si="141"/>
        <v/>
      </c>
      <c r="AJ84" s="47" t="str">
        <f>IF(B84="","",IF('Marks Entry'!AI84="",'Marks Entry'!$AI$4,'Marks Entry'!AI84))</f>
        <v/>
      </c>
      <c r="AK84" s="105" t="str">
        <f>IF('Marks Entry'!AJ84="","",'Marks Entry'!AJ84)</f>
        <v/>
      </c>
      <c r="AL84" s="105" t="str">
        <f>IF('Marks Entry'!AK84="","",'Marks Entry'!AK84)</f>
        <v/>
      </c>
      <c r="AM84" s="105" t="str">
        <f>IF(AND('Marks Entry'!AL84="",'Marks Entry'!AM84=""),"",SUM('Marks Entry'!AL84:AM84))</f>
        <v/>
      </c>
      <c r="AN84" s="105" t="str">
        <f>IF('Marks Entry'!AN84="","",'Marks Entry'!AN84)</f>
        <v/>
      </c>
      <c r="AO84" s="105" t="str">
        <f t="shared" si="142"/>
        <v/>
      </c>
      <c r="AP84" s="105" t="str">
        <f>IF(AND('Marks Entry'!AO84="",'Marks Entry'!AP84=""),"",SUM('Marks Entry'!AO84:AP84))</f>
        <v/>
      </c>
      <c r="AQ84" s="105" t="str">
        <f>IF('Marks Entry'!AQ84="","",'Marks Entry'!AQ84)</f>
        <v/>
      </c>
      <c r="AR84" s="105" t="str">
        <f t="shared" si="143"/>
        <v/>
      </c>
      <c r="AS84" s="105" t="str">
        <f t="shared" si="144"/>
        <v/>
      </c>
      <c r="AT84" s="105" t="str">
        <f t="shared" si="145"/>
        <v/>
      </c>
      <c r="AU84" s="105" t="str">
        <f t="shared" si="146"/>
        <v/>
      </c>
      <c r="AV84" s="47" t="str">
        <f>IF(B84="","",IF('Marks Entry'!AS84="",'Marks Entry'!$AS$4,'Marks Entry'!AS84))</f>
        <v/>
      </c>
      <c r="AW84" s="105" t="str">
        <f>IF('Marks Entry'!AT84="","",'Marks Entry'!AT84)</f>
        <v/>
      </c>
      <c r="AX84" s="105" t="str">
        <f>IF('Marks Entry'!AU84="","",'Marks Entry'!AU84)</f>
        <v/>
      </c>
      <c r="AY84" s="105" t="str">
        <f>IF(AND('Marks Entry'!AV84="",'Marks Entry'!AW84=""),"",SUM('Marks Entry'!AV84:AW84))</f>
        <v/>
      </c>
      <c r="AZ84" s="105" t="str">
        <f>IF('Marks Entry'!AX84="","",'Marks Entry'!AX84)</f>
        <v/>
      </c>
      <c r="BA84" s="105">
        <f t="shared" si="147"/>
        <v>0</v>
      </c>
      <c r="BB84" s="105" t="str">
        <f>IF(AND('Marks Entry'!AY84="",'Marks Entry'!AZ84=""),"",SUM('Marks Entry'!AY84:AZ84))</f>
        <v/>
      </c>
      <c r="BC84" s="105" t="str">
        <f>IF('Marks Entry'!BA84="","",'Marks Entry'!BA84)</f>
        <v/>
      </c>
      <c r="BD84" s="105">
        <f t="shared" si="148"/>
        <v>0</v>
      </c>
      <c r="BE84" s="105">
        <f t="shared" si="149"/>
        <v>0</v>
      </c>
      <c r="BF84" s="105" t="str">
        <f t="shared" si="150"/>
        <v/>
      </c>
      <c r="BG84" s="105" t="str">
        <f t="shared" si="151"/>
        <v/>
      </c>
      <c r="BH84" s="105" t="str">
        <f t="shared" si="152"/>
        <v/>
      </c>
      <c r="BI84" s="50" t="str">
        <f t="shared" si="102"/>
        <v/>
      </c>
      <c r="BJ84" s="47" t="str">
        <f t="shared" si="103"/>
        <v/>
      </c>
      <c r="BK84" s="105" t="str">
        <f t="shared" si="153"/>
        <v/>
      </c>
      <c r="BL84" s="105" t="str">
        <f t="shared" si="154"/>
        <v/>
      </c>
      <c r="BM84" s="105" t="str">
        <f>IF(OR(B84="",'Marks Entry'!BY84=""),"",'Marks Entry'!BY84)</f>
        <v/>
      </c>
      <c r="BN84" s="105" t="str">
        <f>IF(OR(B84="",'Marks Entry'!BZ84=""),"",'Marks Entry'!BZ84)</f>
        <v/>
      </c>
      <c r="BO84" s="105" t="str">
        <f>IF('Marks Entry'!BC84="","",'Marks Entry'!BC84)</f>
        <v/>
      </c>
      <c r="BP84" s="105" t="str">
        <f>IF('Marks Entry'!BD84="","",'Marks Entry'!BD84)</f>
        <v/>
      </c>
      <c r="BQ84" s="105" t="str">
        <f>IF(AND('Marks Entry'!BE84="",'Marks Entry'!BF84=""),"",SUM('Marks Entry'!BE84:BF84))</f>
        <v/>
      </c>
      <c r="BR84" s="105" t="str">
        <f>IF(AND('Marks Entry'!BG84="",'Marks Entry'!BH84=""),"",SUM('Marks Entry'!BG84:BH84))</f>
        <v/>
      </c>
      <c r="BS84" s="105" t="str">
        <f t="shared" si="155"/>
        <v/>
      </c>
      <c r="BT84" s="105" t="str">
        <f t="shared" si="156"/>
        <v/>
      </c>
      <c r="BU84" s="105" t="str">
        <f t="shared" si="157"/>
        <v/>
      </c>
      <c r="BV84" s="105" t="str">
        <f>IF('Marks Entry'!BJ84="","",'Marks Entry'!BJ84)</f>
        <v/>
      </c>
      <c r="BW84" s="105" t="str">
        <f>IF('Marks Entry'!BK84="","",'Marks Entry'!BK84)</f>
        <v/>
      </c>
      <c r="BX84" s="105" t="str">
        <f>IF(AND('Marks Entry'!BL84="",'Marks Entry'!BM84=""),"",SUM('Marks Entry'!BL84:BM84))</f>
        <v/>
      </c>
      <c r="BY84" s="105" t="str">
        <f>IF(AND('Marks Entry'!BN84="",'Marks Entry'!BO84=""),"",SUM('Marks Entry'!BN84:BO84))</f>
        <v/>
      </c>
      <c r="BZ84" s="105" t="str">
        <f t="shared" si="158"/>
        <v/>
      </c>
      <c r="CA84" s="105" t="str">
        <f t="shared" si="159"/>
        <v/>
      </c>
      <c r="CB84" s="105" t="str">
        <f t="shared" si="160"/>
        <v/>
      </c>
      <c r="CC84" s="105" t="str">
        <f>IF('Marks Entry'!BQ84="","",'Marks Entry'!BQ84)</f>
        <v/>
      </c>
      <c r="CD84" s="105" t="str">
        <f>IF('Marks Entry'!BR84="","",'Marks Entry'!BR84)</f>
        <v/>
      </c>
      <c r="CE84" s="105" t="str">
        <f>IF(AND('Marks Entry'!BS84="",'Marks Entry'!BT84=""),"",SUM('Marks Entry'!BS84:BT84))</f>
        <v/>
      </c>
      <c r="CF84" s="105" t="str">
        <f>IF(AND('Marks Entry'!BU84="",'Marks Entry'!BV84=""),"",SUM('Marks Entry'!BU84:BV84))</f>
        <v/>
      </c>
      <c r="CG84" s="105" t="str">
        <f t="shared" si="161"/>
        <v/>
      </c>
      <c r="CH84" s="105" t="str">
        <f t="shared" si="162"/>
        <v/>
      </c>
      <c r="CI84" s="105" t="str">
        <f t="shared" si="163"/>
        <v/>
      </c>
      <c r="CJ84" s="81"/>
      <c r="CK84" s="50" t="str">
        <f t="shared" si="104"/>
        <v/>
      </c>
      <c r="CM84" s="105" t="str">
        <f t="shared" si="105"/>
        <v/>
      </c>
      <c r="CN84" s="105" t="str">
        <f t="shared" si="106"/>
        <v/>
      </c>
      <c r="CO84" s="105" t="str">
        <f t="shared" si="107"/>
        <v/>
      </c>
      <c r="CP84" s="105" t="str">
        <f t="shared" si="108"/>
        <v/>
      </c>
      <c r="CQ84" s="105" t="str">
        <f t="shared" si="109"/>
        <v/>
      </c>
      <c r="CS84" s="105">
        <f t="shared" si="110"/>
        <v>0</v>
      </c>
      <c r="CT84" s="105">
        <f t="shared" si="111"/>
        <v>0</v>
      </c>
      <c r="CU84" s="105">
        <f t="shared" si="112"/>
        <v>0</v>
      </c>
      <c r="CV84" s="105">
        <f t="shared" si="113"/>
        <v>0</v>
      </c>
      <c r="CW84" s="81"/>
      <c r="CX84" s="105" t="str">
        <f t="shared" si="114"/>
        <v/>
      </c>
      <c r="CY84" s="105" t="str">
        <f t="shared" si="115"/>
        <v/>
      </c>
      <c r="CZ84" s="105" t="str">
        <f t="shared" si="116"/>
        <v/>
      </c>
      <c r="DA84" s="105" t="str">
        <f t="shared" si="117"/>
        <v/>
      </c>
      <c r="DB84" s="105" t="str">
        <f t="shared" si="118"/>
        <v/>
      </c>
      <c r="DD84" s="105" t="str">
        <f t="shared" si="119"/>
        <v/>
      </c>
      <c r="DE84" s="105" t="str">
        <f t="shared" si="120"/>
        <v/>
      </c>
      <c r="DF84" s="105" t="str">
        <f t="shared" si="121"/>
        <v/>
      </c>
      <c r="DG84" s="105" t="str">
        <f t="shared" si="122"/>
        <v/>
      </c>
      <c r="DH84" s="105" t="str">
        <f t="shared" si="123"/>
        <v/>
      </c>
      <c r="DI84" s="105" t="str">
        <f t="shared" si="124"/>
        <v/>
      </c>
      <c r="DJ84" s="105" t="str">
        <f t="shared" si="125"/>
        <v/>
      </c>
      <c r="DK84" s="105" t="str">
        <f t="shared" si="126"/>
        <v/>
      </c>
      <c r="DL84" s="105" t="str">
        <f t="shared" si="127"/>
        <v/>
      </c>
      <c r="DM84" s="105" t="str">
        <f t="shared" si="128"/>
        <v/>
      </c>
      <c r="DN84" s="105" t="str">
        <f t="shared" si="129"/>
        <v/>
      </c>
      <c r="DO84" s="105" t="str">
        <f t="shared" si="130"/>
        <v/>
      </c>
      <c r="DP84" s="105" t="str">
        <f t="shared" si="131"/>
        <v/>
      </c>
      <c r="DR84" s="118" t="str">
        <f t="shared" si="164"/>
        <v xml:space="preserve">    </v>
      </c>
      <c r="DS84" s="75"/>
      <c r="DT84" s="119" t="str">
        <f t="shared" si="165"/>
        <v xml:space="preserve">    </v>
      </c>
      <c r="DU84" s="136"/>
      <c r="DV84" s="119" t="str">
        <f t="shared" si="166"/>
        <v xml:space="preserve">    </v>
      </c>
      <c r="DW84" s="75"/>
      <c r="DX84" s="119" t="str">
        <f t="shared" si="167"/>
        <v xml:space="preserve">     </v>
      </c>
      <c r="DY84" s="75"/>
      <c r="DZ84" s="119" t="str">
        <f t="shared" si="168"/>
        <v xml:space="preserve">    </v>
      </c>
    </row>
    <row r="85" spans="1:130" ht="30" customHeight="1" x14ac:dyDescent="0.25">
      <c r="A85" s="105" t="str">
        <f>IF('Marks Entry'!A85="","",'Marks Entry'!A85)</f>
        <v/>
      </c>
      <c r="B85" s="105" t="str">
        <f>IF('Marks Entry'!B85="","",'Marks Entry'!B85)</f>
        <v/>
      </c>
      <c r="C85" s="105" t="str">
        <f>IF('Marks Entry'!C85="","",'Marks Entry'!C85)</f>
        <v/>
      </c>
      <c r="D85" s="48" t="str">
        <f>IF('Marks Entry'!D85="","",'Marks Entry'!D85)</f>
        <v/>
      </c>
      <c r="E85" s="48" t="str">
        <f>IF('Marks Entry'!E85="","",'Marks Entry'!E85)</f>
        <v/>
      </c>
      <c r="F85" s="48" t="str">
        <f>IF('Marks Entry'!F85="","",'Marks Entry'!F85)</f>
        <v/>
      </c>
      <c r="G85" s="105" t="str">
        <f>IF('Marks Entry'!G85="","",'Marks Entry'!G85)</f>
        <v/>
      </c>
      <c r="H85" s="49" t="str">
        <f>IF('Marks Entry'!H85="","",'Marks Entry'!H85)</f>
        <v/>
      </c>
      <c r="I85" s="105" t="str">
        <f>IF('Marks Entry'!I85="","",'Marks Entry'!I85)</f>
        <v/>
      </c>
      <c r="J85" s="105" t="str">
        <f>IF('Marks Entry'!K85="","",'Marks Entry'!K85)</f>
        <v/>
      </c>
      <c r="K85" s="105" t="str">
        <f>IF('Marks Entry'!L85="","",'Marks Entry'!L85)</f>
        <v/>
      </c>
      <c r="L85" s="105" t="str">
        <f>IF(AND('Marks Entry'!M85="",'Marks Entry'!N85=""),"",SUM('Marks Entry'!M85:N85))</f>
        <v/>
      </c>
      <c r="M85" s="105" t="str">
        <f>IF(AND('Marks Entry'!O85="",'Marks Entry'!P85=""),"",SUM('Marks Entry'!O85:P85))</f>
        <v/>
      </c>
      <c r="N85" s="105" t="str">
        <f t="shared" si="101"/>
        <v/>
      </c>
      <c r="O85" s="105" t="str">
        <f t="shared" si="132"/>
        <v/>
      </c>
      <c r="P85" s="105" t="str">
        <f t="shared" si="133"/>
        <v/>
      </c>
      <c r="Q85" s="105" t="str">
        <f>IF('Marks Entry'!R85="","",'Marks Entry'!R85)</f>
        <v/>
      </c>
      <c r="R85" s="105" t="str">
        <f>IF('Marks Entry'!S85="","",'Marks Entry'!S85)</f>
        <v/>
      </c>
      <c r="S85" s="105" t="str">
        <f>IF(AND('Marks Entry'!T85="",'Marks Entry'!U85=""),"",SUM('Marks Entry'!T85:U85))</f>
        <v/>
      </c>
      <c r="T85" s="105" t="str">
        <f>IF(AND('Marks Entry'!V85="",'Marks Entry'!W85=""),"",SUM('Marks Entry'!V85:W85))</f>
        <v/>
      </c>
      <c r="U85" s="105" t="str">
        <f t="shared" si="134"/>
        <v/>
      </c>
      <c r="V85" s="105" t="str">
        <f t="shared" si="135"/>
        <v/>
      </c>
      <c r="W85" s="105" t="str">
        <f t="shared" si="136"/>
        <v/>
      </c>
      <c r="X85" s="47" t="str">
        <f>IF(B85="","",IF('Marks Entry'!Y85="",'Marks Entry'!$Y$4,'Marks Entry'!Y85))</f>
        <v/>
      </c>
      <c r="Y85" s="105" t="str">
        <f>IF('Marks Entry'!Z85="","",'Marks Entry'!Z85)</f>
        <v/>
      </c>
      <c r="Z85" s="105" t="str">
        <f>IF('Marks Entry'!AA85="","",'Marks Entry'!AA85)</f>
        <v/>
      </c>
      <c r="AA85" s="105" t="str">
        <f>IF(AND('Marks Entry'!AB85="",'Marks Entry'!AC85=""),"",SUM('Marks Entry'!AB85:AC85))</f>
        <v/>
      </c>
      <c r="AB85" s="105" t="str">
        <f>IF('Marks Entry'!AD85="","",'Marks Entry'!AD85)</f>
        <v/>
      </c>
      <c r="AC85" s="105" t="str">
        <f t="shared" si="137"/>
        <v/>
      </c>
      <c r="AD85" s="105" t="str">
        <f>IF(AND('Marks Entry'!AE85="",'Marks Entry'!AF85=""),"",SUM('Marks Entry'!AE85:AF85))</f>
        <v/>
      </c>
      <c r="AE85" s="105" t="str">
        <f>IF('Marks Entry'!AG85="","",'Marks Entry'!AG85)</f>
        <v/>
      </c>
      <c r="AF85" s="105" t="str">
        <f t="shared" si="138"/>
        <v/>
      </c>
      <c r="AG85" s="105" t="str">
        <f t="shared" si="139"/>
        <v/>
      </c>
      <c r="AH85" s="105" t="str">
        <f t="shared" si="140"/>
        <v/>
      </c>
      <c r="AI85" s="105" t="str">
        <f t="shared" si="141"/>
        <v/>
      </c>
      <c r="AJ85" s="47" t="str">
        <f>IF(B85="","",IF('Marks Entry'!AI85="",'Marks Entry'!$AI$4,'Marks Entry'!AI85))</f>
        <v/>
      </c>
      <c r="AK85" s="105" t="str">
        <f>IF('Marks Entry'!AJ85="","",'Marks Entry'!AJ85)</f>
        <v/>
      </c>
      <c r="AL85" s="105" t="str">
        <f>IF('Marks Entry'!AK85="","",'Marks Entry'!AK85)</f>
        <v/>
      </c>
      <c r="AM85" s="105" t="str">
        <f>IF(AND('Marks Entry'!AL85="",'Marks Entry'!AM85=""),"",SUM('Marks Entry'!AL85:AM85))</f>
        <v/>
      </c>
      <c r="AN85" s="105" t="str">
        <f>IF('Marks Entry'!AN85="","",'Marks Entry'!AN85)</f>
        <v/>
      </c>
      <c r="AO85" s="105" t="str">
        <f t="shared" si="142"/>
        <v/>
      </c>
      <c r="AP85" s="105" t="str">
        <f>IF(AND('Marks Entry'!AO85="",'Marks Entry'!AP85=""),"",SUM('Marks Entry'!AO85:AP85))</f>
        <v/>
      </c>
      <c r="AQ85" s="105" t="str">
        <f>IF('Marks Entry'!AQ85="","",'Marks Entry'!AQ85)</f>
        <v/>
      </c>
      <c r="AR85" s="105" t="str">
        <f t="shared" si="143"/>
        <v/>
      </c>
      <c r="AS85" s="105" t="str">
        <f t="shared" si="144"/>
        <v/>
      </c>
      <c r="AT85" s="105" t="str">
        <f t="shared" si="145"/>
        <v/>
      </c>
      <c r="AU85" s="105" t="str">
        <f t="shared" si="146"/>
        <v/>
      </c>
      <c r="AV85" s="47" t="str">
        <f>IF(B85="","",IF('Marks Entry'!AS85="",'Marks Entry'!$AS$4,'Marks Entry'!AS85))</f>
        <v/>
      </c>
      <c r="AW85" s="105" t="str">
        <f>IF('Marks Entry'!AT85="","",'Marks Entry'!AT85)</f>
        <v/>
      </c>
      <c r="AX85" s="105" t="str">
        <f>IF('Marks Entry'!AU85="","",'Marks Entry'!AU85)</f>
        <v/>
      </c>
      <c r="AY85" s="105" t="str">
        <f>IF(AND('Marks Entry'!AV85="",'Marks Entry'!AW85=""),"",SUM('Marks Entry'!AV85:AW85))</f>
        <v/>
      </c>
      <c r="AZ85" s="105" t="str">
        <f>IF('Marks Entry'!AX85="","",'Marks Entry'!AX85)</f>
        <v/>
      </c>
      <c r="BA85" s="105">
        <f t="shared" si="147"/>
        <v>0</v>
      </c>
      <c r="BB85" s="105" t="str">
        <f>IF(AND('Marks Entry'!AY85="",'Marks Entry'!AZ85=""),"",SUM('Marks Entry'!AY85:AZ85))</f>
        <v/>
      </c>
      <c r="BC85" s="105" t="str">
        <f>IF('Marks Entry'!BA85="","",'Marks Entry'!BA85)</f>
        <v/>
      </c>
      <c r="BD85" s="105">
        <f t="shared" si="148"/>
        <v>0</v>
      </c>
      <c r="BE85" s="105">
        <f t="shared" si="149"/>
        <v>0</v>
      </c>
      <c r="BF85" s="105" t="str">
        <f t="shared" si="150"/>
        <v/>
      </c>
      <c r="BG85" s="105" t="str">
        <f t="shared" si="151"/>
        <v/>
      </c>
      <c r="BH85" s="105" t="str">
        <f t="shared" si="152"/>
        <v/>
      </c>
      <c r="BI85" s="50" t="str">
        <f t="shared" si="102"/>
        <v/>
      </c>
      <c r="BJ85" s="47" t="str">
        <f t="shared" si="103"/>
        <v/>
      </c>
      <c r="BK85" s="105" t="str">
        <f t="shared" si="153"/>
        <v/>
      </c>
      <c r="BL85" s="105" t="str">
        <f t="shared" si="154"/>
        <v/>
      </c>
      <c r="BM85" s="105" t="str">
        <f>IF(OR(B85="",'Marks Entry'!BY85=""),"",'Marks Entry'!BY85)</f>
        <v/>
      </c>
      <c r="BN85" s="105" t="str">
        <f>IF(OR(B85="",'Marks Entry'!BZ85=""),"",'Marks Entry'!BZ85)</f>
        <v/>
      </c>
      <c r="BO85" s="105" t="str">
        <f>IF('Marks Entry'!BC85="","",'Marks Entry'!BC85)</f>
        <v/>
      </c>
      <c r="BP85" s="105" t="str">
        <f>IF('Marks Entry'!BD85="","",'Marks Entry'!BD85)</f>
        <v/>
      </c>
      <c r="BQ85" s="105" t="str">
        <f>IF(AND('Marks Entry'!BE85="",'Marks Entry'!BF85=""),"",SUM('Marks Entry'!BE85:BF85))</f>
        <v/>
      </c>
      <c r="BR85" s="105" t="str">
        <f>IF(AND('Marks Entry'!BG85="",'Marks Entry'!BH85=""),"",SUM('Marks Entry'!BG85:BH85))</f>
        <v/>
      </c>
      <c r="BS85" s="105" t="str">
        <f t="shared" si="155"/>
        <v/>
      </c>
      <c r="BT85" s="105" t="str">
        <f t="shared" si="156"/>
        <v/>
      </c>
      <c r="BU85" s="105" t="str">
        <f t="shared" si="157"/>
        <v/>
      </c>
      <c r="BV85" s="105" t="str">
        <f>IF('Marks Entry'!BJ85="","",'Marks Entry'!BJ85)</f>
        <v/>
      </c>
      <c r="BW85" s="105" t="str">
        <f>IF('Marks Entry'!BK85="","",'Marks Entry'!BK85)</f>
        <v/>
      </c>
      <c r="BX85" s="105" t="str">
        <f>IF(AND('Marks Entry'!BL85="",'Marks Entry'!BM85=""),"",SUM('Marks Entry'!BL85:BM85))</f>
        <v/>
      </c>
      <c r="BY85" s="105" t="str">
        <f>IF(AND('Marks Entry'!BN85="",'Marks Entry'!BO85=""),"",SUM('Marks Entry'!BN85:BO85))</f>
        <v/>
      </c>
      <c r="BZ85" s="105" t="str">
        <f t="shared" si="158"/>
        <v/>
      </c>
      <c r="CA85" s="105" t="str">
        <f t="shared" si="159"/>
        <v/>
      </c>
      <c r="CB85" s="105" t="str">
        <f t="shared" si="160"/>
        <v/>
      </c>
      <c r="CC85" s="105" t="str">
        <f>IF('Marks Entry'!BQ85="","",'Marks Entry'!BQ85)</f>
        <v/>
      </c>
      <c r="CD85" s="105" t="str">
        <f>IF('Marks Entry'!BR85="","",'Marks Entry'!BR85)</f>
        <v/>
      </c>
      <c r="CE85" s="105" t="str">
        <f>IF(AND('Marks Entry'!BS85="",'Marks Entry'!BT85=""),"",SUM('Marks Entry'!BS85:BT85))</f>
        <v/>
      </c>
      <c r="CF85" s="105" t="str">
        <f>IF(AND('Marks Entry'!BU85="",'Marks Entry'!BV85=""),"",SUM('Marks Entry'!BU85:BV85))</f>
        <v/>
      </c>
      <c r="CG85" s="105" t="str">
        <f t="shared" si="161"/>
        <v/>
      </c>
      <c r="CH85" s="105" t="str">
        <f t="shared" si="162"/>
        <v/>
      </c>
      <c r="CI85" s="105" t="str">
        <f t="shared" si="163"/>
        <v/>
      </c>
      <c r="CJ85" s="81"/>
      <c r="CK85" s="50" t="str">
        <f t="shared" si="104"/>
        <v/>
      </c>
      <c r="CM85" s="105" t="str">
        <f t="shared" si="105"/>
        <v/>
      </c>
      <c r="CN85" s="105" t="str">
        <f t="shared" si="106"/>
        <v/>
      </c>
      <c r="CO85" s="105" t="str">
        <f t="shared" si="107"/>
        <v/>
      </c>
      <c r="CP85" s="105" t="str">
        <f t="shared" si="108"/>
        <v/>
      </c>
      <c r="CQ85" s="105" t="str">
        <f t="shared" si="109"/>
        <v/>
      </c>
      <c r="CS85" s="105">
        <f t="shared" si="110"/>
        <v>0</v>
      </c>
      <c r="CT85" s="105">
        <f t="shared" si="111"/>
        <v>0</v>
      </c>
      <c r="CU85" s="105">
        <f t="shared" si="112"/>
        <v>0</v>
      </c>
      <c r="CV85" s="105">
        <f t="shared" si="113"/>
        <v>0</v>
      </c>
      <c r="CW85" s="81"/>
      <c r="CX85" s="105" t="str">
        <f t="shared" si="114"/>
        <v/>
      </c>
      <c r="CY85" s="105" t="str">
        <f t="shared" si="115"/>
        <v/>
      </c>
      <c r="CZ85" s="105" t="str">
        <f t="shared" si="116"/>
        <v/>
      </c>
      <c r="DA85" s="105" t="str">
        <f t="shared" si="117"/>
        <v/>
      </c>
      <c r="DB85" s="105" t="str">
        <f t="shared" si="118"/>
        <v/>
      </c>
      <c r="DD85" s="105" t="str">
        <f t="shared" si="119"/>
        <v/>
      </c>
      <c r="DE85" s="105" t="str">
        <f t="shared" si="120"/>
        <v/>
      </c>
      <c r="DF85" s="105" t="str">
        <f t="shared" si="121"/>
        <v/>
      </c>
      <c r="DG85" s="105" t="str">
        <f t="shared" si="122"/>
        <v/>
      </c>
      <c r="DH85" s="105" t="str">
        <f t="shared" si="123"/>
        <v/>
      </c>
      <c r="DI85" s="105" t="str">
        <f t="shared" si="124"/>
        <v/>
      </c>
      <c r="DJ85" s="105" t="str">
        <f t="shared" si="125"/>
        <v/>
      </c>
      <c r="DK85" s="105" t="str">
        <f t="shared" si="126"/>
        <v/>
      </c>
      <c r="DL85" s="105" t="str">
        <f t="shared" si="127"/>
        <v/>
      </c>
      <c r="DM85" s="105" t="str">
        <f t="shared" si="128"/>
        <v/>
      </c>
      <c r="DN85" s="105" t="str">
        <f t="shared" si="129"/>
        <v/>
      </c>
      <c r="DO85" s="105" t="str">
        <f t="shared" si="130"/>
        <v/>
      </c>
      <c r="DP85" s="105" t="str">
        <f t="shared" si="131"/>
        <v/>
      </c>
      <c r="DR85" s="118" t="str">
        <f t="shared" si="164"/>
        <v xml:space="preserve">    </v>
      </c>
      <c r="DS85" s="75"/>
      <c r="DT85" s="119" t="str">
        <f t="shared" si="165"/>
        <v xml:space="preserve">    </v>
      </c>
      <c r="DU85" s="136"/>
      <c r="DV85" s="119" t="str">
        <f t="shared" si="166"/>
        <v xml:space="preserve">    </v>
      </c>
      <c r="DW85" s="75"/>
      <c r="DX85" s="119" t="str">
        <f t="shared" si="167"/>
        <v xml:space="preserve">     </v>
      </c>
      <c r="DY85" s="75"/>
      <c r="DZ85" s="119" t="str">
        <f t="shared" si="168"/>
        <v xml:space="preserve">    </v>
      </c>
    </row>
    <row r="86" spans="1:130" ht="30" customHeight="1" x14ac:dyDescent="0.25">
      <c r="A86" s="105" t="str">
        <f>IF('Marks Entry'!A86="","",'Marks Entry'!A86)</f>
        <v/>
      </c>
      <c r="B86" s="105" t="str">
        <f>IF('Marks Entry'!B86="","",'Marks Entry'!B86)</f>
        <v/>
      </c>
      <c r="C86" s="105" t="str">
        <f>IF('Marks Entry'!C86="","",'Marks Entry'!C86)</f>
        <v/>
      </c>
      <c r="D86" s="48" t="str">
        <f>IF('Marks Entry'!D86="","",'Marks Entry'!D86)</f>
        <v/>
      </c>
      <c r="E86" s="48" t="str">
        <f>IF('Marks Entry'!E86="","",'Marks Entry'!E86)</f>
        <v/>
      </c>
      <c r="F86" s="48" t="str">
        <f>IF('Marks Entry'!F86="","",'Marks Entry'!F86)</f>
        <v/>
      </c>
      <c r="G86" s="105" t="str">
        <f>IF('Marks Entry'!G86="","",'Marks Entry'!G86)</f>
        <v/>
      </c>
      <c r="H86" s="49" t="str">
        <f>IF('Marks Entry'!H86="","",'Marks Entry'!H86)</f>
        <v/>
      </c>
      <c r="I86" s="105" t="str">
        <f>IF('Marks Entry'!I86="","",'Marks Entry'!I86)</f>
        <v/>
      </c>
      <c r="J86" s="105" t="str">
        <f>IF('Marks Entry'!K86="","",'Marks Entry'!K86)</f>
        <v/>
      </c>
      <c r="K86" s="105" t="str">
        <f>IF('Marks Entry'!L86="","",'Marks Entry'!L86)</f>
        <v/>
      </c>
      <c r="L86" s="105" t="str">
        <f>IF(AND('Marks Entry'!M86="",'Marks Entry'!N86=""),"",SUM('Marks Entry'!M86:N86))</f>
        <v/>
      </c>
      <c r="M86" s="105" t="str">
        <f>IF(AND('Marks Entry'!O86="",'Marks Entry'!P86=""),"",SUM('Marks Entry'!O86:P86))</f>
        <v/>
      </c>
      <c r="N86" s="105" t="str">
        <f t="shared" si="101"/>
        <v/>
      </c>
      <c r="O86" s="105" t="str">
        <f t="shared" si="132"/>
        <v/>
      </c>
      <c r="P86" s="105" t="str">
        <f t="shared" si="133"/>
        <v/>
      </c>
      <c r="Q86" s="105" t="str">
        <f>IF('Marks Entry'!R86="","",'Marks Entry'!R86)</f>
        <v/>
      </c>
      <c r="R86" s="105" t="str">
        <f>IF('Marks Entry'!S86="","",'Marks Entry'!S86)</f>
        <v/>
      </c>
      <c r="S86" s="105" t="str">
        <f>IF(AND('Marks Entry'!T86="",'Marks Entry'!U86=""),"",SUM('Marks Entry'!T86:U86))</f>
        <v/>
      </c>
      <c r="T86" s="105" t="str">
        <f>IF(AND('Marks Entry'!V86="",'Marks Entry'!W86=""),"",SUM('Marks Entry'!V86:W86))</f>
        <v/>
      </c>
      <c r="U86" s="105" t="str">
        <f t="shared" si="134"/>
        <v/>
      </c>
      <c r="V86" s="105" t="str">
        <f t="shared" si="135"/>
        <v/>
      </c>
      <c r="W86" s="105" t="str">
        <f t="shared" si="136"/>
        <v/>
      </c>
      <c r="X86" s="47" t="str">
        <f>IF(B86="","",IF('Marks Entry'!Y86="",'Marks Entry'!$Y$4,'Marks Entry'!Y86))</f>
        <v/>
      </c>
      <c r="Y86" s="105" t="str">
        <f>IF('Marks Entry'!Z86="","",'Marks Entry'!Z86)</f>
        <v/>
      </c>
      <c r="Z86" s="105" t="str">
        <f>IF('Marks Entry'!AA86="","",'Marks Entry'!AA86)</f>
        <v/>
      </c>
      <c r="AA86" s="105" t="str">
        <f>IF(AND('Marks Entry'!AB86="",'Marks Entry'!AC86=""),"",SUM('Marks Entry'!AB86:AC86))</f>
        <v/>
      </c>
      <c r="AB86" s="105" t="str">
        <f>IF('Marks Entry'!AD86="","",'Marks Entry'!AD86)</f>
        <v/>
      </c>
      <c r="AC86" s="105" t="str">
        <f t="shared" si="137"/>
        <v/>
      </c>
      <c r="AD86" s="105" t="str">
        <f>IF(AND('Marks Entry'!AE86="",'Marks Entry'!AF86=""),"",SUM('Marks Entry'!AE86:AF86))</f>
        <v/>
      </c>
      <c r="AE86" s="105" t="str">
        <f>IF('Marks Entry'!AG86="","",'Marks Entry'!AG86)</f>
        <v/>
      </c>
      <c r="AF86" s="105" t="str">
        <f t="shared" si="138"/>
        <v/>
      </c>
      <c r="AG86" s="105" t="str">
        <f t="shared" si="139"/>
        <v/>
      </c>
      <c r="AH86" s="105" t="str">
        <f t="shared" si="140"/>
        <v/>
      </c>
      <c r="AI86" s="105" t="str">
        <f t="shared" si="141"/>
        <v/>
      </c>
      <c r="AJ86" s="47" t="str">
        <f>IF(B86="","",IF('Marks Entry'!AI86="",'Marks Entry'!$AI$4,'Marks Entry'!AI86))</f>
        <v/>
      </c>
      <c r="AK86" s="105" t="str">
        <f>IF('Marks Entry'!AJ86="","",'Marks Entry'!AJ86)</f>
        <v/>
      </c>
      <c r="AL86" s="105" t="str">
        <f>IF('Marks Entry'!AK86="","",'Marks Entry'!AK86)</f>
        <v/>
      </c>
      <c r="AM86" s="105" t="str">
        <f>IF(AND('Marks Entry'!AL86="",'Marks Entry'!AM86=""),"",SUM('Marks Entry'!AL86:AM86))</f>
        <v/>
      </c>
      <c r="AN86" s="105" t="str">
        <f>IF('Marks Entry'!AN86="","",'Marks Entry'!AN86)</f>
        <v/>
      </c>
      <c r="AO86" s="105" t="str">
        <f t="shared" si="142"/>
        <v/>
      </c>
      <c r="AP86" s="105" t="str">
        <f>IF(AND('Marks Entry'!AO86="",'Marks Entry'!AP86=""),"",SUM('Marks Entry'!AO86:AP86))</f>
        <v/>
      </c>
      <c r="AQ86" s="105" t="str">
        <f>IF('Marks Entry'!AQ86="","",'Marks Entry'!AQ86)</f>
        <v/>
      </c>
      <c r="AR86" s="105" t="str">
        <f t="shared" si="143"/>
        <v/>
      </c>
      <c r="AS86" s="105" t="str">
        <f t="shared" si="144"/>
        <v/>
      </c>
      <c r="AT86" s="105" t="str">
        <f t="shared" si="145"/>
        <v/>
      </c>
      <c r="AU86" s="105" t="str">
        <f t="shared" si="146"/>
        <v/>
      </c>
      <c r="AV86" s="47" t="str">
        <f>IF(B86="","",IF('Marks Entry'!AS86="",'Marks Entry'!$AS$4,'Marks Entry'!AS86))</f>
        <v/>
      </c>
      <c r="AW86" s="105" t="str">
        <f>IF('Marks Entry'!AT86="","",'Marks Entry'!AT86)</f>
        <v/>
      </c>
      <c r="AX86" s="105" t="str">
        <f>IF('Marks Entry'!AU86="","",'Marks Entry'!AU86)</f>
        <v/>
      </c>
      <c r="AY86" s="105" t="str">
        <f>IF(AND('Marks Entry'!AV86="",'Marks Entry'!AW86=""),"",SUM('Marks Entry'!AV86:AW86))</f>
        <v/>
      </c>
      <c r="AZ86" s="105" t="str">
        <f>IF('Marks Entry'!AX86="","",'Marks Entry'!AX86)</f>
        <v/>
      </c>
      <c r="BA86" s="105">
        <f t="shared" si="147"/>
        <v>0</v>
      </c>
      <c r="BB86" s="105" t="str">
        <f>IF(AND('Marks Entry'!AY86="",'Marks Entry'!AZ86=""),"",SUM('Marks Entry'!AY86:AZ86))</f>
        <v/>
      </c>
      <c r="BC86" s="105" t="str">
        <f>IF('Marks Entry'!BA86="","",'Marks Entry'!BA86)</f>
        <v/>
      </c>
      <c r="BD86" s="105">
        <f t="shared" si="148"/>
        <v>0</v>
      </c>
      <c r="BE86" s="105">
        <f t="shared" si="149"/>
        <v>0</v>
      </c>
      <c r="BF86" s="105" t="str">
        <f t="shared" si="150"/>
        <v/>
      </c>
      <c r="BG86" s="105" t="str">
        <f t="shared" si="151"/>
        <v/>
      </c>
      <c r="BH86" s="105" t="str">
        <f t="shared" si="152"/>
        <v/>
      </c>
      <c r="BI86" s="50" t="str">
        <f t="shared" si="102"/>
        <v/>
      </c>
      <c r="BJ86" s="47" t="str">
        <f t="shared" si="103"/>
        <v/>
      </c>
      <c r="BK86" s="105" t="str">
        <f t="shared" si="153"/>
        <v/>
      </c>
      <c r="BL86" s="105" t="str">
        <f t="shared" si="154"/>
        <v/>
      </c>
      <c r="BM86" s="105" t="str">
        <f>IF(OR(B86="",'Marks Entry'!BY86=""),"",'Marks Entry'!BY86)</f>
        <v/>
      </c>
      <c r="BN86" s="105" t="str">
        <f>IF(OR(B86="",'Marks Entry'!BZ86=""),"",'Marks Entry'!BZ86)</f>
        <v/>
      </c>
      <c r="BO86" s="105" t="str">
        <f>IF('Marks Entry'!BC86="","",'Marks Entry'!BC86)</f>
        <v/>
      </c>
      <c r="BP86" s="105" t="str">
        <f>IF('Marks Entry'!BD86="","",'Marks Entry'!BD86)</f>
        <v/>
      </c>
      <c r="BQ86" s="105" t="str">
        <f>IF(AND('Marks Entry'!BE86="",'Marks Entry'!BF86=""),"",SUM('Marks Entry'!BE86:BF86))</f>
        <v/>
      </c>
      <c r="BR86" s="105" t="str">
        <f>IF(AND('Marks Entry'!BG86="",'Marks Entry'!BH86=""),"",SUM('Marks Entry'!BG86:BH86))</f>
        <v/>
      </c>
      <c r="BS86" s="105" t="str">
        <f t="shared" si="155"/>
        <v/>
      </c>
      <c r="BT86" s="105" t="str">
        <f t="shared" si="156"/>
        <v/>
      </c>
      <c r="BU86" s="105" t="str">
        <f t="shared" si="157"/>
        <v/>
      </c>
      <c r="BV86" s="105" t="str">
        <f>IF('Marks Entry'!BJ86="","",'Marks Entry'!BJ86)</f>
        <v/>
      </c>
      <c r="BW86" s="105" t="str">
        <f>IF('Marks Entry'!BK86="","",'Marks Entry'!BK86)</f>
        <v/>
      </c>
      <c r="BX86" s="105" t="str">
        <f>IF(AND('Marks Entry'!BL86="",'Marks Entry'!BM86=""),"",SUM('Marks Entry'!BL86:BM86))</f>
        <v/>
      </c>
      <c r="BY86" s="105" t="str">
        <f>IF(AND('Marks Entry'!BN86="",'Marks Entry'!BO86=""),"",SUM('Marks Entry'!BN86:BO86))</f>
        <v/>
      </c>
      <c r="BZ86" s="105" t="str">
        <f t="shared" si="158"/>
        <v/>
      </c>
      <c r="CA86" s="105" t="str">
        <f t="shared" si="159"/>
        <v/>
      </c>
      <c r="CB86" s="105" t="str">
        <f t="shared" si="160"/>
        <v/>
      </c>
      <c r="CC86" s="105" t="str">
        <f>IF('Marks Entry'!BQ86="","",'Marks Entry'!BQ86)</f>
        <v/>
      </c>
      <c r="CD86" s="105" t="str">
        <f>IF('Marks Entry'!BR86="","",'Marks Entry'!BR86)</f>
        <v/>
      </c>
      <c r="CE86" s="105" t="str">
        <f>IF(AND('Marks Entry'!BS86="",'Marks Entry'!BT86=""),"",SUM('Marks Entry'!BS86:BT86))</f>
        <v/>
      </c>
      <c r="CF86" s="105" t="str">
        <f>IF(AND('Marks Entry'!BU86="",'Marks Entry'!BV86=""),"",SUM('Marks Entry'!BU86:BV86))</f>
        <v/>
      </c>
      <c r="CG86" s="105" t="str">
        <f t="shared" si="161"/>
        <v/>
      </c>
      <c r="CH86" s="105" t="str">
        <f t="shared" si="162"/>
        <v/>
      </c>
      <c r="CI86" s="105" t="str">
        <f t="shared" si="163"/>
        <v/>
      </c>
      <c r="CJ86" s="81"/>
      <c r="CK86" s="50" t="str">
        <f t="shared" si="104"/>
        <v/>
      </c>
      <c r="CM86" s="105" t="str">
        <f t="shared" si="105"/>
        <v/>
      </c>
      <c r="CN86" s="105" t="str">
        <f t="shared" si="106"/>
        <v/>
      </c>
      <c r="CO86" s="105" t="str">
        <f t="shared" si="107"/>
        <v/>
      </c>
      <c r="CP86" s="105" t="str">
        <f t="shared" si="108"/>
        <v/>
      </c>
      <c r="CQ86" s="105" t="str">
        <f t="shared" si="109"/>
        <v/>
      </c>
      <c r="CS86" s="105">
        <f t="shared" si="110"/>
        <v>0</v>
      </c>
      <c r="CT86" s="105">
        <f t="shared" si="111"/>
        <v>0</v>
      </c>
      <c r="CU86" s="105">
        <f t="shared" si="112"/>
        <v>0</v>
      </c>
      <c r="CV86" s="105">
        <f t="shared" si="113"/>
        <v>0</v>
      </c>
      <c r="CW86" s="81"/>
      <c r="CX86" s="105" t="str">
        <f t="shared" si="114"/>
        <v/>
      </c>
      <c r="CY86" s="105" t="str">
        <f t="shared" si="115"/>
        <v/>
      </c>
      <c r="CZ86" s="105" t="str">
        <f t="shared" si="116"/>
        <v/>
      </c>
      <c r="DA86" s="105" t="str">
        <f t="shared" si="117"/>
        <v/>
      </c>
      <c r="DB86" s="105" t="str">
        <f t="shared" si="118"/>
        <v/>
      </c>
      <c r="DD86" s="105" t="str">
        <f t="shared" si="119"/>
        <v/>
      </c>
      <c r="DE86" s="105" t="str">
        <f t="shared" si="120"/>
        <v/>
      </c>
      <c r="DF86" s="105" t="str">
        <f t="shared" si="121"/>
        <v/>
      </c>
      <c r="DG86" s="105" t="str">
        <f t="shared" si="122"/>
        <v/>
      </c>
      <c r="DH86" s="105" t="str">
        <f t="shared" si="123"/>
        <v/>
      </c>
      <c r="DI86" s="105" t="str">
        <f t="shared" si="124"/>
        <v/>
      </c>
      <c r="DJ86" s="105" t="str">
        <f t="shared" si="125"/>
        <v/>
      </c>
      <c r="DK86" s="105" t="str">
        <f t="shared" si="126"/>
        <v/>
      </c>
      <c r="DL86" s="105" t="str">
        <f t="shared" si="127"/>
        <v/>
      </c>
      <c r="DM86" s="105" t="str">
        <f t="shared" si="128"/>
        <v/>
      </c>
      <c r="DN86" s="105" t="str">
        <f t="shared" si="129"/>
        <v/>
      </c>
      <c r="DO86" s="105" t="str">
        <f t="shared" si="130"/>
        <v/>
      </c>
      <c r="DP86" s="105" t="str">
        <f t="shared" si="131"/>
        <v/>
      </c>
      <c r="DR86" s="118" t="str">
        <f t="shared" si="164"/>
        <v xml:space="preserve">    </v>
      </c>
      <c r="DS86" s="75"/>
      <c r="DT86" s="119" t="str">
        <f t="shared" si="165"/>
        <v xml:space="preserve">    </v>
      </c>
      <c r="DU86" s="136"/>
      <c r="DV86" s="119" t="str">
        <f t="shared" si="166"/>
        <v xml:space="preserve">    </v>
      </c>
      <c r="DW86" s="75"/>
      <c r="DX86" s="119" t="str">
        <f t="shared" si="167"/>
        <v xml:space="preserve">     </v>
      </c>
      <c r="DY86" s="75"/>
      <c r="DZ86" s="119" t="str">
        <f t="shared" si="168"/>
        <v xml:space="preserve">    </v>
      </c>
    </row>
    <row r="87" spans="1:130" ht="30" customHeight="1" x14ac:dyDescent="0.25">
      <c r="A87" s="105" t="str">
        <f>IF('Marks Entry'!A87="","",'Marks Entry'!A87)</f>
        <v/>
      </c>
      <c r="B87" s="105" t="str">
        <f>IF('Marks Entry'!B87="","",'Marks Entry'!B87)</f>
        <v/>
      </c>
      <c r="C87" s="105" t="str">
        <f>IF('Marks Entry'!C87="","",'Marks Entry'!C87)</f>
        <v/>
      </c>
      <c r="D87" s="48" t="str">
        <f>IF('Marks Entry'!D87="","",'Marks Entry'!D87)</f>
        <v/>
      </c>
      <c r="E87" s="48" t="str">
        <f>IF('Marks Entry'!E87="","",'Marks Entry'!E87)</f>
        <v/>
      </c>
      <c r="F87" s="48" t="str">
        <f>IF('Marks Entry'!F87="","",'Marks Entry'!F87)</f>
        <v/>
      </c>
      <c r="G87" s="105" t="str">
        <f>IF('Marks Entry'!G87="","",'Marks Entry'!G87)</f>
        <v/>
      </c>
      <c r="H87" s="49" t="str">
        <f>IF('Marks Entry'!H87="","",'Marks Entry'!H87)</f>
        <v/>
      </c>
      <c r="I87" s="105" t="str">
        <f>IF('Marks Entry'!I87="","",'Marks Entry'!I87)</f>
        <v/>
      </c>
      <c r="J87" s="105" t="str">
        <f>IF('Marks Entry'!K87="","",'Marks Entry'!K87)</f>
        <v/>
      </c>
      <c r="K87" s="105" t="str">
        <f>IF('Marks Entry'!L87="","",'Marks Entry'!L87)</f>
        <v/>
      </c>
      <c r="L87" s="105" t="str">
        <f>IF(AND('Marks Entry'!M87="",'Marks Entry'!N87=""),"",SUM('Marks Entry'!M87:N87))</f>
        <v/>
      </c>
      <c r="M87" s="105" t="str">
        <f>IF(AND('Marks Entry'!O87="",'Marks Entry'!P87=""),"",SUM('Marks Entry'!O87:P87))</f>
        <v/>
      </c>
      <c r="N87" s="105" t="str">
        <f t="shared" si="101"/>
        <v/>
      </c>
      <c r="O87" s="105" t="str">
        <f t="shared" si="132"/>
        <v/>
      </c>
      <c r="P87" s="105" t="str">
        <f t="shared" si="133"/>
        <v/>
      </c>
      <c r="Q87" s="105" t="str">
        <f>IF('Marks Entry'!R87="","",'Marks Entry'!R87)</f>
        <v/>
      </c>
      <c r="R87" s="105" t="str">
        <f>IF('Marks Entry'!S87="","",'Marks Entry'!S87)</f>
        <v/>
      </c>
      <c r="S87" s="105" t="str">
        <f>IF(AND('Marks Entry'!T87="",'Marks Entry'!U87=""),"",SUM('Marks Entry'!T87:U87))</f>
        <v/>
      </c>
      <c r="T87" s="105" t="str">
        <f>IF(AND('Marks Entry'!V87="",'Marks Entry'!W87=""),"",SUM('Marks Entry'!V87:W87))</f>
        <v/>
      </c>
      <c r="U87" s="105" t="str">
        <f t="shared" si="134"/>
        <v/>
      </c>
      <c r="V87" s="105" t="str">
        <f t="shared" si="135"/>
        <v/>
      </c>
      <c r="W87" s="105" t="str">
        <f t="shared" si="136"/>
        <v/>
      </c>
      <c r="X87" s="47" t="str">
        <f>IF(B87="","",IF('Marks Entry'!Y87="",'Marks Entry'!$Y$4,'Marks Entry'!Y87))</f>
        <v/>
      </c>
      <c r="Y87" s="105" t="str">
        <f>IF('Marks Entry'!Z87="","",'Marks Entry'!Z87)</f>
        <v/>
      </c>
      <c r="Z87" s="105" t="str">
        <f>IF('Marks Entry'!AA87="","",'Marks Entry'!AA87)</f>
        <v/>
      </c>
      <c r="AA87" s="105" t="str">
        <f>IF(AND('Marks Entry'!AB87="",'Marks Entry'!AC87=""),"",SUM('Marks Entry'!AB87:AC87))</f>
        <v/>
      </c>
      <c r="AB87" s="105" t="str">
        <f>IF('Marks Entry'!AD87="","",'Marks Entry'!AD87)</f>
        <v/>
      </c>
      <c r="AC87" s="105" t="str">
        <f t="shared" si="137"/>
        <v/>
      </c>
      <c r="AD87" s="105" t="str">
        <f>IF(AND('Marks Entry'!AE87="",'Marks Entry'!AF87=""),"",SUM('Marks Entry'!AE87:AF87))</f>
        <v/>
      </c>
      <c r="AE87" s="105" t="str">
        <f>IF('Marks Entry'!AG87="","",'Marks Entry'!AG87)</f>
        <v/>
      </c>
      <c r="AF87" s="105" t="str">
        <f t="shared" si="138"/>
        <v/>
      </c>
      <c r="AG87" s="105" t="str">
        <f t="shared" si="139"/>
        <v/>
      </c>
      <c r="AH87" s="105" t="str">
        <f t="shared" si="140"/>
        <v/>
      </c>
      <c r="AI87" s="105" t="str">
        <f t="shared" si="141"/>
        <v/>
      </c>
      <c r="AJ87" s="47" t="str">
        <f>IF(B87="","",IF('Marks Entry'!AI87="",'Marks Entry'!$AI$4,'Marks Entry'!AI87))</f>
        <v/>
      </c>
      <c r="AK87" s="105" t="str">
        <f>IF('Marks Entry'!AJ87="","",'Marks Entry'!AJ87)</f>
        <v/>
      </c>
      <c r="AL87" s="105" t="str">
        <f>IF('Marks Entry'!AK87="","",'Marks Entry'!AK87)</f>
        <v/>
      </c>
      <c r="AM87" s="105" t="str">
        <f>IF(AND('Marks Entry'!AL87="",'Marks Entry'!AM87=""),"",SUM('Marks Entry'!AL87:AM87))</f>
        <v/>
      </c>
      <c r="AN87" s="105" t="str">
        <f>IF('Marks Entry'!AN87="","",'Marks Entry'!AN87)</f>
        <v/>
      </c>
      <c r="AO87" s="105" t="str">
        <f t="shared" si="142"/>
        <v/>
      </c>
      <c r="AP87" s="105" t="str">
        <f>IF(AND('Marks Entry'!AO87="",'Marks Entry'!AP87=""),"",SUM('Marks Entry'!AO87:AP87))</f>
        <v/>
      </c>
      <c r="AQ87" s="105" t="str">
        <f>IF('Marks Entry'!AQ87="","",'Marks Entry'!AQ87)</f>
        <v/>
      </c>
      <c r="AR87" s="105" t="str">
        <f t="shared" si="143"/>
        <v/>
      </c>
      <c r="AS87" s="105" t="str">
        <f t="shared" si="144"/>
        <v/>
      </c>
      <c r="AT87" s="105" t="str">
        <f t="shared" si="145"/>
        <v/>
      </c>
      <c r="AU87" s="105" t="str">
        <f t="shared" si="146"/>
        <v/>
      </c>
      <c r="AV87" s="47" t="str">
        <f>IF(B87="","",IF('Marks Entry'!AS87="",'Marks Entry'!$AS$4,'Marks Entry'!AS87))</f>
        <v/>
      </c>
      <c r="AW87" s="105" t="str">
        <f>IF('Marks Entry'!AT87="","",'Marks Entry'!AT87)</f>
        <v/>
      </c>
      <c r="AX87" s="105" t="str">
        <f>IF('Marks Entry'!AU87="","",'Marks Entry'!AU87)</f>
        <v/>
      </c>
      <c r="AY87" s="105" t="str">
        <f>IF(AND('Marks Entry'!AV87="",'Marks Entry'!AW87=""),"",SUM('Marks Entry'!AV87:AW87))</f>
        <v/>
      </c>
      <c r="AZ87" s="105" t="str">
        <f>IF('Marks Entry'!AX87="","",'Marks Entry'!AX87)</f>
        <v/>
      </c>
      <c r="BA87" s="105">
        <f t="shared" si="147"/>
        <v>0</v>
      </c>
      <c r="BB87" s="105" t="str">
        <f>IF(AND('Marks Entry'!AY87="",'Marks Entry'!AZ87=""),"",SUM('Marks Entry'!AY87:AZ87))</f>
        <v/>
      </c>
      <c r="BC87" s="105" t="str">
        <f>IF('Marks Entry'!BA87="","",'Marks Entry'!BA87)</f>
        <v/>
      </c>
      <c r="BD87" s="105">
        <f t="shared" si="148"/>
        <v>0</v>
      </c>
      <c r="BE87" s="105">
        <f t="shared" si="149"/>
        <v>0</v>
      </c>
      <c r="BF87" s="105" t="str">
        <f t="shared" si="150"/>
        <v/>
      </c>
      <c r="BG87" s="105" t="str">
        <f t="shared" si="151"/>
        <v/>
      </c>
      <c r="BH87" s="105" t="str">
        <f t="shared" si="152"/>
        <v/>
      </c>
      <c r="BI87" s="50" t="str">
        <f t="shared" si="102"/>
        <v/>
      </c>
      <c r="BJ87" s="47" t="str">
        <f t="shared" si="103"/>
        <v/>
      </c>
      <c r="BK87" s="105" t="str">
        <f t="shared" si="153"/>
        <v/>
      </c>
      <c r="BL87" s="105" t="str">
        <f t="shared" si="154"/>
        <v/>
      </c>
      <c r="BM87" s="105" t="str">
        <f>IF(OR(B87="",'Marks Entry'!BY87=""),"",'Marks Entry'!BY87)</f>
        <v/>
      </c>
      <c r="BN87" s="105" t="str">
        <f>IF(OR(B87="",'Marks Entry'!BZ87=""),"",'Marks Entry'!BZ87)</f>
        <v/>
      </c>
      <c r="BO87" s="105" t="str">
        <f>IF('Marks Entry'!BC87="","",'Marks Entry'!BC87)</f>
        <v/>
      </c>
      <c r="BP87" s="105" t="str">
        <f>IF('Marks Entry'!BD87="","",'Marks Entry'!BD87)</f>
        <v/>
      </c>
      <c r="BQ87" s="105" t="str">
        <f>IF(AND('Marks Entry'!BE87="",'Marks Entry'!BF87=""),"",SUM('Marks Entry'!BE87:BF87))</f>
        <v/>
      </c>
      <c r="BR87" s="105" t="str">
        <f>IF(AND('Marks Entry'!BG87="",'Marks Entry'!BH87=""),"",SUM('Marks Entry'!BG87:BH87))</f>
        <v/>
      </c>
      <c r="BS87" s="105" t="str">
        <f t="shared" si="155"/>
        <v/>
      </c>
      <c r="BT87" s="105" t="str">
        <f t="shared" si="156"/>
        <v/>
      </c>
      <c r="BU87" s="105" t="str">
        <f t="shared" si="157"/>
        <v/>
      </c>
      <c r="BV87" s="105" t="str">
        <f>IF('Marks Entry'!BJ87="","",'Marks Entry'!BJ87)</f>
        <v/>
      </c>
      <c r="BW87" s="105" t="str">
        <f>IF('Marks Entry'!BK87="","",'Marks Entry'!BK87)</f>
        <v/>
      </c>
      <c r="BX87" s="105" t="str">
        <f>IF(AND('Marks Entry'!BL87="",'Marks Entry'!BM87=""),"",SUM('Marks Entry'!BL87:BM87))</f>
        <v/>
      </c>
      <c r="BY87" s="105" t="str">
        <f>IF(AND('Marks Entry'!BN87="",'Marks Entry'!BO87=""),"",SUM('Marks Entry'!BN87:BO87))</f>
        <v/>
      </c>
      <c r="BZ87" s="105" t="str">
        <f t="shared" si="158"/>
        <v/>
      </c>
      <c r="CA87" s="105" t="str">
        <f t="shared" si="159"/>
        <v/>
      </c>
      <c r="CB87" s="105" t="str">
        <f t="shared" si="160"/>
        <v/>
      </c>
      <c r="CC87" s="105" t="str">
        <f>IF('Marks Entry'!BQ87="","",'Marks Entry'!BQ87)</f>
        <v/>
      </c>
      <c r="CD87" s="105" t="str">
        <f>IF('Marks Entry'!BR87="","",'Marks Entry'!BR87)</f>
        <v/>
      </c>
      <c r="CE87" s="105" t="str">
        <f>IF(AND('Marks Entry'!BS87="",'Marks Entry'!BT87=""),"",SUM('Marks Entry'!BS87:BT87))</f>
        <v/>
      </c>
      <c r="CF87" s="105" t="str">
        <f>IF(AND('Marks Entry'!BU87="",'Marks Entry'!BV87=""),"",SUM('Marks Entry'!BU87:BV87))</f>
        <v/>
      </c>
      <c r="CG87" s="105" t="str">
        <f t="shared" si="161"/>
        <v/>
      </c>
      <c r="CH87" s="105" t="str">
        <f t="shared" si="162"/>
        <v/>
      </c>
      <c r="CI87" s="105" t="str">
        <f t="shared" si="163"/>
        <v/>
      </c>
      <c r="CJ87" s="81"/>
      <c r="CK87" s="50" t="str">
        <f t="shared" si="104"/>
        <v/>
      </c>
      <c r="CM87" s="105" t="str">
        <f t="shared" si="105"/>
        <v/>
      </c>
      <c r="CN87" s="105" t="str">
        <f t="shared" si="106"/>
        <v/>
      </c>
      <c r="CO87" s="105" t="str">
        <f t="shared" si="107"/>
        <v/>
      </c>
      <c r="CP87" s="105" t="str">
        <f t="shared" si="108"/>
        <v/>
      </c>
      <c r="CQ87" s="105" t="str">
        <f t="shared" si="109"/>
        <v/>
      </c>
      <c r="CS87" s="105">
        <f t="shared" si="110"/>
        <v>0</v>
      </c>
      <c r="CT87" s="105">
        <f t="shared" si="111"/>
        <v>0</v>
      </c>
      <c r="CU87" s="105">
        <f t="shared" si="112"/>
        <v>0</v>
      </c>
      <c r="CV87" s="105">
        <f t="shared" si="113"/>
        <v>0</v>
      </c>
      <c r="CW87" s="81"/>
      <c r="CX87" s="105" t="str">
        <f t="shared" si="114"/>
        <v/>
      </c>
      <c r="CY87" s="105" t="str">
        <f t="shared" si="115"/>
        <v/>
      </c>
      <c r="CZ87" s="105" t="str">
        <f t="shared" si="116"/>
        <v/>
      </c>
      <c r="DA87" s="105" t="str">
        <f t="shared" si="117"/>
        <v/>
      </c>
      <c r="DB87" s="105" t="str">
        <f t="shared" si="118"/>
        <v/>
      </c>
      <c r="DD87" s="105" t="str">
        <f t="shared" si="119"/>
        <v/>
      </c>
      <c r="DE87" s="105" t="str">
        <f t="shared" si="120"/>
        <v/>
      </c>
      <c r="DF87" s="105" t="str">
        <f t="shared" si="121"/>
        <v/>
      </c>
      <c r="DG87" s="105" t="str">
        <f t="shared" si="122"/>
        <v/>
      </c>
      <c r="DH87" s="105" t="str">
        <f t="shared" si="123"/>
        <v/>
      </c>
      <c r="DI87" s="105" t="str">
        <f t="shared" si="124"/>
        <v/>
      </c>
      <c r="DJ87" s="105" t="str">
        <f t="shared" si="125"/>
        <v/>
      </c>
      <c r="DK87" s="105" t="str">
        <f t="shared" si="126"/>
        <v/>
      </c>
      <c r="DL87" s="105" t="str">
        <f t="shared" si="127"/>
        <v/>
      </c>
      <c r="DM87" s="105" t="str">
        <f t="shared" si="128"/>
        <v/>
      </c>
      <c r="DN87" s="105" t="str">
        <f t="shared" si="129"/>
        <v/>
      </c>
      <c r="DO87" s="105" t="str">
        <f t="shared" si="130"/>
        <v/>
      </c>
      <c r="DP87" s="105" t="str">
        <f t="shared" si="131"/>
        <v/>
      </c>
      <c r="DR87" s="118" t="str">
        <f t="shared" si="164"/>
        <v xml:space="preserve">    </v>
      </c>
      <c r="DS87" s="75"/>
      <c r="DT87" s="119" t="str">
        <f t="shared" si="165"/>
        <v xml:space="preserve">    </v>
      </c>
      <c r="DU87" s="136"/>
      <c r="DV87" s="119" t="str">
        <f t="shared" si="166"/>
        <v xml:space="preserve">    </v>
      </c>
      <c r="DW87" s="75"/>
      <c r="DX87" s="119" t="str">
        <f t="shared" si="167"/>
        <v xml:space="preserve">     </v>
      </c>
      <c r="DY87" s="75"/>
      <c r="DZ87" s="119" t="str">
        <f t="shared" si="168"/>
        <v xml:space="preserve">    </v>
      </c>
    </row>
    <row r="88" spans="1:130" ht="30" customHeight="1" x14ac:dyDescent="0.25">
      <c r="A88" s="105" t="str">
        <f>IF('Marks Entry'!A88="","",'Marks Entry'!A88)</f>
        <v/>
      </c>
      <c r="B88" s="105" t="str">
        <f>IF('Marks Entry'!B88="","",'Marks Entry'!B88)</f>
        <v/>
      </c>
      <c r="C88" s="105" t="str">
        <f>IF('Marks Entry'!C88="","",'Marks Entry'!C88)</f>
        <v/>
      </c>
      <c r="D88" s="48" t="str">
        <f>IF('Marks Entry'!D88="","",'Marks Entry'!D88)</f>
        <v/>
      </c>
      <c r="E88" s="48" t="str">
        <f>IF('Marks Entry'!E88="","",'Marks Entry'!E88)</f>
        <v/>
      </c>
      <c r="F88" s="48" t="str">
        <f>IF('Marks Entry'!F88="","",'Marks Entry'!F88)</f>
        <v/>
      </c>
      <c r="G88" s="105" t="str">
        <f>IF('Marks Entry'!G88="","",'Marks Entry'!G88)</f>
        <v/>
      </c>
      <c r="H88" s="49" t="str">
        <f>IF('Marks Entry'!H88="","",'Marks Entry'!H88)</f>
        <v/>
      </c>
      <c r="I88" s="105" t="str">
        <f>IF('Marks Entry'!I88="","",'Marks Entry'!I88)</f>
        <v/>
      </c>
      <c r="J88" s="105" t="str">
        <f>IF('Marks Entry'!K88="","",'Marks Entry'!K88)</f>
        <v/>
      </c>
      <c r="K88" s="105" t="str">
        <f>IF('Marks Entry'!L88="","",'Marks Entry'!L88)</f>
        <v/>
      </c>
      <c r="L88" s="105" t="str">
        <f>IF(AND('Marks Entry'!M88="",'Marks Entry'!N88=""),"",SUM('Marks Entry'!M88:N88))</f>
        <v/>
      </c>
      <c r="M88" s="105" t="str">
        <f>IF(AND('Marks Entry'!O88="",'Marks Entry'!P88=""),"",SUM('Marks Entry'!O88:P88))</f>
        <v/>
      </c>
      <c r="N88" s="105" t="str">
        <f t="shared" si="101"/>
        <v/>
      </c>
      <c r="O88" s="105" t="str">
        <f t="shared" si="132"/>
        <v/>
      </c>
      <c r="P88" s="105" t="str">
        <f t="shared" si="133"/>
        <v/>
      </c>
      <c r="Q88" s="105" t="str">
        <f>IF('Marks Entry'!R88="","",'Marks Entry'!R88)</f>
        <v/>
      </c>
      <c r="R88" s="105" t="str">
        <f>IF('Marks Entry'!S88="","",'Marks Entry'!S88)</f>
        <v/>
      </c>
      <c r="S88" s="105" t="str">
        <f>IF(AND('Marks Entry'!T88="",'Marks Entry'!U88=""),"",SUM('Marks Entry'!T88:U88))</f>
        <v/>
      </c>
      <c r="T88" s="105" t="str">
        <f>IF(AND('Marks Entry'!V88="",'Marks Entry'!W88=""),"",SUM('Marks Entry'!V88:W88))</f>
        <v/>
      </c>
      <c r="U88" s="105" t="str">
        <f t="shared" si="134"/>
        <v/>
      </c>
      <c r="V88" s="105" t="str">
        <f t="shared" si="135"/>
        <v/>
      </c>
      <c r="W88" s="105" t="str">
        <f t="shared" si="136"/>
        <v/>
      </c>
      <c r="X88" s="47" t="str">
        <f>IF(B88="","",IF('Marks Entry'!Y88="",'Marks Entry'!$Y$4,'Marks Entry'!Y88))</f>
        <v/>
      </c>
      <c r="Y88" s="105" t="str">
        <f>IF('Marks Entry'!Z88="","",'Marks Entry'!Z88)</f>
        <v/>
      </c>
      <c r="Z88" s="105" t="str">
        <f>IF('Marks Entry'!AA88="","",'Marks Entry'!AA88)</f>
        <v/>
      </c>
      <c r="AA88" s="105" t="str">
        <f>IF(AND('Marks Entry'!AB88="",'Marks Entry'!AC88=""),"",SUM('Marks Entry'!AB88:AC88))</f>
        <v/>
      </c>
      <c r="AB88" s="105" t="str">
        <f>IF('Marks Entry'!AD88="","",'Marks Entry'!AD88)</f>
        <v/>
      </c>
      <c r="AC88" s="105" t="str">
        <f t="shared" si="137"/>
        <v/>
      </c>
      <c r="AD88" s="105" t="str">
        <f>IF(AND('Marks Entry'!AE88="",'Marks Entry'!AF88=""),"",SUM('Marks Entry'!AE88:AF88))</f>
        <v/>
      </c>
      <c r="AE88" s="105" t="str">
        <f>IF('Marks Entry'!AG88="","",'Marks Entry'!AG88)</f>
        <v/>
      </c>
      <c r="AF88" s="105" t="str">
        <f t="shared" si="138"/>
        <v/>
      </c>
      <c r="AG88" s="105" t="str">
        <f t="shared" si="139"/>
        <v/>
      </c>
      <c r="AH88" s="105" t="str">
        <f t="shared" si="140"/>
        <v/>
      </c>
      <c r="AI88" s="105" t="str">
        <f t="shared" si="141"/>
        <v/>
      </c>
      <c r="AJ88" s="47" t="str">
        <f>IF(B88="","",IF('Marks Entry'!AI88="",'Marks Entry'!$AI$4,'Marks Entry'!AI88))</f>
        <v/>
      </c>
      <c r="AK88" s="105" t="str">
        <f>IF('Marks Entry'!AJ88="","",'Marks Entry'!AJ88)</f>
        <v/>
      </c>
      <c r="AL88" s="105" t="str">
        <f>IF('Marks Entry'!AK88="","",'Marks Entry'!AK88)</f>
        <v/>
      </c>
      <c r="AM88" s="105" t="str">
        <f>IF(AND('Marks Entry'!AL88="",'Marks Entry'!AM88=""),"",SUM('Marks Entry'!AL88:AM88))</f>
        <v/>
      </c>
      <c r="AN88" s="105" t="str">
        <f>IF('Marks Entry'!AN88="","",'Marks Entry'!AN88)</f>
        <v/>
      </c>
      <c r="AO88" s="105" t="str">
        <f t="shared" si="142"/>
        <v/>
      </c>
      <c r="AP88" s="105" t="str">
        <f>IF(AND('Marks Entry'!AO88="",'Marks Entry'!AP88=""),"",SUM('Marks Entry'!AO88:AP88))</f>
        <v/>
      </c>
      <c r="AQ88" s="105" t="str">
        <f>IF('Marks Entry'!AQ88="","",'Marks Entry'!AQ88)</f>
        <v/>
      </c>
      <c r="AR88" s="105" t="str">
        <f t="shared" si="143"/>
        <v/>
      </c>
      <c r="AS88" s="105" t="str">
        <f t="shared" si="144"/>
        <v/>
      </c>
      <c r="AT88" s="105" t="str">
        <f t="shared" si="145"/>
        <v/>
      </c>
      <c r="AU88" s="105" t="str">
        <f t="shared" si="146"/>
        <v/>
      </c>
      <c r="AV88" s="47" t="str">
        <f>IF(B88="","",IF('Marks Entry'!AS88="",'Marks Entry'!$AS$4,'Marks Entry'!AS88))</f>
        <v/>
      </c>
      <c r="AW88" s="105" t="str">
        <f>IF('Marks Entry'!AT88="","",'Marks Entry'!AT88)</f>
        <v/>
      </c>
      <c r="AX88" s="105" t="str">
        <f>IF('Marks Entry'!AU88="","",'Marks Entry'!AU88)</f>
        <v/>
      </c>
      <c r="AY88" s="105" t="str">
        <f>IF(AND('Marks Entry'!AV88="",'Marks Entry'!AW88=""),"",SUM('Marks Entry'!AV88:AW88))</f>
        <v/>
      </c>
      <c r="AZ88" s="105" t="str">
        <f>IF('Marks Entry'!AX88="","",'Marks Entry'!AX88)</f>
        <v/>
      </c>
      <c r="BA88" s="105">
        <f t="shared" si="147"/>
        <v>0</v>
      </c>
      <c r="BB88" s="105" t="str">
        <f>IF(AND('Marks Entry'!AY88="",'Marks Entry'!AZ88=""),"",SUM('Marks Entry'!AY88:AZ88))</f>
        <v/>
      </c>
      <c r="BC88" s="105" t="str">
        <f>IF('Marks Entry'!BA88="","",'Marks Entry'!BA88)</f>
        <v/>
      </c>
      <c r="BD88" s="105">
        <f t="shared" si="148"/>
        <v>0</v>
      </c>
      <c r="BE88" s="105">
        <f t="shared" si="149"/>
        <v>0</v>
      </c>
      <c r="BF88" s="105" t="str">
        <f t="shared" si="150"/>
        <v/>
      </c>
      <c r="BG88" s="105" t="str">
        <f t="shared" si="151"/>
        <v/>
      </c>
      <c r="BH88" s="105" t="str">
        <f t="shared" si="152"/>
        <v/>
      </c>
      <c r="BI88" s="50" t="str">
        <f t="shared" si="102"/>
        <v/>
      </c>
      <c r="BJ88" s="47" t="str">
        <f t="shared" si="103"/>
        <v/>
      </c>
      <c r="BK88" s="105" t="str">
        <f t="shared" si="153"/>
        <v/>
      </c>
      <c r="BL88" s="105" t="str">
        <f t="shared" si="154"/>
        <v/>
      </c>
      <c r="BM88" s="105" t="str">
        <f>IF(OR(B88="",'Marks Entry'!BY88=""),"",'Marks Entry'!BY88)</f>
        <v/>
      </c>
      <c r="BN88" s="105" t="str">
        <f>IF(OR(B88="",'Marks Entry'!BZ88=""),"",'Marks Entry'!BZ88)</f>
        <v/>
      </c>
      <c r="BO88" s="105" t="str">
        <f>IF('Marks Entry'!BC88="","",'Marks Entry'!BC88)</f>
        <v/>
      </c>
      <c r="BP88" s="105" t="str">
        <f>IF('Marks Entry'!BD88="","",'Marks Entry'!BD88)</f>
        <v/>
      </c>
      <c r="BQ88" s="105" t="str">
        <f>IF(AND('Marks Entry'!BE88="",'Marks Entry'!BF88=""),"",SUM('Marks Entry'!BE88:BF88))</f>
        <v/>
      </c>
      <c r="BR88" s="105" t="str">
        <f>IF(AND('Marks Entry'!BG88="",'Marks Entry'!BH88=""),"",SUM('Marks Entry'!BG88:BH88))</f>
        <v/>
      </c>
      <c r="BS88" s="105" t="str">
        <f t="shared" si="155"/>
        <v/>
      </c>
      <c r="BT88" s="105" t="str">
        <f t="shared" si="156"/>
        <v/>
      </c>
      <c r="BU88" s="105" t="str">
        <f t="shared" si="157"/>
        <v/>
      </c>
      <c r="BV88" s="105" t="str">
        <f>IF('Marks Entry'!BJ88="","",'Marks Entry'!BJ88)</f>
        <v/>
      </c>
      <c r="BW88" s="105" t="str">
        <f>IF('Marks Entry'!BK88="","",'Marks Entry'!BK88)</f>
        <v/>
      </c>
      <c r="BX88" s="105" t="str">
        <f>IF(AND('Marks Entry'!BL88="",'Marks Entry'!BM88=""),"",SUM('Marks Entry'!BL88:BM88))</f>
        <v/>
      </c>
      <c r="BY88" s="105" t="str">
        <f>IF(AND('Marks Entry'!BN88="",'Marks Entry'!BO88=""),"",SUM('Marks Entry'!BN88:BO88))</f>
        <v/>
      </c>
      <c r="BZ88" s="105" t="str">
        <f t="shared" si="158"/>
        <v/>
      </c>
      <c r="CA88" s="105" t="str">
        <f t="shared" si="159"/>
        <v/>
      </c>
      <c r="CB88" s="105" t="str">
        <f t="shared" si="160"/>
        <v/>
      </c>
      <c r="CC88" s="105" t="str">
        <f>IF('Marks Entry'!BQ88="","",'Marks Entry'!BQ88)</f>
        <v/>
      </c>
      <c r="CD88" s="105" t="str">
        <f>IF('Marks Entry'!BR88="","",'Marks Entry'!BR88)</f>
        <v/>
      </c>
      <c r="CE88" s="105" t="str">
        <f>IF(AND('Marks Entry'!BS88="",'Marks Entry'!BT88=""),"",SUM('Marks Entry'!BS88:BT88))</f>
        <v/>
      </c>
      <c r="CF88" s="105" t="str">
        <f>IF(AND('Marks Entry'!BU88="",'Marks Entry'!BV88=""),"",SUM('Marks Entry'!BU88:BV88))</f>
        <v/>
      </c>
      <c r="CG88" s="105" t="str">
        <f t="shared" si="161"/>
        <v/>
      </c>
      <c r="CH88" s="105" t="str">
        <f t="shared" si="162"/>
        <v/>
      </c>
      <c r="CI88" s="105" t="str">
        <f t="shared" si="163"/>
        <v/>
      </c>
      <c r="CJ88" s="81"/>
      <c r="CK88" s="50" t="str">
        <f t="shared" si="104"/>
        <v/>
      </c>
      <c r="CM88" s="105" t="str">
        <f t="shared" si="105"/>
        <v/>
      </c>
      <c r="CN88" s="105" t="str">
        <f t="shared" si="106"/>
        <v/>
      </c>
      <c r="CO88" s="105" t="str">
        <f t="shared" si="107"/>
        <v/>
      </c>
      <c r="CP88" s="105" t="str">
        <f t="shared" si="108"/>
        <v/>
      </c>
      <c r="CQ88" s="105" t="str">
        <f t="shared" si="109"/>
        <v/>
      </c>
      <c r="CS88" s="105">
        <f t="shared" si="110"/>
        <v>0</v>
      </c>
      <c r="CT88" s="105">
        <f t="shared" si="111"/>
        <v>0</v>
      </c>
      <c r="CU88" s="105">
        <f t="shared" si="112"/>
        <v>0</v>
      </c>
      <c r="CV88" s="105">
        <f t="shared" si="113"/>
        <v>0</v>
      </c>
      <c r="CW88" s="81"/>
      <c r="CX88" s="105" t="str">
        <f t="shared" si="114"/>
        <v/>
      </c>
      <c r="CY88" s="105" t="str">
        <f t="shared" si="115"/>
        <v/>
      </c>
      <c r="CZ88" s="105" t="str">
        <f t="shared" si="116"/>
        <v/>
      </c>
      <c r="DA88" s="105" t="str">
        <f t="shared" si="117"/>
        <v/>
      </c>
      <c r="DB88" s="105" t="str">
        <f t="shared" si="118"/>
        <v/>
      </c>
      <c r="DD88" s="105" t="str">
        <f t="shared" si="119"/>
        <v/>
      </c>
      <c r="DE88" s="105" t="str">
        <f t="shared" si="120"/>
        <v/>
      </c>
      <c r="DF88" s="105" t="str">
        <f t="shared" si="121"/>
        <v/>
      </c>
      <c r="DG88" s="105" t="str">
        <f t="shared" si="122"/>
        <v/>
      </c>
      <c r="DH88" s="105" t="str">
        <f t="shared" si="123"/>
        <v/>
      </c>
      <c r="DI88" s="105" t="str">
        <f t="shared" si="124"/>
        <v/>
      </c>
      <c r="DJ88" s="105" t="str">
        <f t="shared" si="125"/>
        <v/>
      </c>
      <c r="DK88" s="105" t="str">
        <f t="shared" si="126"/>
        <v/>
      </c>
      <c r="DL88" s="105" t="str">
        <f t="shared" si="127"/>
        <v/>
      </c>
      <c r="DM88" s="105" t="str">
        <f t="shared" si="128"/>
        <v/>
      </c>
      <c r="DN88" s="105" t="str">
        <f t="shared" si="129"/>
        <v/>
      </c>
      <c r="DO88" s="105" t="str">
        <f t="shared" si="130"/>
        <v/>
      </c>
      <c r="DP88" s="105" t="str">
        <f t="shared" si="131"/>
        <v/>
      </c>
      <c r="DR88" s="118" t="str">
        <f t="shared" si="164"/>
        <v xml:space="preserve">    </v>
      </c>
      <c r="DS88" s="75"/>
      <c r="DT88" s="119" t="str">
        <f t="shared" si="165"/>
        <v xml:space="preserve">    </v>
      </c>
      <c r="DU88" s="136"/>
      <c r="DV88" s="119" t="str">
        <f t="shared" si="166"/>
        <v xml:space="preserve">    </v>
      </c>
      <c r="DW88" s="75"/>
      <c r="DX88" s="119" t="str">
        <f t="shared" si="167"/>
        <v xml:space="preserve">     </v>
      </c>
      <c r="DY88" s="75"/>
      <c r="DZ88" s="119" t="str">
        <f t="shared" si="168"/>
        <v xml:space="preserve">    </v>
      </c>
    </row>
    <row r="89" spans="1:130" ht="30" customHeight="1" x14ac:dyDescent="0.25">
      <c r="A89" s="105" t="str">
        <f>IF('Marks Entry'!A89="","",'Marks Entry'!A89)</f>
        <v/>
      </c>
      <c r="B89" s="105" t="str">
        <f>IF('Marks Entry'!B89="","",'Marks Entry'!B89)</f>
        <v/>
      </c>
      <c r="C89" s="105" t="str">
        <f>IF('Marks Entry'!C89="","",'Marks Entry'!C89)</f>
        <v/>
      </c>
      <c r="D89" s="48" t="str">
        <f>IF('Marks Entry'!D89="","",'Marks Entry'!D89)</f>
        <v/>
      </c>
      <c r="E89" s="48" t="str">
        <f>IF('Marks Entry'!E89="","",'Marks Entry'!E89)</f>
        <v/>
      </c>
      <c r="F89" s="48" t="str">
        <f>IF('Marks Entry'!F89="","",'Marks Entry'!F89)</f>
        <v/>
      </c>
      <c r="G89" s="105" t="str">
        <f>IF('Marks Entry'!G89="","",'Marks Entry'!G89)</f>
        <v/>
      </c>
      <c r="H89" s="49" t="str">
        <f>IF('Marks Entry'!H89="","",'Marks Entry'!H89)</f>
        <v/>
      </c>
      <c r="I89" s="105" t="str">
        <f>IF('Marks Entry'!I89="","",'Marks Entry'!I89)</f>
        <v/>
      </c>
      <c r="J89" s="105" t="str">
        <f>IF('Marks Entry'!K89="","",'Marks Entry'!K89)</f>
        <v/>
      </c>
      <c r="K89" s="105" t="str">
        <f>IF('Marks Entry'!L89="","",'Marks Entry'!L89)</f>
        <v/>
      </c>
      <c r="L89" s="105" t="str">
        <f>IF(AND('Marks Entry'!M89="",'Marks Entry'!N89=""),"",SUM('Marks Entry'!M89:N89))</f>
        <v/>
      </c>
      <c r="M89" s="105" t="str">
        <f>IF(AND('Marks Entry'!O89="",'Marks Entry'!P89=""),"",SUM('Marks Entry'!O89:P89))</f>
        <v/>
      </c>
      <c r="N89" s="105" t="str">
        <f t="shared" si="101"/>
        <v/>
      </c>
      <c r="O89" s="105" t="str">
        <f t="shared" si="132"/>
        <v/>
      </c>
      <c r="P89" s="105" t="str">
        <f t="shared" si="133"/>
        <v/>
      </c>
      <c r="Q89" s="105" t="str">
        <f>IF('Marks Entry'!R89="","",'Marks Entry'!R89)</f>
        <v/>
      </c>
      <c r="R89" s="105" t="str">
        <f>IF('Marks Entry'!S89="","",'Marks Entry'!S89)</f>
        <v/>
      </c>
      <c r="S89" s="105" t="str">
        <f>IF(AND('Marks Entry'!T89="",'Marks Entry'!U89=""),"",SUM('Marks Entry'!T89:U89))</f>
        <v/>
      </c>
      <c r="T89" s="105" t="str">
        <f>IF(AND('Marks Entry'!V89="",'Marks Entry'!W89=""),"",SUM('Marks Entry'!V89:W89))</f>
        <v/>
      </c>
      <c r="U89" s="105" t="str">
        <f t="shared" si="134"/>
        <v/>
      </c>
      <c r="V89" s="105" t="str">
        <f t="shared" si="135"/>
        <v/>
      </c>
      <c r="W89" s="105" t="str">
        <f t="shared" si="136"/>
        <v/>
      </c>
      <c r="X89" s="47" t="str">
        <f>IF(B89="","",IF('Marks Entry'!Y89="",'Marks Entry'!$Y$4,'Marks Entry'!Y89))</f>
        <v/>
      </c>
      <c r="Y89" s="105" t="str">
        <f>IF('Marks Entry'!Z89="","",'Marks Entry'!Z89)</f>
        <v/>
      </c>
      <c r="Z89" s="105" t="str">
        <f>IF('Marks Entry'!AA89="","",'Marks Entry'!AA89)</f>
        <v/>
      </c>
      <c r="AA89" s="105" t="str">
        <f>IF(AND('Marks Entry'!AB89="",'Marks Entry'!AC89=""),"",SUM('Marks Entry'!AB89:AC89))</f>
        <v/>
      </c>
      <c r="AB89" s="105" t="str">
        <f>IF('Marks Entry'!AD89="","",'Marks Entry'!AD89)</f>
        <v/>
      </c>
      <c r="AC89" s="105" t="str">
        <f t="shared" si="137"/>
        <v/>
      </c>
      <c r="AD89" s="105" t="str">
        <f>IF(AND('Marks Entry'!AE89="",'Marks Entry'!AF89=""),"",SUM('Marks Entry'!AE89:AF89))</f>
        <v/>
      </c>
      <c r="AE89" s="105" t="str">
        <f>IF('Marks Entry'!AG89="","",'Marks Entry'!AG89)</f>
        <v/>
      </c>
      <c r="AF89" s="105" t="str">
        <f t="shared" si="138"/>
        <v/>
      </c>
      <c r="AG89" s="105" t="str">
        <f t="shared" si="139"/>
        <v/>
      </c>
      <c r="AH89" s="105" t="str">
        <f t="shared" si="140"/>
        <v/>
      </c>
      <c r="AI89" s="105" t="str">
        <f t="shared" si="141"/>
        <v/>
      </c>
      <c r="AJ89" s="47" t="str">
        <f>IF(B89="","",IF('Marks Entry'!AI89="",'Marks Entry'!$AI$4,'Marks Entry'!AI89))</f>
        <v/>
      </c>
      <c r="AK89" s="105" t="str">
        <f>IF('Marks Entry'!AJ89="","",'Marks Entry'!AJ89)</f>
        <v/>
      </c>
      <c r="AL89" s="105" t="str">
        <f>IF('Marks Entry'!AK89="","",'Marks Entry'!AK89)</f>
        <v/>
      </c>
      <c r="AM89" s="105" t="str">
        <f>IF(AND('Marks Entry'!AL89="",'Marks Entry'!AM89=""),"",SUM('Marks Entry'!AL89:AM89))</f>
        <v/>
      </c>
      <c r="AN89" s="105" t="str">
        <f>IF('Marks Entry'!AN89="","",'Marks Entry'!AN89)</f>
        <v/>
      </c>
      <c r="AO89" s="105" t="str">
        <f t="shared" si="142"/>
        <v/>
      </c>
      <c r="AP89" s="105" t="str">
        <f>IF(AND('Marks Entry'!AO89="",'Marks Entry'!AP89=""),"",SUM('Marks Entry'!AO89:AP89))</f>
        <v/>
      </c>
      <c r="AQ89" s="105" t="str">
        <f>IF('Marks Entry'!AQ89="","",'Marks Entry'!AQ89)</f>
        <v/>
      </c>
      <c r="AR89" s="105" t="str">
        <f t="shared" si="143"/>
        <v/>
      </c>
      <c r="AS89" s="105" t="str">
        <f t="shared" si="144"/>
        <v/>
      </c>
      <c r="AT89" s="105" t="str">
        <f t="shared" si="145"/>
        <v/>
      </c>
      <c r="AU89" s="105" t="str">
        <f t="shared" si="146"/>
        <v/>
      </c>
      <c r="AV89" s="47" t="str">
        <f>IF(B89="","",IF('Marks Entry'!AS89="",'Marks Entry'!$AS$4,'Marks Entry'!AS89))</f>
        <v/>
      </c>
      <c r="AW89" s="105" t="str">
        <f>IF('Marks Entry'!AT89="","",'Marks Entry'!AT89)</f>
        <v/>
      </c>
      <c r="AX89" s="105" t="str">
        <f>IF('Marks Entry'!AU89="","",'Marks Entry'!AU89)</f>
        <v/>
      </c>
      <c r="AY89" s="105" t="str">
        <f>IF(AND('Marks Entry'!AV89="",'Marks Entry'!AW89=""),"",SUM('Marks Entry'!AV89:AW89))</f>
        <v/>
      </c>
      <c r="AZ89" s="105" t="str">
        <f>IF('Marks Entry'!AX89="","",'Marks Entry'!AX89)</f>
        <v/>
      </c>
      <c r="BA89" s="105">
        <f t="shared" si="147"/>
        <v>0</v>
      </c>
      <c r="BB89" s="105" t="str">
        <f>IF(AND('Marks Entry'!AY89="",'Marks Entry'!AZ89=""),"",SUM('Marks Entry'!AY89:AZ89))</f>
        <v/>
      </c>
      <c r="BC89" s="105" t="str">
        <f>IF('Marks Entry'!BA89="","",'Marks Entry'!BA89)</f>
        <v/>
      </c>
      <c r="BD89" s="105">
        <f t="shared" si="148"/>
        <v>0</v>
      </c>
      <c r="BE89" s="105">
        <f t="shared" si="149"/>
        <v>0</v>
      </c>
      <c r="BF89" s="105" t="str">
        <f t="shared" si="150"/>
        <v/>
      </c>
      <c r="BG89" s="105" t="str">
        <f t="shared" si="151"/>
        <v/>
      </c>
      <c r="BH89" s="105" t="str">
        <f t="shared" si="152"/>
        <v/>
      </c>
      <c r="BI89" s="50" t="str">
        <f t="shared" si="102"/>
        <v/>
      </c>
      <c r="BJ89" s="47" t="str">
        <f t="shared" si="103"/>
        <v/>
      </c>
      <c r="BK89" s="105" t="str">
        <f t="shared" si="153"/>
        <v/>
      </c>
      <c r="BL89" s="105" t="str">
        <f t="shared" si="154"/>
        <v/>
      </c>
      <c r="BM89" s="105" t="str">
        <f>IF(OR(B89="",'Marks Entry'!BY89=""),"",'Marks Entry'!BY89)</f>
        <v/>
      </c>
      <c r="BN89" s="105" t="str">
        <f>IF(OR(B89="",'Marks Entry'!BZ89=""),"",'Marks Entry'!BZ89)</f>
        <v/>
      </c>
      <c r="BO89" s="105" t="str">
        <f>IF('Marks Entry'!BC89="","",'Marks Entry'!BC89)</f>
        <v/>
      </c>
      <c r="BP89" s="105" t="str">
        <f>IF('Marks Entry'!BD89="","",'Marks Entry'!BD89)</f>
        <v/>
      </c>
      <c r="BQ89" s="105" t="str">
        <f>IF(AND('Marks Entry'!BE89="",'Marks Entry'!BF89=""),"",SUM('Marks Entry'!BE89:BF89))</f>
        <v/>
      </c>
      <c r="BR89" s="105" t="str">
        <f>IF(AND('Marks Entry'!BG89="",'Marks Entry'!BH89=""),"",SUM('Marks Entry'!BG89:BH89))</f>
        <v/>
      </c>
      <c r="BS89" s="105" t="str">
        <f t="shared" si="155"/>
        <v/>
      </c>
      <c r="BT89" s="105" t="str">
        <f t="shared" si="156"/>
        <v/>
      </c>
      <c r="BU89" s="105" t="str">
        <f t="shared" si="157"/>
        <v/>
      </c>
      <c r="BV89" s="105" t="str">
        <f>IF('Marks Entry'!BJ89="","",'Marks Entry'!BJ89)</f>
        <v/>
      </c>
      <c r="BW89" s="105" t="str">
        <f>IF('Marks Entry'!BK89="","",'Marks Entry'!BK89)</f>
        <v/>
      </c>
      <c r="BX89" s="105" t="str">
        <f>IF(AND('Marks Entry'!BL89="",'Marks Entry'!BM89=""),"",SUM('Marks Entry'!BL89:BM89))</f>
        <v/>
      </c>
      <c r="BY89" s="105" t="str">
        <f>IF(AND('Marks Entry'!BN89="",'Marks Entry'!BO89=""),"",SUM('Marks Entry'!BN89:BO89))</f>
        <v/>
      </c>
      <c r="BZ89" s="105" t="str">
        <f t="shared" si="158"/>
        <v/>
      </c>
      <c r="CA89" s="105" t="str">
        <f t="shared" si="159"/>
        <v/>
      </c>
      <c r="CB89" s="105" t="str">
        <f t="shared" si="160"/>
        <v/>
      </c>
      <c r="CC89" s="105" t="str">
        <f>IF('Marks Entry'!BQ89="","",'Marks Entry'!BQ89)</f>
        <v/>
      </c>
      <c r="CD89" s="105" t="str">
        <f>IF('Marks Entry'!BR89="","",'Marks Entry'!BR89)</f>
        <v/>
      </c>
      <c r="CE89" s="105" t="str">
        <f>IF(AND('Marks Entry'!BS89="",'Marks Entry'!BT89=""),"",SUM('Marks Entry'!BS89:BT89))</f>
        <v/>
      </c>
      <c r="CF89" s="105" t="str">
        <f>IF(AND('Marks Entry'!BU89="",'Marks Entry'!BV89=""),"",SUM('Marks Entry'!BU89:BV89))</f>
        <v/>
      </c>
      <c r="CG89" s="105" t="str">
        <f t="shared" si="161"/>
        <v/>
      </c>
      <c r="CH89" s="105" t="str">
        <f t="shared" si="162"/>
        <v/>
      </c>
      <c r="CI89" s="105" t="str">
        <f t="shared" si="163"/>
        <v/>
      </c>
      <c r="CJ89" s="81"/>
      <c r="CK89" s="50" t="str">
        <f t="shared" si="104"/>
        <v/>
      </c>
      <c r="CM89" s="105" t="str">
        <f t="shared" si="105"/>
        <v/>
      </c>
      <c r="CN89" s="105" t="str">
        <f t="shared" si="106"/>
        <v/>
      </c>
      <c r="CO89" s="105" t="str">
        <f t="shared" si="107"/>
        <v/>
      </c>
      <c r="CP89" s="105" t="str">
        <f t="shared" si="108"/>
        <v/>
      </c>
      <c r="CQ89" s="105" t="str">
        <f t="shared" si="109"/>
        <v/>
      </c>
      <c r="CS89" s="105">
        <f t="shared" si="110"/>
        <v>0</v>
      </c>
      <c r="CT89" s="105">
        <f t="shared" si="111"/>
        <v>0</v>
      </c>
      <c r="CU89" s="105">
        <f t="shared" si="112"/>
        <v>0</v>
      </c>
      <c r="CV89" s="105">
        <f t="shared" si="113"/>
        <v>0</v>
      </c>
      <c r="CW89" s="81"/>
      <c r="CX89" s="105" t="str">
        <f t="shared" si="114"/>
        <v/>
      </c>
      <c r="CY89" s="105" t="str">
        <f t="shared" si="115"/>
        <v/>
      </c>
      <c r="CZ89" s="105" t="str">
        <f t="shared" si="116"/>
        <v/>
      </c>
      <c r="DA89" s="105" t="str">
        <f t="shared" si="117"/>
        <v/>
      </c>
      <c r="DB89" s="105" t="str">
        <f t="shared" si="118"/>
        <v/>
      </c>
      <c r="DD89" s="105" t="str">
        <f t="shared" si="119"/>
        <v/>
      </c>
      <c r="DE89" s="105" t="str">
        <f t="shared" si="120"/>
        <v/>
      </c>
      <c r="DF89" s="105" t="str">
        <f t="shared" si="121"/>
        <v/>
      </c>
      <c r="DG89" s="105" t="str">
        <f t="shared" si="122"/>
        <v/>
      </c>
      <c r="DH89" s="105" t="str">
        <f t="shared" si="123"/>
        <v/>
      </c>
      <c r="DI89" s="105" t="str">
        <f t="shared" si="124"/>
        <v/>
      </c>
      <c r="DJ89" s="105" t="str">
        <f t="shared" si="125"/>
        <v/>
      </c>
      <c r="DK89" s="105" t="str">
        <f t="shared" si="126"/>
        <v/>
      </c>
      <c r="DL89" s="105" t="str">
        <f t="shared" si="127"/>
        <v/>
      </c>
      <c r="DM89" s="105" t="str">
        <f t="shared" si="128"/>
        <v/>
      </c>
      <c r="DN89" s="105" t="str">
        <f t="shared" si="129"/>
        <v/>
      </c>
      <c r="DO89" s="105" t="str">
        <f t="shared" si="130"/>
        <v/>
      </c>
      <c r="DP89" s="105" t="str">
        <f t="shared" si="131"/>
        <v/>
      </c>
      <c r="DR89" s="118" t="str">
        <f t="shared" si="164"/>
        <v xml:space="preserve">    </v>
      </c>
      <c r="DS89" s="75"/>
      <c r="DT89" s="119" t="str">
        <f t="shared" si="165"/>
        <v xml:space="preserve">    </v>
      </c>
      <c r="DU89" s="136"/>
      <c r="DV89" s="119" t="str">
        <f t="shared" si="166"/>
        <v xml:space="preserve">    </v>
      </c>
      <c r="DW89" s="75"/>
      <c r="DX89" s="119" t="str">
        <f t="shared" si="167"/>
        <v xml:space="preserve">     </v>
      </c>
      <c r="DY89" s="75"/>
      <c r="DZ89" s="119" t="str">
        <f t="shared" si="168"/>
        <v xml:space="preserve">    </v>
      </c>
    </row>
    <row r="90" spans="1:130" ht="30" customHeight="1" x14ac:dyDescent="0.25">
      <c r="A90" s="105" t="str">
        <f>IF('Marks Entry'!A90="","",'Marks Entry'!A90)</f>
        <v/>
      </c>
      <c r="B90" s="105" t="str">
        <f>IF('Marks Entry'!B90="","",'Marks Entry'!B90)</f>
        <v/>
      </c>
      <c r="C90" s="105" t="str">
        <f>IF('Marks Entry'!C90="","",'Marks Entry'!C90)</f>
        <v/>
      </c>
      <c r="D90" s="48" t="str">
        <f>IF('Marks Entry'!D90="","",'Marks Entry'!D90)</f>
        <v/>
      </c>
      <c r="E90" s="48" t="str">
        <f>IF('Marks Entry'!E90="","",'Marks Entry'!E90)</f>
        <v/>
      </c>
      <c r="F90" s="48" t="str">
        <f>IF('Marks Entry'!F90="","",'Marks Entry'!F90)</f>
        <v/>
      </c>
      <c r="G90" s="105" t="str">
        <f>IF('Marks Entry'!G90="","",'Marks Entry'!G90)</f>
        <v/>
      </c>
      <c r="H90" s="49" t="str">
        <f>IF('Marks Entry'!H90="","",'Marks Entry'!H90)</f>
        <v/>
      </c>
      <c r="I90" s="105" t="str">
        <f>IF('Marks Entry'!I90="","",'Marks Entry'!I90)</f>
        <v/>
      </c>
      <c r="J90" s="105" t="str">
        <f>IF('Marks Entry'!K90="","",'Marks Entry'!K90)</f>
        <v/>
      </c>
      <c r="K90" s="105" t="str">
        <f>IF('Marks Entry'!L90="","",'Marks Entry'!L90)</f>
        <v/>
      </c>
      <c r="L90" s="105" t="str">
        <f>IF(AND('Marks Entry'!M90="",'Marks Entry'!N90=""),"",SUM('Marks Entry'!M90:N90))</f>
        <v/>
      </c>
      <c r="M90" s="105" t="str">
        <f>IF(AND('Marks Entry'!O90="",'Marks Entry'!P90=""),"",SUM('Marks Entry'!O90:P90))</f>
        <v/>
      </c>
      <c r="N90" s="105" t="str">
        <f t="shared" si="101"/>
        <v/>
      </c>
      <c r="O90" s="105" t="str">
        <f t="shared" si="132"/>
        <v/>
      </c>
      <c r="P90" s="105" t="str">
        <f t="shared" si="133"/>
        <v/>
      </c>
      <c r="Q90" s="105" t="str">
        <f>IF('Marks Entry'!R90="","",'Marks Entry'!R90)</f>
        <v/>
      </c>
      <c r="R90" s="105" t="str">
        <f>IF('Marks Entry'!S90="","",'Marks Entry'!S90)</f>
        <v/>
      </c>
      <c r="S90" s="105" t="str">
        <f>IF(AND('Marks Entry'!T90="",'Marks Entry'!U90=""),"",SUM('Marks Entry'!T90:U90))</f>
        <v/>
      </c>
      <c r="T90" s="105" t="str">
        <f>IF(AND('Marks Entry'!V90="",'Marks Entry'!W90=""),"",SUM('Marks Entry'!V90:W90))</f>
        <v/>
      </c>
      <c r="U90" s="105" t="str">
        <f t="shared" si="134"/>
        <v/>
      </c>
      <c r="V90" s="105" t="str">
        <f t="shared" si="135"/>
        <v/>
      </c>
      <c r="W90" s="105" t="str">
        <f t="shared" si="136"/>
        <v/>
      </c>
      <c r="X90" s="47" t="str">
        <f>IF(B90="","",IF('Marks Entry'!Y90="",'Marks Entry'!$Y$4,'Marks Entry'!Y90))</f>
        <v/>
      </c>
      <c r="Y90" s="105" t="str">
        <f>IF('Marks Entry'!Z90="","",'Marks Entry'!Z90)</f>
        <v/>
      </c>
      <c r="Z90" s="105" t="str">
        <f>IF('Marks Entry'!AA90="","",'Marks Entry'!AA90)</f>
        <v/>
      </c>
      <c r="AA90" s="105" t="str">
        <f>IF(AND('Marks Entry'!AB90="",'Marks Entry'!AC90=""),"",SUM('Marks Entry'!AB90:AC90))</f>
        <v/>
      </c>
      <c r="AB90" s="105" t="str">
        <f>IF('Marks Entry'!AD90="","",'Marks Entry'!AD90)</f>
        <v/>
      </c>
      <c r="AC90" s="105" t="str">
        <f t="shared" si="137"/>
        <v/>
      </c>
      <c r="AD90" s="105" t="str">
        <f>IF(AND('Marks Entry'!AE90="",'Marks Entry'!AF90=""),"",SUM('Marks Entry'!AE90:AF90))</f>
        <v/>
      </c>
      <c r="AE90" s="105" t="str">
        <f>IF('Marks Entry'!AG90="","",'Marks Entry'!AG90)</f>
        <v/>
      </c>
      <c r="AF90" s="105" t="str">
        <f t="shared" si="138"/>
        <v/>
      </c>
      <c r="AG90" s="105" t="str">
        <f t="shared" si="139"/>
        <v/>
      </c>
      <c r="AH90" s="105" t="str">
        <f t="shared" si="140"/>
        <v/>
      </c>
      <c r="AI90" s="105" t="str">
        <f t="shared" si="141"/>
        <v/>
      </c>
      <c r="AJ90" s="47" t="str">
        <f>IF(B90="","",IF('Marks Entry'!AI90="",'Marks Entry'!$AI$4,'Marks Entry'!AI90))</f>
        <v/>
      </c>
      <c r="AK90" s="105" t="str">
        <f>IF('Marks Entry'!AJ90="","",'Marks Entry'!AJ90)</f>
        <v/>
      </c>
      <c r="AL90" s="105" t="str">
        <f>IF('Marks Entry'!AK90="","",'Marks Entry'!AK90)</f>
        <v/>
      </c>
      <c r="AM90" s="105" t="str">
        <f>IF(AND('Marks Entry'!AL90="",'Marks Entry'!AM90=""),"",SUM('Marks Entry'!AL90:AM90))</f>
        <v/>
      </c>
      <c r="AN90" s="105" t="str">
        <f>IF('Marks Entry'!AN90="","",'Marks Entry'!AN90)</f>
        <v/>
      </c>
      <c r="AO90" s="105" t="str">
        <f t="shared" si="142"/>
        <v/>
      </c>
      <c r="AP90" s="105" t="str">
        <f>IF(AND('Marks Entry'!AO90="",'Marks Entry'!AP90=""),"",SUM('Marks Entry'!AO90:AP90))</f>
        <v/>
      </c>
      <c r="AQ90" s="105" t="str">
        <f>IF('Marks Entry'!AQ90="","",'Marks Entry'!AQ90)</f>
        <v/>
      </c>
      <c r="AR90" s="105" t="str">
        <f t="shared" si="143"/>
        <v/>
      </c>
      <c r="AS90" s="105" t="str">
        <f t="shared" si="144"/>
        <v/>
      </c>
      <c r="AT90" s="105" t="str">
        <f t="shared" si="145"/>
        <v/>
      </c>
      <c r="AU90" s="105" t="str">
        <f t="shared" si="146"/>
        <v/>
      </c>
      <c r="AV90" s="47" t="str">
        <f>IF(B90="","",IF('Marks Entry'!AS90="",'Marks Entry'!$AS$4,'Marks Entry'!AS90))</f>
        <v/>
      </c>
      <c r="AW90" s="105" t="str">
        <f>IF('Marks Entry'!AT90="","",'Marks Entry'!AT90)</f>
        <v/>
      </c>
      <c r="AX90" s="105" t="str">
        <f>IF('Marks Entry'!AU90="","",'Marks Entry'!AU90)</f>
        <v/>
      </c>
      <c r="AY90" s="105" t="str">
        <f>IF(AND('Marks Entry'!AV90="",'Marks Entry'!AW90=""),"",SUM('Marks Entry'!AV90:AW90))</f>
        <v/>
      </c>
      <c r="AZ90" s="105" t="str">
        <f>IF('Marks Entry'!AX90="","",'Marks Entry'!AX90)</f>
        <v/>
      </c>
      <c r="BA90" s="105">
        <f t="shared" si="147"/>
        <v>0</v>
      </c>
      <c r="BB90" s="105" t="str">
        <f>IF(AND('Marks Entry'!AY90="",'Marks Entry'!AZ90=""),"",SUM('Marks Entry'!AY90:AZ90))</f>
        <v/>
      </c>
      <c r="BC90" s="105" t="str">
        <f>IF('Marks Entry'!BA90="","",'Marks Entry'!BA90)</f>
        <v/>
      </c>
      <c r="BD90" s="105">
        <f t="shared" si="148"/>
        <v>0</v>
      </c>
      <c r="BE90" s="105">
        <f t="shared" si="149"/>
        <v>0</v>
      </c>
      <c r="BF90" s="105" t="str">
        <f t="shared" si="150"/>
        <v/>
      </c>
      <c r="BG90" s="105" t="str">
        <f t="shared" si="151"/>
        <v/>
      </c>
      <c r="BH90" s="105" t="str">
        <f t="shared" si="152"/>
        <v/>
      </c>
      <c r="BI90" s="50" t="str">
        <f t="shared" si="102"/>
        <v/>
      </c>
      <c r="BJ90" s="47" t="str">
        <f t="shared" si="103"/>
        <v/>
      </c>
      <c r="BK90" s="105" t="str">
        <f t="shared" si="153"/>
        <v/>
      </c>
      <c r="BL90" s="105" t="str">
        <f t="shared" si="154"/>
        <v/>
      </c>
      <c r="BM90" s="105" t="str">
        <f>IF(OR(B90="",'Marks Entry'!BY90=""),"",'Marks Entry'!BY90)</f>
        <v/>
      </c>
      <c r="BN90" s="105" t="str">
        <f>IF(OR(B90="",'Marks Entry'!BZ90=""),"",'Marks Entry'!BZ90)</f>
        <v/>
      </c>
      <c r="BO90" s="105" t="str">
        <f>IF('Marks Entry'!BC90="","",'Marks Entry'!BC90)</f>
        <v/>
      </c>
      <c r="BP90" s="105" t="str">
        <f>IF('Marks Entry'!BD90="","",'Marks Entry'!BD90)</f>
        <v/>
      </c>
      <c r="BQ90" s="105" t="str">
        <f>IF(AND('Marks Entry'!BE90="",'Marks Entry'!BF90=""),"",SUM('Marks Entry'!BE90:BF90))</f>
        <v/>
      </c>
      <c r="BR90" s="105" t="str">
        <f>IF(AND('Marks Entry'!BG90="",'Marks Entry'!BH90=""),"",SUM('Marks Entry'!BG90:BH90))</f>
        <v/>
      </c>
      <c r="BS90" s="105" t="str">
        <f t="shared" si="155"/>
        <v/>
      </c>
      <c r="BT90" s="105" t="str">
        <f t="shared" si="156"/>
        <v/>
      </c>
      <c r="BU90" s="105" t="str">
        <f t="shared" si="157"/>
        <v/>
      </c>
      <c r="BV90" s="105" t="str">
        <f>IF('Marks Entry'!BJ90="","",'Marks Entry'!BJ90)</f>
        <v/>
      </c>
      <c r="BW90" s="105" t="str">
        <f>IF('Marks Entry'!BK90="","",'Marks Entry'!BK90)</f>
        <v/>
      </c>
      <c r="BX90" s="105" t="str">
        <f>IF(AND('Marks Entry'!BL90="",'Marks Entry'!BM90=""),"",SUM('Marks Entry'!BL90:BM90))</f>
        <v/>
      </c>
      <c r="BY90" s="105" t="str">
        <f>IF(AND('Marks Entry'!BN90="",'Marks Entry'!BO90=""),"",SUM('Marks Entry'!BN90:BO90))</f>
        <v/>
      </c>
      <c r="BZ90" s="105" t="str">
        <f t="shared" si="158"/>
        <v/>
      </c>
      <c r="CA90" s="105" t="str">
        <f t="shared" si="159"/>
        <v/>
      </c>
      <c r="CB90" s="105" t="str">
        <f t="shared" si="160"/>
        <v/>
      </c>
      <c r="CC90" s="105" t="str">
        <f>IF('Marks Entry'!BQ90="","",'Marks Entry'!BQ90)</f>
        <v/>
      </c>
      <c r="CD90" s="105" t="str">
        <f>IF('Marks Entry'!BR90="","",'Marks Entry'!BR90)</f>
        <v/>
      </c>
      <c r="CE90" s="105" t="str">
        <f>IF(AND('Marks Entry'!BS90="",'Marks Entry'!BT90=""),"",SUM('Marks Entry'!BS90:BT90))</f>
        <v/>
      </c>
      <c r="CF90" s="105" t="str">
        <f>IF(AND('Marks Entry'!BU90="",'Marks Entry'!BV90=""),"",SUM('Marks Entry'!BU90:BV90))</f>
        <v/>
      </c>
      <c r="CG90" s="105" t="str">
        <f t="shared" si="161"/>
        <v/>
      </c>
      <c r="CH90" s="105" t="str">
        <f t="shared" si="162"/>
        <v/>
      </c>
      <c r="CI90" s="105" t="str">
        <f t="shared" si="163"/>
        <v/>
      </c>
      <c r="CJ90" s="81"/>
      <c r="CK90" s="50" t="str">
        <f t="shared" si="104"/>
        <v/>
      </c>
      <c r="CM90" s="105" t="str">
        <f t="shared" si="105"/>
        <v/>
      </c>
      <c r="CN90" s="105" t="str">
        <f t="shared" si="106"/>
        <v/>
      </c>
      <c r="CO90" s="105" t="str">
        <f t="shared" si="107"/>
        <v/>
      </c>
      <c r="CP90" s="105" t="str">
        <f t="shared" si="108"/>
        <v/>
      </c>
      <c r="CQ90" s="105" t="str">
        <f t="shared" si="109"/>
        <v/>
      </c>
      <c r="CS90" s="105">
        <f t="shared" si="110"/>
        <v>0</v>
      </c>
      <c r="CT90" s="105">
        <f t="shared" si="111"/>
        <v>0</v>
      </c>
      <c r="CU90" s="105">
        <f t="shared" si="112"/>
        <v>0</v>
      </c>
      <c r="CV90" s="105">
        <f t="shared" si="113"/>
        <v>0</v>
      </c>
      <c r="CW90" s="81"/>
      <c r="CX90" s="105" t="str">
        <f t="shared" si="114"/>
        <v/>
      </c>
      <c r="CY90" s="105" t="str">
        <f t="shared" si="115"/>
        <v/>
      </c>
      <c r="CZ90" s="105" t="str">
        <f t="shared" si="116"/>
        <v/>
      </c>
      <c r="DA90" s="105" t="str">
        <f t="shared" si="117"/>
        <v/>
      </c>
      <c r="DB90" s="105" t="str">
        <f t="shared" si="118"/>
        <v/>
      </c>
      <c r="DD90" s="105" t="str">
        <f t="shared" si="119"/>
        <v/>
      </c>
      <c r="DE90" s="105" t="str">
        <f t="shared" si="120"/>
        <v/>
      </c>
      <c r="DF90" s="105" t="str">
        <f t="shared" si="121"/>
        <v/>
      </c>
      <c r="DG90" s="105" t="str">
        <f t="shared" si="122"/>
        <v/>
      </c>
      <c r="DH90" s="105" t="str">
        <f t="shared" si="123"/>
        <v/>
      </c>
      <c r="DI90" s="105" t="str">
        <f t="shared" si="124"/>
        <v/>
      </c>
      <c r="DJ90" s="105" t="str">
        <f t="shared" si="125"/>
        <v/>
      </c>
      <c r="DK90" s="105" t="str">
        <f t="shared" si="126"/>
        <v/>
      </c>
      <c r="DL90" s="105" t="str">
        <f t="shared" si="127"/>
        <v/>
      </c>
      <c r="DM90" s="105" t="str">
        <f t="shared" si="128"/>
        <v/>
      </c>
      <c r="DN90" s="105" t="str">
        <f t="shared" si="129"/>
        <v/>
      </c>
      <c r="DO90" s="105" t="str">
        <f t="shared" si="130"/>
        <v/>
      </c>
      <c r="DP90" s="105" t="str">
        <f t="shared" si="131"/>
        <v/>
      </c>
      <c r="DR90" s="118" t="str">
        <f t="shared" si="164"/>
        <v xml:space="preserve">    </v>
      </c>
      <c r="DS90" s="75"/>
      <c r="DT90" s="119" t="str">
        <f t="shared" si="165"/>
        <v xml:space="preserve">    </v>
      </c>
      <c r="DU90" s="136"/>
      <c r="DV90" s="119" t="str">
        <f t="shared" si="166"/>
        <v xml:space="preserve">    </v>
      </c>
      <c r="DW90" s="75"/>
      <c r="DX90" s="119" t="str">
        <f t="shared" si="167"/>
        <v xml:space="preserve">     </v>
      </c>
      <c r="DY90" s="75"/>
      <c r="DZ90" s="119" t="str">
        <f t="shared" si="168"/>
        <v xml:space="preserve">    </v>
      </c>
    </row>
    <row r="91" spans="1:130" ht="30" customHeight="1" x14ac:dyDescent="0.25">
      <c r="A91" s="105" t="str">
        <f>IF('Marks Entry'!A91="","",'Marks Entry'!A91)</f>
        <v/>
      </c>
      <c r="B91" s="105" t="str">
        <f>IF('Marks Entry'!B91="","",'Marks Entry'!B91)</f>
        <v/>
      </c>
      <c r="C91" s="105" t="str">
        <f>IF('Marks Entry'!C91="","",'Marks Entry'!C91)</f>
        <v/>
      </c>
      <c r="D91" s="48" t="str">
        <f>IF('Marks Entry'!D91="","",'Marks Entry'!D91)</f>
        <v/>
      </c>
      <c r="E91" s="48" t="str">
        <f>IF('Marks Entry'!E91="","",'Marks Entry'!E91)</f>
        <v/>
      </c>
      <c r="F91" s="48" t="str">
        <f>IF('Marks Entry'!F91="","",'Marks Entry'!F91)</f>
        <v/>
      </c>
      <c r="G91" s="105" t="str">
        <f>IF('Marks Entry'!G91="","",'Marks Entry'!G91)</f>
        <v/>
      </c>
      <c r="H91" s="49" t="str">
        <f>IF('Marks Entry'!H91="","",'Marks Entry'!H91)</f>
        <v/>
      </c>
      <c r="I91" s="105" t="str">
        <f>IF('Marks Entry'!I91="","",'Marks Entry'!I91)</f>
        <v/>
      </c>
      <c r="J91" s="105" t="str">
        <f>IF('Marks Entry'!K91="","",'Marks Entry'!K91)</f>
        <v/>
      </c>
      <c r="K91" s="105" t="str">
        <f>IF('Marks Entry'!L91="","",'Marks Entry'!L91)</f>
        <v/>
      </c>
      <c r="L91" s="105" t="str">
        <f>IF(AND('Marks Entry'!M91="",'Marks Entry'!N91=""),"",SUM('Marks Entry'!M91:N91))</f>
        <v/>
      </c>
      <c r="M91" s="105" t="str">
        <f>IF(AND('Marks Entry'!O91="",'Marks Entry'!P91=""),"",SUM('Marks Entry'!O91:P91))</f>
        <v/>
      </c>
      <c r="N91" s="105" t="str">
        <f t="shared" si="101"/>
        <v/>
      </c>
      <c r="O91" s="105" t="str">
        <f t="shared" si="132"/>
        <v/>
      </c>
      <c r="P91" s="105" t="str">
        <f t="shared" si="133"/>
        <v/>
      </c>
      <c r="Q91" s="105" t="str">
        <f>IF('Marks Entry'!R91="","",'Marks Entry'!R91)</f>
        <v/>
      </c>
      <c r="R91" s="105" t="str">
        <f>IF('Marks Entry'!S91="","",'Marks Entry'!S91)</f>
        <v/>
      </c>
      <c r="S91" s="105" t="str">
        <f>IF(AND('Marks Entry'!T91="",'Marks Entry'!U91=""),"",SUM('Marks Entry'!T91:U91))</f>
        <v/>
      </c>
      <c r="T91" s="105" t="str">
        <f>IF(AND('Marks Entry'!V91="",'Marks Entry'!W91=""),"",SUM('Marks Entry'!V91:W91))</f>
        <v/>
      </c>
      <c r="U91" s="105" t="str">
        <f t="shared" si="134"/>
        <v/>
      </c>
      <c r="V91" s="105" t="str">
        <f t="shared" si="135"/>
        <v/>
      </c>
      <c r="W91" s="105" t="str">
        <f t="shared" si="136"/>
        <v/>
      </c>
      <c r="X91" s="47" t="str">
        <f>IF(B91="","",IF('Marks Entry'!Y91="",'Marks Entry'!$Y$4,'Marks Entry'!Y91))</f>
        <v/>
      </c>
      <c r="Y91" s="105" t="str">
        <f>IF('Marks Entry'!Z91="","",'Marks Entry'!Z91)</f>
        <v/>
      </c>
      <c r="Z91" s="105" t="str">
        <f>IF('Marks Entry'!AA91="","",'Marks Entry'!AA91)</f>
        <v/>
      </c>
      <c r="AA91" s="105" t="str">
        <f>IF(AND('Marks Entry'!AB91="",'Marks Entry'!AC91=""),"",SUM('Marks Entry'!AB91:AC91))</f>
        <v/>
      </c>
      <c r="AB91" s="105" t="str">
        <f>IF('Marks Entry'!AD91="","",'Marks Entry'!AD91)</f>
        <v/>
      </c>
      <c r="AC91" s="105" t="str">
        <f t="shared" si="137"/>
        <v/>
      </c>
      <c r="AD91" s="105" t="str">
        <f>IF(AND('Marks Entry'!AE91="",'Marks Entry'!AF91=""),"",SUM('Marks Entry'!AE91:AF91))</f>
        <v/>
      </c>
      <c r="AE91" s="105" t="str">
        <f>IF('Marks Entry'!AG91="","",'Marks Entry'!AG91)</f>
        <v/>
      </c>
      <c r="AF91" s="105" t="str">
        <f t="shared" si="138"/>
        <v/>
      </c>
      <c r="AG91" s="105" t="str">
        <f t="shared" si="139"/>
        <v/>
      </c>
      <c r="AH91" s="105" t="str">
        <f t="shared" si="140"/>
        <v/>
      </c>
      <c r="AI91" s="105" t="str">
        <f t="shared" si="141"/>
        <v/>
      </c>
      <c r="AJ91" s="47" t="str">
        <f>IF(B91="","",IF('Marks Entry'!AI91="",'Marks Entry'!$AI$4,'Marks Entry'!AI91))</f>
        <v/>
      </c>
      <c r="AK91" s="105" t="str">
        <f>IF('Marks Entry'!AJ91="","",'Marks Entry'!AJ91)</f>
        <v/>
      </c>
      <c r="AL91" s="105" t="str">
        <f>IF('Marks Entry'!AK91="","",'Marks Entry'!AK91)</f>
        <v/>
      </c>
      <c r="AM91" s="105" t="str">
        <f>IF(AND('Marks Entry'!AL91="",'Marks Entry'!AM91=""),"",SUM('Marks Entry'!AL91:AM91))</f>
        <v/>
      </c>
      <c r="AN91" s="105" t="str">
        <f>IF('Marks Entry'!AN91="","",'Marks Entry'!AN91)</f>
        <v/>
      </c>
      <c r="AO91" s="105" t="str">
        <f t="shared" si="142"/>
        <v/>
      </c>
      <c r="AP91" s="105" t="str">
        <f>IF(AND('Marks Entry'!AO91="",'Marks Entry'!AP91=""),"",SUM('Marks Entry'!AO91:AP91))</f>
        <v/>
      </c>
      <c r="AQ91" s="105" t="str">
        <f>IF('Marks Entry'!AQ91="","",'Marks Entry'!AQ91)</f>
        <v/>
      </c>
      <c r="AR91" s="105" t="str">
        <f t="shared" si="143"/>
        <v/>
      </c>
      <c r="AS91" s="105" t="str">
        <f t="shared" si="144"/>
        <v/>
      </c>
      <c r="AT91" s="105" t="str">
        <f t="shared" si="145"/>
        <v/>
      </c>
      <c r="AU91" s="105" t="str">
        <f t="shared" si="146"/>
        <v/>
      </c>
      <c r="AV91" s="47" t="str">
        <f>IF(B91="","",IF('Marks Entry'!AS91="",'Marks Entry'!$AS$4,'Marks Entry'!AS91))</f>
        <v/>
      </c>
      <c r="AW91" s="105" t="str">
        <f>IF('Marks Entry'!AT91="","",'Marks Entry'!AT91)</f>
        <v/>
      </c>
      <c r="AX91" s="105" t="str">
        <f>IF('Marks Entry'!AU91="","",'Marks Entry'!AU91)</f>
        <v/>
      </c>
      <c r="AY91" s="105" t="str">
        <f>IF(AND('Marks Entry'!AV91="",'Marks Entry'!AW91=""),"",SUM('Marks Entry'!AV91:AW91))</f>
        <v/>
      </c>
      <c r="AZ91" s="105" t="str">
        <f>IF('Marks Entry'!AX91="","",'Marks Entry'!AX91)</f>
        <v/>
      </c>
      <c r="BA91" s="105">
        <f t="shared" si="147"/>
        <v>0</v>
      </c>
      <c r="BB91" s="105" t="str">
        <f>IF(AND('Marks Entry'!AY91="",'Marks Entry'!AZ91=""),"",SUM('Marks Entry'!AY91:AZ91))</f>
        <v/>
      </c>
      <c r="BC91" s="105" t="str">
        <f>IF('Marks Entry'!BA91="","",'Marks Entry'!BA91)</f>
        <v/>
      </c>
      <c r="BD91" s="105">
        <f t="shared" si="148"/>
        <v>0</v>
      </c>
      <c r="BE91" s="105">
        <f t="shared" si="149"/>
        <v>0</v>
      </c>
      <c r="BF91" s="105" t="str">
        <f t="shared" si="150"/>
        <v/>
      </c>
      <c r="BG91" s="105" t="str">
        <f t="shared" si="151"/>
        <v/>
      </c>
      <c r="BH91" s="105" t="str">
        <f t="shared" si="152"/>
        <v/>
      </c>
      <c r="BI91" s="50" t="str">
        <f t="shared" si="102"/>
        <v/>
      </c>
      <c r="BJ91" s="47" t="str">
        <f t="shared" si="103"/>
        <v/>
      </c>
      <c r="BK91" s="105" t="str">
        <f t="shared" si="153"/>
        <v/>
      </c>
      <c r="BL91" s="105" t="str">
        <f t="shared" si="154"/>
        <v/>
      </c>
      <c r="BM91" s="105" t="str">
        <f>IF(OR(B91="",'Marks Entry'!BY91=""),"",'Marks Entry'!BY91)</f>
        <v/>
      </c>
      <c r="BN91" s="105" t="str">
        <f>IF(OR(B91="",'Marks Entry'!BZ91=""),"",'Marks Entry'!BZ91)</f>
        <v/>
      </c>
      <c r="BO91" s="105" t="str">
        <f>IF('Marks Entry'!BC91="","",'Marks Entry'!BC91)</f>
        <v/>
      </c>
      <c r="BP91" s="105" t="str">
        <f>IF('Marks Entry'!BD91="","",'Marks Entry'!BD91)</f>
        <v/>
      </c>
      <c r="BQ91" s="105" t="str">
        <f>IF(AND('Marks Entry'!BE91="",'Marks Entry'!BF91=""),"",SUM('Marks Entry'!BE91:BF91))</f>
        <v/>
      </c>
      <c r="BR91" s="105" t="str">
        <f>IF(AND('Marks Entry'!BG91="",'Marks Entry'!BH91=""),"",SUM('Marks Entry'!BG91:BH91))</f>
        <v/>
      </c>
      <c r="BS91" s="105" t="str">
        <f t="shared" si="155"/>
        <v/>
      </c>
      <c r="BT91" s="105" t="str">
        <f t="shared" si="156"/>
        <v/>
      </c>
      <c r="BU91" s="105" t="str">
        <f t="shared" si="157"/>
        <v/>
      </c>
      <c r="BV91" s="105" t="str">
        <f>IF('Marks Entry'!BJ91="","",'Marks Entry'!BJ91)</f>
        <v/>
      </c>
      <c r="BW91" s="105" t="str">
        <f>IF('Marks Entry'!BK91="","",'Marks Entry'!BK91)</f>
        <v/>
      </c>
      <c r="BX91" s="105" t="str">
        <f>IF(AND('Marks Entry'!BL91="",'Marks Entry'!BM91=""),"",SUM('Marks Entry'!BL91:BM91))</f>
        <v/>
      </c>
      <c r="BY91" s="105" t="str">
        <f>IF(AND('Marks Entry'!BN91="",'Marks Entry'!BO91=""),"",SUM('Marks Entry'!BN91:BO91))</f>
        <v/>
      </c>
      <c r="BZ91" s="105" t="str">
        <f t="shared" si="158"/>
        <v/>
      </c>
      <c r="CA91" s="105" t="str">
        <f t="shared" si="159"/>
        <v/>
      </c>
      <c r="CB91" s="105" t="str">
        <f t="shared" si="160"/>
        <v/>
      </c>
      <c r="CC91" s="105" t="str">
        <f>IF('Marks Entry'!BQ91="","",'Marks Entry'!BQ91)</f>
        <v/>
      </c>
      <c r="CD91" s="105" t="str">
        <f>IF('Marks Entry'!BR91="","",'Marks Entry'!BR91)</f>
        <v/>
      </c>
      <c r="CE91" s="105" t="str">
        <f>IF(AND('Marks Entry'!BS91="",'Marks Entry'!BT91=""),"",SUM('Marks Entry'!BS91:BT91))</f>
        <v/>
      </c>
      <c r="CF91" s="105" t="str">
        <f>IF(AND('Marks Entry'!BU91="",'Marks Entry'!BV91=""),"",SUM('Marks Entry'!BU91:BV91))</f>
        <v/>
      </c>
      <c r="CG91" s="105" t="str">
        <f t="shared" si="161"/>
        <v/>
      </c>
      <c r="CH91" s="105" t="str">
        <f t="shared" si="162"/>
        <v/>
      </c>
      <c r="CI91" s="105" t="str">
        <f t="shared" si="163"/>
        <v/>
      </c>
      <c r="CJ91" s="81"/>
      <c r="CK91" s="50" t="str">
        <f t="shared" si="104"/>
        <v/>
      </c>
      <c r="CM91" s="105" t="str">
        <f t="shared" si="105"/>
        <v/>
      </c>
      <c r="CN91" s="105" t="str">
        <f t="shared" si="106"/>
        <v/>
      </c>
      <c r="CO91" s="105" t="str">
        <f t="shared" si="107"/>
        <v/>
      </c>
      <c r="CP91" s="105" t="str">
        <f t="shared" si="108"/>
        <v/>
      </c>
      <c r="CQ91" s="105" t="str">
        <f t="shared" si="109"/>
        <v/>
      </c>
      <c r="CS91" s="105">
        <f t="shared" si="110"/>
        <v>0</v>
      </c>
      <c r="CT91" s="105">
        <f t="shared" si="111"/>
        <v>0</v>
      </c>
      <c r="CU91" s="105">
        <f t="shared" si="112"/>
        <v>0</v>
      </c>
      <c r="CV91" s="105">
        <f t="shared" si="113"/>
        <v>0</v>
      </c>
      <c r="CW91" s="81"/>
      <c r="CX91" s="105" t="str">
        <f t="shared" si="114"/>
        <v/>
      </c>
      <c r="CY91" s="105" t="str">
        <f t="shared" si="115"/>
        <v/>
      </c>
      <c r="CZ91" s="105" t="str">
        <f t="shared" si="116"/>
        <v/>
      </c>
      <c r="DA91" s="105" t="str">
        <f t="shared" si="117"/>
        <v/>
      </c>
      <c r="DB91" s="105" t="str">
        <f t="shared" si="118"/>
        <v/>
      </c>
      <c r="DD91" s="105" t="str">
        <f t="shared" si="119"/>
        <v/>
      </c>
      <c r="DE91" s="105" t="str">
        <f t="shared" si="120"/>
        <v/>
      </c>
      <c r="DF91" s="105" t="str">
        <f t="shared" si="121"/>
        <v/>
      </c>
      <c r="DG91" s="105" t="str">
        <f t="shared" si="122"/>
        <v/>
      </c>
      <c r="DH91" s="105" t="str">
        <f t="shared" si="123"/>
        <v/>
      </c>
      <c r="DI91" s="105" t="str">
        <f t="shared" si="124"/>
        <v/>
      </c>
      <c r="DJ91" s="105" t="str">
        <f t="shared" si="125"/>
        <v/>
      </c>
      <c r="DK91" s="105" t="str">
        <f t="shared" si="126"/>
        <v/>
      </c>
      <c r="DL91" s="105" t="str">
        <f t="shared" si="127"/>
        <v/>
      </c>
      <c r="DM91" s="105" t="str">
        <f t="shared" si="128"/>
        <v/>
      </c>
      <c r="DN91" s="105" t="str">
        <f t="shared" si="129"/>
        <v/>
      </c>
      <c r="DO91" s="105" t="str">
        <f t="shared" si="130"/>
        <v/>
      </c>
      <c r="DP91" s="105" t="str">
        <f t="shared" si="131"/>
        <v/>
      </c>
      <c r="DR91" s="118" t="str">
        <f t="shared" si="164"/>
        <v xml:space="preserve">    </v>
      </c>
      <c r="DS91" s="75"/>
      <c r="DT91" s="119" t="str">
        <f t="shared" si="165"/>
        <v xml:space="preserve">    </v>
      </c>
      <c r="DU91" s="136"/>
      <c r="DV91" s="119" t="str">
        <f t="shared" si="166"/>
        <v xml:space="preserve">    </v>
      </c>
      <c r="DW91" s="75"/>
      <c r="DX91" s="119" t="str">
        <f t="shared" si="167"/>
        <v xml:space="preserve">     </v>
      </c>
      <c r="DY91" s="75"/>
      <c r="DZ91" s="119" t="str">
        <f t="shared" si="168"/>
        <v xml:space="preserve">    </v>
      </c>
    </row>
    <row r="92" spans="1:130" ht="30" customHeight="1" x14ac:dyDescent="0.25">
      <c r="A92" s="105" t="str">
        <f>IF('Marks Entry'!A92="","",'Marks Entry'!A92)</f>
        <v/>
      </c>
      <c r="B92" s="105" t="str">
        <f>IF('Marks Entry'!B92="","",'Marks Entry'!B92)</f>
        <v/>
      </c>
      <c r="C92" s="105" t="str">
        <f>IF('Marks Entry'!C92="","",'Marks Entry'!C92)</f>
        <v/>
      </c>
      <c r="D92" s="48" t="str">
        <f>IF('Marks Entry'!D92="","",'Marks Entry'!D92)</f>
        <v/>
      </c>
      <c r="E92" s="48" t="str">
        <f>IF('Marks Entry'!E92="","",'Marks Entry'!E92)</f>
        <v/>
      </c>
      <c r="F92" s="48" t="str">
        <f>IF('Marks Entry'!F92="","",'Marks Entry'!F92)</f>
        <v/>
      </c>
      <c r="G92" s="105" t="str">
        <f>IF('Marks Entry'!G92="","",'Marks Entry'!G92)</f>
        <v/>
      </c>
      <c r="H92" s="49" t="str">
        <f>IF('Marks Entry'!H92="","",'Marks Entry'!H92)</f>
        <v/>
      </c>
      <c r="I92" s="105" t="str">
        <f>IF('Marks Entry'!I92="","",'Marks Entry'!I92)</f>
        <v/>
      </c>
      <c r="J92" s="105" t="str">
        <f>IF('Marks Entry'!K92="","",'Marks Entry'!K92)</f>
        <v/>
      </c>
      <c r="K92" s="105" t="str">
        <f>IF('Marks Entry'!L92="","",'Marks Entry'!L92)</f>
        <v/>
      </c>
      <c r="L92" s="105" t="str">
        <f>IF(AND('Marks Entry'!M92="",'Marks Entry'!N92=""),"",SUM('Marks Entry'!M92:N92))</f>
        <v/>
      </c>
      <c r="M92" s="105" t="str">
        <f>IF(AND('Marks Entry'!O92="",'Marks Entry'!P92=""),"",SUM('Marks Entry'!O92:P92))</f>
        <v/>
      </c>
      <c r="N92" s="105" t="str">
        <f t="shared" si="101"/>
        <v/>
      </c>
      <c r="O92" s="105" t="str">
        <f t="shared" si="132"/>
        <v/>
      </c>
      <c r="P92" s="105" t="str">
        <f t="shared" si="133"/>
        <v/>
      </c>
      <c r="Q92" s="105" t="str">
        <f>IF('Marks Entry'!R92="","",'Marks Entry'!R92)</f>
        <v/>
      </c>
      <c r="R92" s="105" t="str">
        <f>IF('Marks Entry'!S92="","",'Marks Entry'!S92)</f>
        <v/>
      </c>
      <c r="S92" s="105" t="str">
        <f>IF(AND('Marks Entry'!T92="",'Marks Entry'!U92=""),"",SUM('Marks Entry'!T92:U92))</f>
        <v/>
      </c>
      <c r="T92" s="105" t="str">
        <f>IF(AND('Marks Entry'!V92="",'Marks Entry'!W92=""),"",SUM('Marks Entry'!V92:W92))</f>
        <v/>
      </c>
      <c r="U92" s="105" t="str">
        <f t="shared" si="134"/>
        <v/>
      </c>
      <c r="V92" s="105" t="str">
        <f t="shared" si="135"/>
        <v/>
      </c>
      <c r="W92" s="105" t="str">
        <f t="shared" si="136"/>
        <v/>
      </c>
      <c r="X92" s="47" t="str">
        <f>IF(B92="","",IF('Marks Entry'!Y92="",'Marks Entry'!$Y$4,'Marks Entry'!Y92))</f>
        <v/>
      </c>
      <c r="Y92" s="105" t="str">
        <f>IF('Marks Entry'!Z92="","",'Marks Entry'!Z92)</f>
        <v/>
      </c>
      <c r="Z92" s="105" t="str">
        <f>IF('Marks Entry'!AA92="","",'Marks Entry'!AA92)</f>
        <v/>
      </c>
      <c r="AA92" s="105" t="str">
        <f>IF(AND('Marks Entry'!AB92="",'Marks Entry'!AC92=""),"",SUM('Marks Entry'!AB92:AC92))</f>
        <v/>
      </c>
      <c r="AB92" s="105" t="str">
        <f>IF('Marks Entry'!AD92="","",'Marks Entry'!AD92)</f>
        <v/>
      </c>
      <c r="AC92" s="105" t="str">
        <f t="shared" si="137"/>
        <v/>
      </c>
      <c r="AD92" s="105" t="str">
        <f>IF(AND('Marks Entry'!AE92="",'Marks Entry'!AF92=""),"",SUM('Marks Entry'!AE92:AF92))</f>
        <v/>
      </c>
      <c r="AE92" s="105" t="str">
        <f>IF('Marks Entry'!AG92="","",'Marks Entry'!AG92)</f>
        <v/>
      </c>
      <c r="AF92" s="105" t="str">
        <f t="shared" si="138"/>
        <v/>
      </c>
      <c r="AG92" s="105" t="str">
        <f t="shared" si="139"/>
        <v/>
      </c>
      <c r="AH92" s="105" t="str">
        <f t="shared" si="140"/>
        <v/>
      </c>
      <c r="AI92" s="105" t="str">
        <f t="shared" si="141"/>
        <v/>
      </c>
      <c r="AJ92" s="47" t="str">
        <f>IF(B92="","",IF('Marks Entry'!AI92="",'Marks Entry'!$AI$4,'Marks Entry'!AI92))</f>
        <v/>
      </c>
      <c r="AK92" s="105" t="str">
        <f>IF('Marks Entry'!AJ92="","",'Marks Entry'!AJ92)</f>
        <v/>
      </c>
      <c r="AL92" s="105" t="str">
        <f>IF('Marks Entry'!AK92="","",'Marks Entry'!AK92)</f>
        <v/>
      </c>
      <c r="AM92" s="105" t="str">
        <f>IF(AND('Marks Entry'!AL92="",'Marks Entry'!AM92=""),"",SUM('Marks Entry'!AL92:AM92))</f>
        <v/>
      </c>
      <c r="AN92" s="105" t="str">
        <f>IF('Marks Entry'!AN92="","",'Marks Entry'!AN92)</f>
        <v/>
      </c>
      <c r="AO92" s="105" t="str">
        <f t="shared" si="142"/>
        <v/>
      </c>
      <c r="AP92" s="105" t="str">
        <f>IF(AND('Marks Entry'!AO92="",'Marks Entry'!AP92=""),"",SUM('Marks Entry'!AO92:AP92))</f>
        <v/>
      </c>
      <c r="AQ92" s="105" t="str">
        <f>IF('Marks Entry'!AQ92="","",'Marks Entry'!AQ92)</f>
        <v/>
      </c>
      <c r="AR92" s="105" t="str">
        <f t="shared" si="143"/>
        <v/>
      </c>
      <c r="AS92" s="105" t="str">
        <f t="shared" si="144"/>
        <v/>
      </c>
      <c r="AT92" s="105" t="str">
        <f t="shared" si="145"/>
        <v/>
      </c>
      <c r="AU92" s="105" t="str">
        <f t="shared" si="146"/>
        <v/>
      </c>
      <c r="AV92" s="47" t="str">
        <f>IF(B92="","",IF('Marks Entry'!AS92="",'Marks Entry'!$AS$4,'Marks Entry'!AS92))</f>
        <v/>
      </c>
      <c r="AW92" s="105" t="str">
        <f>IF('Marks Entry'!AT92="","",'Marks Entry'!AT92)</f>
        <v/>
      </c>
      <c r="AX92" s="105" t="str">
        <f>IF('Marks Entry'!AU92="","",'Marks Entry'!AU92)</f>
        <v/>
      </c>
      <c r="AY92" s="105" t="str">
        <f>IF(AND('Marks Entry'!AV92="",'Marks Entry'!AW92=""),"",SUM('Marks Entry'!AV92:AW92))</f>
        <v/>
      </c>
      <c r="AZ92" s="105" t="str">
        <f>IF('Marks Entry'!AX92="","",'Marks Entry'!AX92)</f>
        <v/>
      </c>
      <c r="BA92" s="105">
        <f t="shared" si="147"/>
        <v>0</v>
      </c>
      <c r="BB92" s="105" t="str">
        <f>IF(AND('Marks Entry'!AY92="",'Marks Entry'!AZ92=""),"",SUM('Marks Entry'!AY92:AZ92))</f>
        <v/>
      </c>
      <c r="BC92" s="105" t="str">
        <f>IF('Marks Entry'!BA92="","",'Marks Entry'!BA92)</f>
        <v/>
      </c>
      <c r="BD92" s="105">
        <f t="shared" si="148"/>
        <v>0</v>
      </c>
      <c r="BE92" s="105">
        <f t="shared" si="149"/>
        <v>0</v>
      </c>
      <c r="BF92" s="105" t="str">
        <f t="shared" si="150"/>
        <v/>
      </c>
      <c r="BG92" s="105" t="str">
        <f t="shared" si="151"/>
        <v/>
      </c>
      <c r="BH92" s="105" t="str">
        <f t="shared" si="152"/>
        <v/>
      </c>
      <c r="BI92" s="50" t="str">
        <f t="shared" si="102"/>
        <v/>
      </c>
      <c r="BJ92" s="47" t="str">
        <f t="shared" si="103"/>
        <v/>
      </c>
      <c r="BK92" s="105" t="str">
        <f t="shared" si="153"/>
        <v/>
      </c>
      <c r="BL92" s="105" t="str">
        <f t="shared" si="154"/>
        <v/>
      </c>
      <c r="BM92" s="105" t="str">
        <f>IF(OR(B92="",'Marks Entry'!BY92=""),"",'Marks Entry'!BY92)</f>
        <v/>
      </c>
      <c r="BN92" s="105" t="str">
        <f>IF(OR(B92="",'Marks Entry'!BZ92=""),"",'Marks Entry'!BZ92)</f>
        <v/>
      </c>
      <c r="BO92" s="105" t="str">
        <f>IF('Marks Entry'!BC92="","",'Marks Entry'!BC92)</f>
        <v/>
      </c>
      <c r="BP92" s="105" t="str">
        <f>IF('Marks Entry'!BD92="","",'Marks Entry'!BD92)</f>
        <v/>
      </c>
      <c r="BQ92" s="105" t="str">
        <f>IF(AND('Marks Entry'!BE92="",'Marks Entry'!BF92=""),"",SUM('Marks Entry'!BE92:BF92))</f>
        <v/>
      </c>
      <c r="BR92" s="105" t="str">
        <f>IF(AND('Marks Entry'!BG92="",'Marks Entry'!BH92=""),"",SUM('Marks Entry'!BG92:BH92))</f>
        <v/>
      </c>
      <c r="BS92" s="105" t="str">
        <f t="shared" si="155"/>
        <v/>
      </c>
      <c r="BT92" s="105" t="str">
        <f t="shared" si="156"/>
        <v/>
      </c>
      <c r="BU92" s="105" t="str">
        <f t="shared" si="157"/>
        <v/>
      </c>
      <c r="BV92" s="105" t="str">
        <f>IF('Marks Entry'!BJ92="","",'Marks Entry'!BJ92)</f>
        <v/>
      </c>
      <c r="BW92" s="105" t="str">
        <f>IF('Marks Entry'!BK92="","",'Marks Entry'!BK92)</f>
        <v/>
      </c>
      <c r="BX92" s="105" t="str">
        <f>IF(AND('Marks Entry'!BL92="",'Marks Entry'!BM92=""),"",SUM('Marks Entry'!BL92:BM92))</f>
        <v/>
      </c>
      <c r="BY92" s="105" t="str">
        <f>IF(AND('Marks Entry'!BN92="",'Marks Entry'!BO92=""),"",SUM('Marks Entry'!BN92:BO92))</f>
        <v/>
      </c>
      <c r="BZ92" s="105" t="str">
        <f t="shared" si="158"/>
        <v/>
      </c>
      <c r="CA92" s="105" t="str">
        <f t="shared" si="159"/>
        <v/>
      </c>
      <c r="CB92" s="105" t="str">
        <f t="shared" si="160"/>
        <v/>
      </c>
      <c r="CC92" s="105" t="str">
        <f>IF('Marks Entry'!BQ92="","",'Marks Entry'!BQ92)</f>
        <v/>
      </c>
      <c r="CD92" s="105" t="str">
        <f>IF('Marks Entry'!BR92="","",'Marks Entry'!BR92)</f>
        <v/>
      </c>
      <c r="CE92" s="105" t="str">
        <f>IF(AND('Marks Entry'!BS92="",'Marks Entry'!BT92=""),"",SUM('Marks Entry'!BS92:BT92))</f>
        <v/>
      </c>
      <c r="CF92" s="105" t="str">
        <f>IF(AND('Marks Entry'!BU92="",'Marks Entry'!BV92=""),"",SUM('Marks Entry'!BU92:BV92))</f>
        <v/>
      </c>
      <c r="CG92" s="105" t="str">
        <f t="shared" si="161"/>
        <v/>
      </c>
      <c r="CH92" s="105" t="str">
        <f t="shared" si="162"/>
        <v/>
      </c>
      <c r="CI92" s="105" t="str">
        <f t="shared" si="163"/>
        <v/>
      </c>
      <c r="CJ92" s="81"/>
      <c r="CK92" s="50" t="str">
        <f t="shared" si="104"/>
        <v/>
      </c>
      <c r="CM92" s="105" t="str">
        <f t="shared" si="105"/>
        <v/>
      </c>
      <c r="CN92" s="105" t="str">
        <f t="shared" si="106"/>
        <v/>
      </c>
      <c r="CO92" s="105" t="str">
        <f t="shared" si="107"/>
        <v/>
      </c>
      <c r="CP92" s="105" t="str">
        <f t="shared" si="108"/>
        <v/>
      </c>
      <c r="CQ92" s="105" t="str">
        <f t="shared" si="109"/>
        <v/>
      </c>
      <c r="CS92" s="105">
        <f t="shared" si="110"/>
        <v>0</v>
      </c>
      <c r="CT92" s="105">
        <f t="shared" si="111"/>
        <v>0</v>
      </c>
      <c r="CU92" s="105">
        <f t="shared" si="112"/>
        <v>0</v>
      </c>
      <c r="CV92" s="105">
        <f t="shared" si="113"/>
        <v>0</v>
      </c>
      <c r="CW92" s="81"/>
      <c r="CX92" s="105" t="str">
        <f t="shared" si="114"/>
        <v/>
      </c>
      <c r="CY92" s="105" t="str">
        <f t="shared" si="115"/>
        <v/>
      </c>
      <c r="CZ92" s="105" t="str">
        <f t="shared" si="116"/>
        <v/>
      </c>
      <c r="DA92" s="105" t="str">
        <f t="shared" si="117"/>
        <v/>
      </c>
      <c r="DB92" s="105" t="str">
        <f t="shared" si="118"/>
        <v/>
      </c>
      <c r="DD92" s="105" t="str">
        <f t="shared" si="119"/>
        <v/>
      </c>
      <c r="DE92" s="105" t="str">
        <f t="shared" si="120"/>
        <v/>
      </c>
      <c r="DF92" s="105" t="str">
        <f t="shared" si="121"/>
        <v/>
      </c>
      <c r="DG92" s="105" t="str">
        <f t="shared" si="122"/>
        <v/>
      </c>
      <c r="DH92" s="105" t="str">
        <f t="shared" si="123"/>
        <v/>
      </c>
      <c r="DI92" s="105" t="str">
        <f t="shared" si="124"/>
        <v/>
      </c>
      <c r="DJ92" s="105" t="str">
        <f t="shared" si="125"/>
        <v/>
      </c>
      <c r="DK92" s="105" t="str">
        <f t="shared" si="126"/>
        <v/>
      </c>
      <c r="DL92" s="105" t="str">
        <f t="shared" si="127"/>
        <v/>
      </c>
      <c r="DM92" s="105" t="str">
        <f t="shared" si="128"/>
        <v/>
      </c>
      <c r="DN92" s="105" t="str">
        <f t="shared" si="129"/>
        <v/>
      </c>
      <c r="DO92" s="105" t="str">
        <f t="shared" si="130"/>
        <v/>
      </c>
      <c r="DP92" s="105" t="str">
        <f t="shared" si="131"/>
        <v/>
      </c>
      <c r="DR92" s="118" t="str">
        <f t="shared" si="164"/>
        <v xml:space="preserve">    </v>
      </c>
      <c r="DS92" s="75"/>
      <c r="DT92" s="119" t="str">
        <f t="shared" si="165"/>
        <v xml:space="preserve">    </v>
      </c>
      <c r="DU92" s="136"/>
      <c r="DV92" s="119" t="str">
        <f t="shared" si="166"/>
        <v xml:space="preserve">    </v>
      </c>
      <c r="DW92" s="75"/>
      <c r="DX92" s="119" t="str">
        <f t="shared" si="167"/>
        <v xml:space="preserve">     </v>
      </c>
      <c r="DY92" s="75"/>
      <c r="DZ92" s="119" t="str">
        <f t="shared" si="168"/>
        <v xml:space="preserve">    </v>
      </c>
    </row>
    <row r="93" spans="1:130" ht="30" customHeight="1" x14ac:dyDescent="0.25">
      <c r="A93" s="105" t="str">
        <f>IF('Marks Entry'!A93="","",'Marks Entry'!A93)</f>
        <v/>
      </c>
      <c r="B93" s="105" t="str">
        <f>IF('Marks Entry'!B93="","",'Marks Entry'!B93)</f>
        <v/>
      </c>
      <c r="C93" s="105" t="str">
        <f>IF('Marks Entry'!C93="","",'Marks Entry'!C93)</f>
        <v/>
      </c>
      <c r="D93" s="48" t="str">
        <f>IF('Marks Entry'!D93="","",'Marks Entry'!D93)</f>
        <v/>
      </c>
      <c r="E93" s="48" t="str">
        <f>IF('Marks Entry'!E93="","",'Marks Entry'!E93)</f>
        <v/>
      </c>
      <c r="F93" s="48" t="str">
        <f>IF('Marks Entry'!F93="","",'Marks Entry'!F93)</f>
        <v/>
      </c>
      <c r="G93" s="105" t="str">
        <f>IF('Marks Entry'!G93="","",'Marks Entry'!G93)</f>
        <v/>
      </c>
      <c r="H93" s="49" t="str">
        <f>IF('Marks Entry'!H93="","",'Marks Entry'!H93)</f>
        <v/>
      </c>
      <c r="I93" s="105" t="str">
        <f>IF('Marks Entry'!I93="","",'Marks Entry'!I93)</f>
        <v/>
      </c>
      <c r="J93" s="105" t="str">
        <f>IF('Marks Entry'!K93="","",'Marks Entry'!K93)</f>
        <v/>
      </c>
      <c r="K93" s="105" t="str">
        <f>IF('Marks Entry'!L93="","",'Marks Entry'!L93)</f>
        <v/>
      </c>
      <c r="L93" s="105" t="str">
        <f>IF(AND('Marks Entry'!M93="",'Marks Entry'!N93=""),"",SUM('Marks Entry'!M93:N93))</f>
        <v/>
      </c>
      <c r="M93" s="105" t="str">
        <f>IF(AND('Marks Entry'!O93="",'Marks Entry'!P93=""),"",SUM('Marks Entry'!O93:P93))</f>
        <v/>
      </c>
      <c r="N93" s="105" t="str">
        <f t="shared" si="101"/>
        <v/>
      </c>
      <c r="O93" s="105" t="str">
        <f t="shared" si="132"/>
        <v/>
      </c>
      <c r="P93" s="105" t="str">
        <f t="shared" si="133"/>
        <v/>
      </c>
      <c r="Q93" s="105" t="str">
        <f>IF('Marks Entry'!R93="","",'Marks Entry'!R93)</f>
        <v/>
      </c>
      <c r="R93" s="105" t="str">
        <f>IF('Marks Entry'!S93="","",'Marks Entry'!S93)</f>
        <v/>
      </c>
      <c r="S93" s="105" t="str">
        <f>IF(AND('Marks Entry'!T93="",'Marks Entry'!U93=""),"",SUM('Marks Entry'!T93:U93))</f>
        <v/>
      </c>
      <c r="T93" s="105" t="str">
        <f>IF(AND('Marks Entry'!V93="",'Marks Entry'!W93=""),"",SUM('Marks Entry'!V93:W93))</f>
        <v/>
      </c>
      <c r="U93" s="105" t="str">
        <f t="shared" si="134"/>
        <v/>
      </c>
      <c r="V93" s="105" t="str">
        <f t="shared" si="135"/>
        <v/>
      </c>
      <c r="W93" s="105" t="str">
        <f t="shared" si="136"/>
        <v/>
      </c>
      <c r="X93" s="47" t="str">
        <f>IF(B93="","",IF('Marks Entry'!Y93="",'Marks Entry'!$Y$4,'Marks Entry'!Y93))</f>
        <v/>
      </c>
      <c r="Y93" s="105" t="str">
        <f>IF('Marks Entry'!Z93="","",'Marks Entry'!Z93)</f>
        <v/>
      </c>
      <c r="Z93" s="105" t="str">
        <f>IF('Marks Entry'!AA93="","",'Marks Entry'!AA93)</f>
        <v/>
      </c>
      <c r="AA93" s="105" t="str">
        <f>IF(AND('Marks Entry'!AB93="",'Marks Entry'!AC93=""),"",SUM('Marks Entry'!AB93:AC93))</f>
        <v/>
      </c>
      <c r="AB93" s="105" t="str">
        <f>IF('Marks Entry'!AD93="","",'Marks Entry'!AD93)</f>
        <v/>
      </c>
      <c r="AC93" s="105" t="str">
        <f t="shared" si="137"/>
        <v/>
      </c>
      <c r="AD93" s="105" t="str">
        <f>IF(AND('Marks Entry'!AE93="",'Marks Entry'!AF93=""),"",SUM('Marks Entry'!AE93:AF93))</f>
        <v/>
      </c>
      <c r="AE93" s="105" t="str">
        <f>IF('Marks Entry'!AG93="","",'Marks Entry'!AG93)</f>
        <v/>
      </c>
      <c r="AF93" s="105" t="str">
        <f t="shared" si="138"/>
        <v/>
      </c>
      <c r="AG93" s="105" t="str">
        <f t="shared" si="139"/>
        <v/>
      </c>
      <c r="AH93" s="105" t="str">
        <f t="shared" si="140"/>
        <v/>
      </c>
      <c r="AI93" s="105" t="str">
        <f t="shared" si="141"/>
        <v/>
      </c>
      <c r="AJ93" s="47" t="str">
        <f>IF(B93="","",IF('Marks Entry'!AI93="",'Marks Entry'!$AI$4,'Marks Entry'!AI93))</f>
        <v/>
      </c>
      <c r="AK93" s="105" t="str">
        <f>IF('Marks Entry'!AJ93="","",'Marks Entry'!AJ93)</f>
        <v/>
      </c>
      <c r="AL93" s="105" t="str">
        <f>IF('Marks Entry'!AK93="","",'Marks Entry'!AK93)</f>
        <v/>
      </c>
      <c r="AM93" s="105" t="str">
        <f>IF(AND('Marks Entry'!AL93="",'Marks Entry'!AM93=""),"",SUM('Marks Entry'!AL93:AM93))</f>
        <v/>
      </c>
      <c r="AN93" s="105" t="str">
        <f>IF('Marks Entry'!AN93="","",'Marks Entry'!AN93)</f>
        <v/>
      </c>
      <c r="AO93" s="105" t="str">
        <f t="shared" si="142"/>
        <v/>
      </c>
      <c r="AP93" s="105" t="str">
        <f>IF(AND('Marks Entry'!AO93="",'Marks Entry'!AP93=""),"",SUM('Marks Entry'!AO93:AP93))</f>
        <v/>
      </c>
      <c r="AQ93" s="105" t="str">
        <f>IF('Marks Entry'!AQ93="","",'Marks Entry'!AQ93)</f>
        <v/>
      </c>
      <c r="AR93" s="105" t="str">
        <f t="shared" si="143"/>
        <v/>
      </c>
      <c r="AS93" s="105" t="str">
        <f t="shared" si="144"/>
        <v/>
      </c>
      <c r="AT93" s="105" t="str">
        <f t="shared" si="145"/>
        <v/>
      </c>
      <c r="AU93" s="105" t="str">
        <f t="shared" si="146"/>
        <v/>
      </c>
      <c r="AV93" s="47" t="str">
        <f>IF(B93="","",IF('Marks Entry'!AS93="",'Marks Entry'!$AS$4,'Marks Entry'!AS93))</f>
        <v/>
      </c>
      <c r="AW93" s="105" t="str">
        <f>IF('Marks Entry'!AT93="","",'Marks Entry'!AT93)</f>
        <v/>
      </c>
      <c r="AX93" s="105" t="str">
        <f>IF('Marks Entry'!AU93="","",'Marks Entry'!AU93)</f>
        <v/>
      </c>
      <c r="AY93" s="105" t="str">
        <f>IF(AND('Marks Entry'!AV93="",'Marks Entry'!AW93=""),"",SUM('Marks Entry'!AV93:AW93))</f>
        <v/>
      </c>
      <c r="AZ93" s="105" t="str">
        <f>IF('Marks Entry'!AX93="","",'Marks Entry'!AX93)</f>
        <v/>
      </c>
      <c r="BA93" s="105">
        <f t="shared" si="147"/>
        <v>0</v>
      </c>
      <c r="BB93" s="105" t="str">
        <f>IF(AND('Marks Entry'!AY93="",'Marks Entry'!AZ93=""),"",SUM('Marks Entry'!AY93:AZ93))</f>
        <v/>
      </c>
      <c r="BC93" s="105" t="str">
        <f>IF('Marks Entry'!BA93="","",'Marks Entry'!BA93)</f>
        <v/>
      </c>
      <c r="BD93" s="105">
        <f t="shared" si="148"/>
        <v>0</v>
      </c>
      <c r="BE93" s="105">
        <f t="shared" si="149"/>
        <v>0</v>
      </c>
      <c r="BF93" s="105" t="str">
        <f t="shared" si="150"/>
        <v/>
      </c>
      <c r="BG93" s="105" t="str">
        <f t="shared" si="151"/>
        <v/>
      </c>
      <c r="BH93" s="105" t="str">
        <f t="shared" si="152"/>
        <v/>
      </c>
      <c r="BI93" s="50" t="str">
        <f t="shared" si="102"/>
        <v/>
      </c>
      <c r="BJ93" s="47" t="str">
        <f t="shared" si="103"/>
        <v/>
      </c>
      <c r="BK93" s="105" t="str">
        <f t="shared" si="153"/>
        <v/>
      </c>
      <c r="BL93" s="105" t="str">
        <f t="shared" si="154"/>
        <v/>
      </c>
      <c r="BM93" s="105" t="str">
        <f>IF(OR(B93="",'Marks Entry'!BY93=""),"",'Marks Entry'!BY93)</f>
        <v/>
      </c>
      <c r="BN93" s="105" t="str">
        <f>IF(OR(B93="",'Marks Entry'!BZ93=""),"",'Marks Entry'!BZ93)</f>
        <v/>
      </c>
      <c r="BO93" s="105" t="str">
        <f>IF('Marks Entry'!BC93="","",'Marks Entry'!BC93)</f>
        <v/>
      </c>
      <c r="BP93" s="105" t="str">
        <f>IF('Marks Entry'!BD93="","",'Marks Entry'!BD93)</f>
        <v/>
      </c>
      <c r="BQ93" s="105" t="str">
        <f>IF(AND('Marks Entry'!BE93="",'Marks Entry'!BF93=""),"",SUM('Marks Entry'!BE93:BF93))</f>
        <v/>
      </c>
      <c r="BR93" s="105" t="str">
        <f>IF(AND('Marks Entry'!BG93="",'Marks Entry'!BH93=""),"",SUM('Marks Entry'!BG93:BH93))</f>
        <v/>
      </c>
      <c r="BS93" s="105" t="str">
        <f t="shared" si="155"/>
        <v/>
      </c>
      <c r="BT93" s="105" t="str">
        <f t="shared" si="156"/>
        <v/>
      </c>
      <c r="BU93" s="105" t="str">
        <f t="shared" si="157"/>
        <v/>
      </c>
      <c r="BV93" s="105" t="str">
        <f>IF('Marks Entry'!BJ93="","",'Marks Entry'!BJ93)</f>
        <v/>
      </c>
      <c r="BW93" s="105" t="str">
        <f>IF('Marks Entry'!BK93="","",'Marks Entry'!BK93)</f>
        <v/>
      </c>
      <c r="BX93" s="105" t="str">
        <f>IF(AND('Marks Entry'!BL93="",'Marks Entry'!BM93=""),"",SUM('Marks Entry'!BL93:BM93))</f>
        <v/>
      </c>
      <c r="BY93" s="105" t="str">
        <f>IF(AND('Marks Entry'!BN93="",'Marks Entry'!BO93=""),"",SUM('Marks Entry'!BN93:BO93))</f>
        <v/>
      </c>
      <c r="BZ93" s="105" t="str">
        <f t="shared" si="158"/>
        <v/>
      </c>
      <c r="CA93" s="105" t="str">
        <f t="shared" si="159"/>
        <v/>
      </c>
      <c r="CB93" s="105" t="str">
        <f t="shared" si="160"/>
        <v/>
      </c>
      <c r="CC93" s="105" t="str">
        <f>IF('Marks Entry'!BQ93="","",'Marks Entry'!BQ93)</f>
        <v/>
      </c>
      <c r="CD93" s="105" t="str">
        <f>IF('Marks Entry'!BR93="","",'Marks Entry'!BR93)</f>
        <v/>
      </c>
      <c r="CE93" s="105" t="str">
        <f>IF(AND('Marks Entry'!BS93="",'Marks Entry'!BT93=""),"",SUM('Marks Entry'!BS93:BT93))</f>
        <v/>
      </c>
      <c r="CF93" s="105" t="str">
        <f>IF(AND('Marks Entry'!BU93="",'Marks Entry'!BV93=""),"",SUM('Marks Entry'!BU93:BV93))</f>
        <v/>
      </c>
      <c r="CG93" s="105" t="str">
        <f t="shared" si="161"/>
        <v/>
      </c>
      <c r="CH93" s="105" t="str">
        <f t="shared" si="162"/>
        <v/>
      </c>
      <c r="CI93" s="105" t="str">
        <f t="shared" si="163"/>
        <v/>
      </c>
      <c r="CJ93" s="81"/>
      <c r="CK93" s="50" t="str">
        <f t="shared" si="104"/>
        <v/>
      </c>
      <c r="CM93" s="105" t="str">
        <f t="shared" si="105"/>
        <v/>
      </c>
      <c r="CN93" s="105" t="str">
        <f t="shared" si="106"/>
        <v/>
      </c>
      <c r="CO93" s="105" t="str">
        <f t="shared" si="107"/>
        <v/>
      </c>
      <c r="CP93" s="105" t="str">
        <f t="shared" si="108"/>
        <v/>
      </c>
      <c r="CQ93" s="105" t="str">
        <f t="shared" si="109"/>
        <v/>
      </c>
      <c r="CS93" s="105">
        <f t="shared" si="110"/>
        <v>0</v>
      </c>
      <c r="CT93" s="105">
        <f t="shared" si="111"/>
        <v>0</v>
      </c>
      <c r="CU93" s="105">
        <f t="shared" si="112"/>
        <v>0</v>
      </c>
      <c r="CV93" s="105">
        <f t="shared" si="113"/>
        <v>0</v>
      </c>
      <c r="CW93" s="81"/>
      <c r="CX93" s="105" t="str">
        <f t="shared" si="114"/>
        <v/>
      </c>
      <c r="CY93" s="105" t="str">
        <f t="shared" si="115"/>
        <v/>
      </c>
      <c r="CZ93" s="105" t="str">
        <f t="shared" si="116"/>
        <v/>
      </c>
      <c r="DA93" s="105" t="str">
        <f t="shared" si="117"/>
        <v/>
      </c>
      <c r="DB93" s="105" t="str">
        <f t="shared" si="118"/>
        <v/>
      </c>
      <c r="DD93" s="105" t="str">
        <f t="shared" si="119"/>
        <v/>
      </c>
      <c r="DE93" s="105" t="str">
        <f t="shared" si="120"/>
        <v/>
      </c>
      <c r="DF93" s="105" t="str">
        <f t="shared" si="121"/>
        <v/>
      </c>
      <c r="DG93" s="105" t="str">
        <f t="shared" si="122"/>
        <v/>
      </c>
      <c r="DH93" s="105" t="str">
        <f t="shared" si="123"/>
        <v/>
      </c>
      <c r="DI93" s="105" t="str">
        <f t="shared" si="124"/>
        <v/>
      </c>
      <c r="DJ93" s="105" t="str">
        <f t="shared" si="125"/>
        <v/>
      </c>
      <c r="DK93" s="105" t="str">
        <f t="shared" si="126"/>
        <v/>
      </c>
      <c r="DL93" s="105" t="str">
        <f t="shared" si="127"/>
        <v/>
      </c>
      <c r="DM93" s="105" t="str">
        <f t="shared" si="128"/>
        <v/>
      </c>
      <c r="DN93" s="105" t="str">
        <f t="shared" si="129"/>
        <v/>
      </c>
      <c r="DO93" s="105" t="str">
        <f t="shared" si="130"/>
        <v/>
      </c>
      <c r="DP93" s="105" t="str">
        <f t="shared" si="131"/>
        <v/>
      </c>
      <c r="DR93" s="118" t="str">
        <f t="shared" si="164"/>
        <v xml:space="preserve">    </v>
      </c>
      <c r="DS93" s="75"/>
      <c r="DT93" s="119" t="str">
        <f t="shared" si="165"/>
        <v xml:space="preserve">    </v>
      </c>
      <c r="DU93" s="136"/>
      <c r="DV93" s="119" t="str">
        <f t="shared" si="166"/>
        <v xml:space="preserve">    </v>
      </c>
      <c r="DW93" s="75"/>
      <c r="DX93" s="119" t="str">
        <f t="shared" si="167"/>
        <v xml:space="preserve">     </v>
      </c>
      <c r="DY93" s="75"/>
      <c r="DZ93" s="119" t="str">
        <f t="shared" si="168"/>
        <v xml:space="preserve">    </v>
      </c>
    </row>
    <row r="94" spans="1:130" ht="30" customHeight="1" x14ac:dyDescent="0.25">
      <c r="A94" s="105" t="str">
        <f>IF('Marks Entry'!A94="","",'Marks Entry'!A94)</f>
        <v/>
      </c>
      <c r="B94" s="105" t="str">
        <f>IF('Marks Entry'!B94="","",'Marks Entry'!B94)</f>
        <v/>
      </c>
      <c r="C94" s="105" t="str">
        <f>IF('Marks Entry'!C94="","",'Marks Entry'!C94)</f>
        <v/>
      </c>
      <c r="D94" s="48" t="str">
        <f>IF('Marks Entry'!D94="","",'Marks Entry'!D94)</f>
        <v/>
      </c>
      <c r="E94" s="48" t="str">
        <f>IF('Marks Entry'!E94="","",'Marks Entry'!E94)</f>
        <v/>
      </c>
      <c r="F94" s="48" t="str">
        <f>IF('Marks Entry'!F94="","",'Marks Entry'!F94)</f>
        <v/>
      </c>
      <c r="G94" s="105" t="str">
        <f>IF('Marks Entry'!G94="","",'Marks Entry'!G94)</f>
        <v/>
      </c>
      <c r="H94" s="49" t="str">
        <f>IF('Marks Entry'!H94="","",'Marks Entry'!H94)</f>
        <v/>
      </c>
      <c r="I94" s="105" t="str">
        <f>IF('Marks Entry'!I94="","",'Marks Entry'!I94)</f>
        <v/>
      </c>
      <c r="J94" s="105" t="str">
        <f>IF('Marks Entry'!K94="","",'Marks Entry'!K94)</f>
        <v/>
      </c>
      <c r="K94" s="105" t="str">
        <f>IF('Marks Entry'!L94="","",'Marks Entry'!L94)</f>
        <v/>
      </c>
      <c r="L94" s="105" t="str">
        <f>IF(AND('Marks Entry'!M94="",'Marks Entry'!N94=""),"",SUM('Marks Entry'!M94:N94))</f>
        <v/>
      </c>
      <c r="M94" s="105" t="str">
        <f>IF(AND('Marks Entry'!O94="",'Marks Entry'!P94=""),"",SUM('Marks Entry'!O94:P94))</f>
        <v/>
      </c>
      <c r="N94" s="105" t="str">
        <f t="shared" si="101"/>
        <v/>
      </c>
      <c r="O94" s="105" t="str">
        <f t="shared" si="132"/>
        <v/>
      </c>
      <c r="P94" s="105" t="str">
        <f t="shared" si="133"/>
        <v/>
      </c>
      <c r="Q94" s="105" t="str">
        <f>IF('Marks Entry'!R94="","",'Marks Entry'!R94)</f>
        <v/>
      </c>
      <c r="R94" s="105" t="str">
        <f>IF('Marks Entry'!S94="","",'Marks Entry'!S94)</f>
        <v/>
      </c>
      <c r="S94" s="105" t="str">
        <f>IF(AND('Marks Entry'!T94="",'Marks Entry'!U94=""),"",SUM('Marks Entry'!T94:U94))</f>
        <v/>
      </c>
      <c r="T94" s="105" t="str">
        <f>IF(AND('Marks Entry'!V94="",'Marks Entry'!W94=""),"",SUM('Marks Entry'!V94:W94))</f>
        <v/>
      </c>
      <c r="U94" s="105" t="str">
        <f t="shared" si="134"/>
        <v/>
      </c>
      <c r="V94" s="105" t="str">
        <f t="shared" si="135"/>
        <v/>
      </c>
      <c r="W94" s="105" t="str">
        <f t="shared" si="136"/>
        <v/>
      </c>
      <c r="X94" s="47" t="str">
        <f>IF(B94="","",IF('Marks Entry'!Y94="",'Marks Entry'!$Y$4,'Marks Entry'!Y94))</f>
        <v/>
      </c>
      <c r="Y94" s="105" t="str">
        <f>IF('Marks Entry'!Z94="","",'Marks Entry'!Z94)</f>
        <v/>
      </c>
      <c r="Z94" s="105" t="str">
        <f>IF('Marks Entry'!AA94="","",'Marks Entry'!AA94)</f>
        <v/>
      </c>
      <c r="AA94" s="105" t="str">
        <f>IF(AND('Marks Entry'!AB94="",'Marks Entry'!AC94=""),"",SUM('Marks Entry'!AB94:AC94))</f>
        <v/>
      </c>
      <c r="AB94" s="105" t="str">
        <f>IF('Marks Entry'!AD94="","",'Marks Entry'!AD94)</f>
        <v/>
      </c>
      <c r="AC94" s="105" t="str">
        <f t="shared" si="137"/>
        <v/>
      </c>
      <c r="AD94" s="105" t="str">
        <f>IF(AND('Marks Entry'!AE94="",'Marks Entry'!AF94=""),"",SUM('Marks Entry'!AE94:AF94))</f>
        <v/>
      </c>
      <c r="AE94" s="105" t="str">
        <f>IF('Marks Entry'!AG94="","",'Marks Entry'!AG94)</f>
        <v/>
      </c>
      <c r="AF94" s="105" t="str">
        <f t="shared" si="138"/>
        <v/>
      </c>
      <c r="AG94" s="105" t="str">
        <f t="shared" si="139"/>
        <v/>
      </c>
      <c r="AH94" s="105" t="str">
        <f t="shared" si="140"/>
        <v/>
      </c>
      <c r="AI94" s="105" t="str">
        <f t="shared" si="141"/>
        <v/>
      </c>
      <c r="AJ94" s="47" t="str">
        <f>IF(B94="","",IF('Marks Entry'!AI94="",'Marks Entry'!$AI$4,'Marks Entry'!AI94))</f>
        <v/>
      </c>
      <c r="AK94" s="105" t="str">
        <f>IF('Marks Entry'!AJ94="","",'Marks Entry'!AJ94)</f>
        <v/>
      </c>
      <c r="AL94" s="105" t="str">
        <f>IF('Marks Entry'!AK94="","",'Marks Entry'!AK94)</f>
        <v/>
      </c>
      <c r="AM94" s="105" t="str">
        <f>IF(AND('Marks Entry'!AL94="",'Marks Entry'!AM94=""),"",SUM('Marks Entry'!AL94:AM94))</f>
        <v/>
      </c>
      <c r="AN94" s="105" t="str">
        <f>IF('Marks Entry'!AN94="","",'Marks Entry'!AN94)</f>
        <v/>
      </c>
      <c r="AO94" s="105" t="str">
        <f t="shared" si="142"/>
        <v/>
      </c>
      <c r="AP94" s="105" t="str">
        <f>IF(AND('Marks Entry'!AO94="",'Marks Entry'!AP94=""),"",SUM('Marks Entry'!AO94:AP94))</f>
        <v/>
      </c>
      <c r="AQ94" s="105" t="str">
        <f>IF('Marks Entry'!AQ94="","",'Marks Entry'!AQ94)</f>
        <v/>
      </c>
      <c r="AR94" s="105" t="str">
        <f t="shared" si="143"/>
        <v/>
      </c>
      <c r="AS94" s="105" t="str">
        <f t="shared" si="144"/>
        <v/>
      </c>
      <c r="AT94" s="105" t="str">
        <f t="shared" si="145"/>
        <v/>
      </c>
      <c r="AU94" s="105" t="str">
        <f t="shared" si="146"/>
        <v/>
      </c>
      <c r="AV94" s="47" t="str">
        <f>IF(B94="","",IF('Marks Entry'!AS94="",'Marks Entry'!$AS$4,'Marks Entry'!AS94))</f>
        <v/>
      </c>
      <c r="AW94" s="105" t="str">
        <f>IF('Marks Entry'!AT94="","",'Marks Entry'!AT94)</f>
        <v/>
      </c>
      <c r="AX94" s="105" t="str">
        <f>IF('Marks Entry'!AU94="","",'Marks Entry'!AU94)</f>
        <v/>
      </c>
      <c r="AY94" s="105" t="str">
        <f>IF(AND('Marks Entry'!AV94="",'Marks Entry'!AW94=""),"",SUM('Marks Entry'!AV94:AW94))</f>
        <v/>
      </c>
      <c r="AZ94" s="105" t="str">
        <f>IF('Marks Entry'!AX94="","",'Marks Entry'!AX94)</f>
        <v/>
      </c>
      <c r="BA94" s="105">
        <f t="shared" si="147"/>
        <v>0</v>
      </c>
      <c r="BB94" s="105" t="str">
        <f>IF(AND('Marks Entry'!AY94="",'Marks Entry'!AZ94=""),"",SUM('Marks Entry'!AY94:AZ94))</f>
        <v/>
      </c>
      <c r="BC94" s="105" t="str">
        <f>IF('Marks Entry'!BA94="","",'Marks Entry'!BA94)</f>
        <v/>
      </c>
      <c r="BD94" s="105">
        <f t="shared" si="148"/>
        <v>0</v>
      </c>
      <c r="BE94" s="105">
        <f t="shared" si="149"/>
        <v>0</v>
      </c>
      <c r="BF94" s="105" t="str">
        <f t="shared" si="150"/>
        <v/>
      </c>
      <c r="BG94" s="105" t="str">
        <f t="shared" si="151"/>
        <v/>
      </c>
      <c r="BH94" s="105" t="str">
        <f t="shared" si="152"/>
        <v/>
      </c>
      <c r="BI94" s="50" t="str">
        <f t="shared" si="102"/>
        <v/>
      </c>
      <c r="BJ94" s="47" t="str">
        <f t="shared" si="103"/>
        <v/>
      </c>
      <c r="BK94" s="105" t="str">
        <f t="shared" si="153"/>
        <v/>
      </c>
      <c r="BL94" s="105" t="str">
        <f t="shared" si="154"/>
        <v/>
      </c>
      <c r="BM94" s="105" t="str">
        <f>IF(OR(B94="",'Marks Entry'!BY94=""),"",'Marks Entry'!BY94)</f>
        <v/>
      </c>
      <c r="BN94" s="105" t="str">
        <f>IF(OR(B94="",'Marks Entry'!BZ94=""),"",'Marks Entry'!BZ94)</f>
        <v/>
      </c>
      <c r="BO94" s="105" t="str">
        <f>IF('Marks Entry'!BC94="","",'Marks Entry'!BC94)</f>
        <v/>
      </c>
      <c r="BP94" s="105" t="str">
        <f>IF('Marks Entry'!BD94="","",'Marks Entry'!BD94)</f>
        <v/>
      </c>
      <c r="BQ94" s="105" t="str">
        <f>IF(AND('Marks Entry'!BE94="",'Marks Entry'!BF94=""),"",SUM('Marks Entry'!BE94:BF94))</f>
        <v/>
      </c>
      <c r="BR94" s="105" t="str">
        <f>IF(AND('Marks Entry'!BG94="",'Marks Entry'!BH94=""),"",SUM('Marks Entry'!BG94:BH94))</f>
        <v/>
      </c>
      <c r="BS94" s="105" t="str">
        <f t="shared" si="155"/>
        <v/>
      </c>
      <c r="BT94" s="105" t="str">
        <f t="shared" si="156"/>
        <v/>
      </c>
      <c r="BU94" s="105" t="str">
        <f t="shared" si="157"/>
        <v/>
      </c>
      <c r="BV94" s="105" t="str">
        <f>IF('Marks Entry'!BJ94="","",'Marks Entry'!BJ94)</f>
        <v/>
      </c>
      <c r="BW94" s="105" t="str">
        <f>IF('Marks Entry'!BK94="","",'Marks Entry'!BK94)</f>
        <v/>
      </c>
      <c r="BX94" s="105" t="str">
        <f>IF(AND('Marks Entry'!BL94="",'Marks Entry'!BM94=""),"",SUM('Marks Entry'!BL94:BM94))</f>
        <v/>
      </c>
      <c r="BY94" s="105" t="str">
        <f>IF(AND('Marks Entry'!BN94="",'Marks Entry'!BO94=""),"",SUM('Marks Entry'!BN94:BO94))</f>
        <v/>
      </c>
      <c r="BZ94" s="105" t="str">
        <f t="shared" si="158"/>
        <v/>
      </c>
      <c r="CA94" s="105" t="str">
        <f t="shared" si="159"/>
        <v/>
      </c>
      <c r="CB94" s="105" t="str">
        <f t="shared" si="160"/>
        <v/>
      </c>
      <c r="CC94" s="105" t="str">
        <f>IF('Marks Entry'!BQ94="","",'Marks Entry'!BQ94)</f>
        <v/>
      </c>
      <c r="CD94" s="105" t="str">
        <f>IF('Marks Entry'!BR94="","",'Marks Entry'!BR94)</f>
        <v/>
      </c>
      <c r="CE94" s="105" t="str">
        <f>IF(AND('Marks Entry'!BS94="",'Marks Entry'!BT94=""),"",SUM('Marks Entry'!BS94:BT94))</f>
        <v/>
      </c>
      <c r="CF94" s="105" t="str">
        <f>IF(AND('Marks Entry'!BU94="",'Marks Entry'!BV94=""),"",SUM('Marks Entry'!BU94:BV94))</f>
        <v/>
      </c>
      <c r="CG94" s="105" t="str">
        <f t="shared" si="161"/>
        <v/>
      </c>
      <c r="CH94" s="105" t="str">
        <f t="shared" si="162"/>
        <v/>
      </c>
      <c r="CI94" s="105" t="str">
        <f t="shared" si="163"/>
        <v/>
      </c>
      <c r="CJ94" s="81"/>
      <c r="CK94" s="50" t="str">
        <f t="shared" si="104"/>
        <v/>
      </c>
      <c r="CM94" s="105" t="str">
        <f t="shared" si="105"/>
        <v/>
      </c>
      <c r="CN94" s="105" t="str">
        <f t="shared" si="106"/>
        <v/>
      </c>
      <c r="CO94" s="105" t="str">
        <f t="shared" si="107"/>
        <v/>
      </c>
      <c r="CP94" s="105" t="str">
        <f t="shared" si="108"/>
        <v/>
      </c>
      <c r="CQ94" s="105" t="str">
        <f t="shared" si="109"/>
        <v/>
      </c>
      <c r="CS94" s="105">
        <f t="shared" si="110"/>
        <v>0</v>
      </c>
      <c r="CT94" s="105">
        <f t="shared" si="111"/>
        <v>0</v>
      </c>
      <c r="CU94" s="105">
        <f t="shared" si="112"/>
        <v>0</v>
      </c>
      <c r="CV94" s="105">
        <f t="shared" si="113"/>
        <v>0</v>
      </c>
      <c r="CW94" s="81"/>
      <c r="CX94" s="105" t="str">
        <f t="shared" si="114"/>
        <v/>
      </c>
      <c r="CY94" s="105" t="str">
        <f t="shared" si="115"/>
        <v/>
      </c>
      <c r="CZ94" s="105" t="str">
        <f t="shared" si="116"/>
        <v/>
      </c>
      <c r="DA94" s="105" t="str">
        <f t="shared" si="117"/>
        <v/>
      </c>
      <c r="DB94" s="105" t="str">
        <f t="shared" si="118"/>
        <v/>
      </c>
      <c r="DD94" s="105" t="str">
        <f t="shared" si="119"/>
        <v/>
      </c>
      <c r="DE94" s="105" t="str">
        <f t="shared" si="120"/>
        <v/>
      </c>
      <c r="DF94" s="105" t="str">
        <f t="shared" si="121"/>
        <v/>
      </c>
      <c r="DG94" s="105" t="str">
        <f t="shared" si="122"/>
        <v/>
      </c>
      <c r="DH94" s="105" t="str">
        <f t="shared" si="123"/>
        <v/>
      </c>
      <c r="DI94" s="105" t="str">
        <f t="shared" si="124"/>
        <v/>
      </c>
      <c r="DJ94" s="105" t="str">
        <f t="shared" si="125"/>
        <v/>
      </c>
      <c r="DK94" s="105" t="str">
        <f t="shared" si="126"/>
        <v/>
      </c>
      <c r="DL94" s="105" t="str">
        <f t="shared" si="127"/>
        <v/>
      </c>
      <c r="DM94" s="105" t="str">
        <f t="shared" si="128"/>
        <v/>
      </c>
      <c r="DN94" s="105" t="str">
        <f t="shared" si="129"/>
        <v/>
      </c>
      <c r="DO94" s="105" t="str">
        <f t="shared" si="130"/>
        <v/>
      </c>
      <c r="DP94" s="105" t="str">
        <f t="shared" si="131"/>
        <v/>
      </c>
      <c r="DR94" s="118" t="str">
        <f t="shared" si="164"/>
        <v xml:space="preserve">    </v>
      </c>
      <c r="DS94" s="75"/>
      <c r="DT94" s="119" t="str">
        <f t="shared" si="165"/>
        <v xml:space="preserve">    </v>
      </c>
      <c r="DU94" s="136"/>
      <c r="DV94" s="119" t="str">
        <f t="shared" si="166"/>
        <v xml:space="preserve">    </v>
      </c>
      <c r="DW94" s="75"/>
      <c r="DX94" s="119" t="str">
        <f t="shared" si="167"/>
        <v xml:space="preserve">     </v>
      </c>
      <c r="DY94" s="75"/>
      <c r="DZ94" s="119" t="str">
        <f t="shared" si="168"/>
        <v xml:space="preserve">    </v>
      </c>
    </row>
    <row r="95" spans="1:130" ht="30" customHeight="1" x14ac:dyDescent="0.25">
      <c r="A95" s="105" t="str">
        <f>IF('Marks Entry'!A95="","",'Marks Entry'!A95)</f>
        <v/>
      </c>
      <c r="B95" s="105" t="str">
        <f>IF('Marks Entry'!B95="","",'Marks Entry'!B95)</f>
        <v/>
      </c>
      <c r="C95" s="105" t="str">
        <f>IF('Marks Entry'!C95="","",'Marks Entry'!C95)</f>
        <v/>
      </c>
      <c r="D95" s="48" t="str">
        <f>IF('Marks Entry'!D95="","",'Marks Entry'!D95)</f>
        <v/>
      </c>
      <c r="E95" s="48" t="str">
        <f>IF('Marks Entry'!E95="","",'Marks Entry'!E95)</f>
        <v/>
      </c>
      <c r="F95" s="48" t="str">
        <f>IF('Marks Entry'!F95="","",'Marks Entry'!F95)</f>
        <v/>
      </c>
      <c r="G95" s="105" t="str">
        <f>IF('Marks Entry'!G95="","",'Marks Entry'!G95)</f>
        <v/>
      </c>
      <c r="H95" s="49" t="str">
        <f>IF('Marks Entry'!H95="","",'Marks Entry'!H95)</f>
        <v/>
      </c>
      <c r="I95" s="105" t="str">
        <f>IF('Marks Entry'!I95="","",'Marks Entry'!I95)</f>
        <v/>
      </c>
      <c r="J95" s="105" t="str">
        <f>IF('Marks Entry'!K95="","",'Marks Entry'!K95)</f>
        <v/>
      </c>
      <c r="K95" s="105" t="str">
        <f>IF('Marks Entry'!L95="","",'Marks Entry'!L95)</f>
        <v/>
      </c>
      <c r="L95" s="105" t="str">
        <f>IF(AND('Marks Entry'!M95="",'Marks Entry'!N95=""),"",SUM('Marks Entry'!M95:N95))</f>
        <v/>
      </c>
      <c r="M95" s="105" t="str">
        <f>IF(AND('Marks Entry'!O95="",'Marks Entry'!P95=""),"",SUM('Marks Entry'!O95:P95))</f>
        <v/>
      </c>
      <c r="N95" s="105" t="str">
        <f t="shared" si="101"/>
        <v/>
      </c>
      <c r="O95" s="105" t="str">
        <f t="shared" si="132"/>
        <v/>
      </c>
      <c r="P95" s="105" t="str">
        <f t="shared" si="133"/>
        <v/>
      </c>
      <c r="Q95" s="105" t="str">
        <f>IF('Marks Entry'!R95="","",'Marks Entry'!R95)</f>
        <v/>
      </c>
      <c r="R95" s="105" t="str">
        <f>IF('Marks Entry'!S95="","",'Marks Entry'!S95)</f>
        <v/>
      </c>
      <c r="S95" s="105" t="str">
        <f>IF(AND('Marks Entry'!T95="",'Marks Entry'!U95=""),"",SUM('Marks Entry'!T95:U95))</f>
        <v/>
      </c>
      <c r="T95" s="105" t="str">
        <f>IF(AND('Marks Entry'!V95="",'Marks Entry'!W95=""),"",SUM('Marks Entry'!V95:W95))</f>
        <v/>
      </c>
      <c r="U95" s="105" t="str">
        <f t="shared" si="134"/>
        <v/>
      </c>
      <c r="V95" s="105" t="str">
        <f t="shared" si="135"/>
        <v/>
      </c>
      <c r="W95" s="105" t="str">
        <f t="shared" si="136"/>
        <v/>
      </c>
      <c r="X95" s="47" t="str">
        <f>IF(B95="","",IF('Marks Entry'!Y95="",'Marks Entry'!$Y$4,'Marks Entry'!Y95))</f>
        <v/>
      </c>
      <c r="Y95" s="105" t="str">
        <f>IF('Marks Entry'!Z95="","",'Marks Entry'!Z95)</f>
        <v/>
      </c>
      <c r="Z95" s="105" t="str">
        <f>IF('Marks Entry'!AA95="","",'Marks Entry'!AA95)</f>
        <v/>
      </c>
      <c r="AA95" s="105" t="str">
        <f>IF(AND('Marks Entry'!AB95="",'Marks Entry'!AC95=""),"",SUM('Marks Entry'!AB95:AC95))</f>
        <v/>
      </c>
      <c r="AB95" s="105" t="str">
        <f>IF('Marks Entry'!AD95="","",'Marks Entry'!AD95)</f>
        <v/>
      </c>
      <c r="AC95" s="105" t="str">
        <f t="shared" si="137"/>
        <v/>
      </c>
      <c r="AD95" s="105" t="str">
        <f>IF(AND('Marks Entry'!AE95="",'Marks Entry'!AF95=""),"",SUM('Marks Entry'!AE95:AF95))</f>
        <v/>
      </c>
      <c r="AE95" s="105" t="str">
        <f>IF('Marks Entry'!AG95="","",'Marks Entry'!AG95)</f>
        <v/>
      </c>
      <c r="AF95" s="105" t="str">
        <f t="shared" si="138"/>
        <v/>
      </c>
      <c r="AG95" s="105" t="str">
        <f t="shared" si="139"/>
        <v/>
      </c>
      <c r="AH95" s="105" t="str">
        <f t="shared" si="140"/>
        <v/>
      </c>
      <c r="AI95" s="105" t="str">
        <f t="shared" si="141"/>
        <v/>
      </c>
      <c r="AJ95" s="47" t="str">
        <f>IF(B95="","",IF('Marks Entry'!AI95="",'Marks Entry'!$AI$4,'Marks Entry'!AI95))</f>
        <v/>
      </c>
      <c r="AK95" s="105" t="str">
        <f>IF('Marks Entry'!AJ95="","",'Marks Entry'!AJ95)</f>
        <v/>
      </c>
      <c r="AL95" s="105" t="str">
        <f>IF('Marks Entry'!AK95="","",'Marks Entry'!AK95)</f>
        <v/>
      </c>
      <c r="AM95" s="105" t="str">
        <f>IF(AND('Marks Entry'!AL95="",'Marks Entry'!AM95=""),"",SUM('Marks Entry'!AL95:AM95))</f>
        <v/>
      </c>
      <c r="AN95" s="105" t="str">
        <f>IF('Marks Entry'!AN95="","",'Marks Entry'!AN95)</f>
        <v/>
      </c>
      <c r="AO95" s="105" t="str">
        <f t="shared" si="142"/>
        <v/>
      </c>
      <c r="AP95" s="105" t="str">
        <f>IF(AND('Marks Entry'!AO95="",'Marks Entry'!AP95=""),"",SUM('Marks Entry'!AO95:AP95))</f>
        <v/>
      </c>
      <c r="AQ95" s="105" t="str">
        <f>IF('Marks Entry'!AQ95="","",'Marks Entry'!AQ95)</f>
        <v/>
      </c>
      <c r="AR95" s="105" t="str">
        <f t="shared" si="143"/>
        <v/>
      </c>
      <c r="AS95" s="105" t="str">
        <f t="shared" si="144"/>
        <v/>
      </c>
      <c r="AT95" s="105" t="str">
        <f t="shared" si="145"/>
        <v/>
      </c>
      <c r="AU95" s="105" t="str">
        <f t="shared" si="146"/>
        <v/>
      </c>
      <c r="AV95" s="47" t="str">
        <f>IF(B95="","",IF('Marks Entry'!AS95="",'Marks Entry'!$AS$4,'Marks Entry'!AS95))</f>
        <v/>
      </c>
      <c r="AW95" s="105" t="str">
        <f>IF('Marks Entry'!AT95="","",'Marks Entry'!AT95)</f>
        <v/>
      </c>
      <c r="AX95" s="105" t="str">
        <f>IF('Marks Entry'!AU95="","",'Marks Entry'!AU95)</f>
        <v/>
      </c>
      <c r="AY95" s="105" t="str">
        <f>IF(AND('Marks Entry'!AV95="",'Marks Entry'!AW95=""),"",SUM('Marks Entry'!AV95:AW95))</f>
        <v/>
      </c>
      <c r="AZ95" s="105" t="str">
        <f>IF('Marks Entry'!AX95="","",'Marks Entry'!AX95)</f>
        <v/>
      </c>
      <c r="BA95" s="105">
        <f t="shared" si="147"/>
        <v>0</v>
      </c>
      <c r="BB95" s="105" t="str">
        <f>IF(AND('Marks Entry'!AY95="",'Marks Entry'!AZ95=""),"",SUM('Marks Entry'!AY95:AZ95))</f>
        <v/>
      </c>
      <c r="BC95" s="105" t="str">
        <f>IF('Marks Entry'!BA95="","",'Marks Entry'!BA95)</f>
        <v/>
      </c>
      <c r="BD95" s="105">
        <f t="shared" si="148"/>
        <v>0</v>
      </c>
      <c r="BE95" s="105">
        <f t="shared" si="149"/>
        <v>0</v>
      </c>
      <c r="BF95" s="105" t="str">
        <f t="shared" si="150"/>
        <v/>
      </c>
      <c r="BG95" s="105" t="str">
        <f t="shared" si="151"/>
        <v/>
      </c>
      <c r="BH95" s="105" t="str">
        <f t="shared" si="152"/>
        <v/>
      </c>
      <c r="BI95" s="50" t="str">
        <f t="shared" si="102"/>
        <v/>
      </c>
      <c r="BJ95" s="47" t="str">
        <f t="shared" si="103"/>
        <v/>
      </c>
      <c r="BK95" s="105" t="str">
        <f t="shared" si="153"/>
        <v/>
      </c>
      <c r="BL95" s="105" t="str">
        <f t="shared" si="154"/>
        <v/>
      </c>
      <c r="BM95" s="105" t="str">
        <f>IF(OR(B95="",'Marks Entry'!BY95=""),"",'Marks Entry'!BY95)</f>
        <v/>
      </c>
      <c r="BN95" s="105" t="str">
        <f>IF(OR(B95="",'Marks Entry'!BZ95=""),"",'Marks Entry'!BZ95)</f>
        <v/>
      </c>
      <c r="BO95" s="105" t="str">
        <f>IF('Marks Entry'!BC95="","",'Marks Entry'!BC95)</f>
        <v/>
      </c>
      <c r="BP95" s="105" t="str">
        <f>IF('Marks Entry'!BD95="","",'Marks Entry'!BD95)</f>
        <v/>
      </c>
      <c r="BQ95" s="105" t="str">
        <f>IF(AND('Marks Entry'!BE95="",'Marks Entry'!BF95=""),"",SUM('Marks Entry'!BE95:BF95))</f>
        <v/>
      </c>
      <c r="BR95" s="105" t="str">
        <f>IF(AND('Marks Entry'!BG95="",'Marks Entry'!BH95=""),"",SUM('Marks Entry'!BG95:BH95))</f>
        <v/>
      </c>
      <c r="BS95" s="105" t="str">
        <f t="shared" si="155"/>
        <v/>
      </c>
      <c r="BT95" s="105" t="str">
        <f t="shared" si="156"/>
        <v/>
      </c>
      <c r="BU95" s="105" t="str">
        <f t="shared" si="157"/>
        <v/>
      </c>
      <c r="BV95" s="105" t="str">
        <f>IF('Marks Entry'!BJ95="","",'Marks Entry'!BJ95)</f>
        <v/>
      </c>
      <c r="BW95" s="105" t="str">
        <f>IF('Marks Entry'!BK95="","",'Marks Entry'!BK95)</f>
        <v/>
      </c>
      <c r="BX95" s="105" t="str">
        <f>IF(AND('Marks Entry'!BL95="",'Marks Entry'!BM95=""),"",SUM('Marks Entry'!BL95:BM95))</f>
        <v/>
      </c>
      <c r="BY95" s="105" t="str">
        <f>IF(AND('Marks Entry'!BN95="",'Marks Entry'!BO95=""),"",SUM('Marks Entry'!BN95:BO95))</f>
        <v/>
      </c>
      <c r="BZ95" s="105" t="str">
        <f t="shared" si="158"/>
        <v/>
      </c>
      <c r="CA95" s="105" t="str">
        <f t="shared" si="159"/>
        <v/>
      </c>
      <c r="CB95" s="105" t="str">
        <f t="shared" si="160"/>
        <v/>
      </c>
      <c r="CC95" s="105" t="str">
        <f>IF('Marks Entry'!BQ95="","",'Marks Entry'!BQ95)</f>
        <v/>
      </c>
      <c r="CD95" s="105" t="str">
        <f>IF('Marks Entry'!BR95="","",'Marks Entry'!BR95)</f>
        <v/>
      </c>
      <c r="CE95" s="105" t="str">
        <f>IF(AND('Marks Entry'!BS95="",'Marks Entry'!BT95=""),"",SUM('Marks Entry'!BS95:BT95))</f>
        <v/>
      </c>
      <c r="CF95" s="105" t="str">
        <f>IF(AND('Marks Entry'!BU95="",'Marks Entry'!BV95=""),"",SUM('Marks Entry'!BU95:BV95))</f>
        <v/>
      </c>
      <c r="CG95" s="105" t="str">
        <f t="shared" si="161"/>
        <v/>
      </c>
      <c r="CH95" s="105" t="str">
        <f t="shared" si="162"/>
        <v/>
      </c>
      <c r="CI95" s="105" t="str">
        <f t="shared" si="163"/>
        <v/>
      </c>
      <c r="CJ95" s="81"/>
      <c r="CK95" s="50" t="str">
        <f t="shared" si="104"/>
        <v/>
      </c>
      <c r="CM95" s="105" t="str">
        <f t="shared" si="105"/>
        <v/>
      </c>
      <c r="CN95" s="105" t="str">
        <f t="shared" si="106"/>
        <v/>
      </c>
      <c r="CO95" s="105" t="str">
        <f t="shared" si="107"/>
        <v/>
      </c>
      <c r="CP95" s="105" t="str">
        <f t="shared" si="108"/>
        <v/>
      </c>
      <c r="CQ95" s="105" t="str">
        <f t="shared" si="109"/>
        <v/>
      </c>
      <c r="CS95" s="105">
        <f t="shared" si="110"/>
        <v>0</v>
      </c>
      <c r="CT95" s="105">
        <f t="shared" si="111"/>
        <v>0</v>
      </c>
      <c r="CU95" s="105">
        <f t="shared" si="112"/>
        <v>0</v>
      </c>
      <c r="CV95" s="105">
        <f t="shared" si="113"/>
        <v>0</v>
      </c>
      <c r="CW95" s="81"/>
      <c r="CX95" s="105" t="str">
        <f t="shared" si="114"/>
        <v/>
      </c>
      <c r="CY95" s="105" t="str">
        <f t="shared" si="115"/>
        <v/>
      </c>
      <c r="CZ95" s="105" t="str">
        <f t="shared" si="116"/>
        <v/>
      </c>
      <c r="DA95" s="105" t="str">
        <f t="shared" si="117"/>
        <v/>
      </c>
      <c r="DB95" s="105" t="str">
        <f t="shared" si="118"/>
        <v/>
      </c>
      <c r="DD95" s="105" t="str">
        <f t="shared" si="119"/>
        <v/>
      </c>
      <c r="DE95" s="105" t="str">
        <f t="shared" si="120"/>
        <v/>
      </c>
      <c r="DF95" s="105" t="str">
        <f t="shared" si="121"/>
        <v/>
      </c>
      <c r="DG95" s="105" t="str">
        <f t="shared" si="122"/>
        <v/>
      </c>
      <c r="DH95" s="105" t="str">
        <f t="shared" si="123"/>
        <v/>
      </c>
      <c r="DI95" s="105" t="str">
        <f t="shared" si="124"/>
        <v/>
      </c>
      <c r="DJ95" s="105" t="str">
        <f t="shared" si="125"/>
        <v/>
      </c>
      <c r="DK95" s="105" t="str">
        <f t="shared" si="126"/>
        <v/>
      </c>
      <c r="DL95" s="105" t="str">
        <f t="shared" si="127"/>
        <v/>
      </c>
      <c r="DM95" s="105" t="str">
        <f t="shared" si="128"/>
        <v/>
      </c>
      <c r="DN95" s="105" t="str">
        <f t="shared" si="129"/>
        <v/>
      </c>
      <c r="DO95" s="105" t="str">
        <f t="shared" si="130"/>
        <v/>
      </c>
      <c r="DP95" s="105" t="str">
        <f t="shared" si="131"/>
        <v/>
      </c>
      <c r="DR95" s="118" t="str">
        <f t="shared" si="164"/>
        <v xml:space="preserve">    </v>
      </c>
      <c r="DS95" s="75"/>
      <c r="DT95" s="119" t="str">
        <f t="shared" si="165"/>
        <v xml:space="preserve">    </v>
      </c>
      <c r="DU95" s="136"/>
      <c r="DV95" s="119" t="str">
        <f t="shared" si="166"/>
        <v xml:space="preserve">    </v>
      </c>
      <c r="DW95" s="75"/>
      <c r="DX95" s="119" t="str">
        <f t="shared" si="167"/>
        <v xml:space="preserve">     </v>
      </c>
      <c r="DY95" s="75"/>
      <c r="DZ95" s="119" t="str">
        <f t="shared" si="168"/>
        <v xml:space="preserve">    </v>
      </c>
    </row>
    <row r="96" spans="1:130" ht="30" customHeight="1" x14ac:dyDescent="0.25">
      <c r="A96" s="105" t="str">
        <f>IF('Marks Entry'!A96="","",'Marks Entry'!A96)</f>
        <v/>
      </c>
      <c r="B96" s="105" t="str">
        <f>IF('Marks Entry'!B96="","",'Marks Entry'!B96)</f>
        <v/>
      </c>
      <c r="C96" s="105" t="str">
        <f>IF('Marks Entry'!C96="","",'Marks Entry'!C96)</f>
        <v/>
      </c>
      <c r="D96" s="48" t="str">
        <f>IF('Marks Entry'!D96="","",'Marks Entry'!D96)</f>
        <v/>
      </c>
      <c r="E96" s="48" t="str">
        <f>IF('Marks Entry'!E96="","",'Marks Entry'!E96)</f>
        <v/>
      </c>
      <c r="F96" s="48" t="str">
        <f>IF('Marks Entry'!F96="","",'Marks Entry'!F96)</f>
        <v/>
      </c>
      <c r="G96" s="105" t="str">
        <f>IF('Marks Entry'!G96="","",'Marks Entry'!G96)</f>
        <v/>
      </c>
      <c r="H96" s="49" t="str">
        <f>IF('Marks Entry'!H96="","",'Marks Entry'!H96)</f>
        <v/>
      </c>
      <c r="I96" s="105" t="str">
        <f>IF('Marks Entry'!I96="","",'Marks Entry'!I96)</f>
        <v/>
      </c>
      <c r="J96" s="105" t="str">
        <f>IF('Marks Entry'!K96="","",'Marks Entry'!K96)</f>
        <v/>
      </c>
      <c r="K96" s="105" t="str">
        <f>IF('Marks Entry'!L96="","",'Marks Entry'!L96)</f>
        <v/>
      </c>
      <c r="L96" s="105" t="str">
        <f>IF(AND('Marks Entry'!M96="",'Marks Entry'!N96=""),"",SUM('Marks Entry'!M96:N96))</f>
        <v/>
      </c>
      <c r="M96" s="105" t="str">
        <f>IF(AND('Marks Entry'!O96="",'Marks Entry'!P96=""),"",SUM('Marks Entry'!O96:P96))</f>
        <v/>
      </c>
      <c r="N96" s="105" t="str">
        <f t="shared" si="101"/>
        <v/>
      </c>
      <c r="O96" s="105" t="str">
        <f t="shared" si="132"/>
        <v/>
      </c>
      <c r="P96" s="105" t="str">
        <f t="shared" si="133"/>
        <v/>
      </c>
      <c r="Q96" s="105" t="str">
        <f>IF('Marks Entry'!R96="","",'Marks Entry'!R96)</f>
        <v/>
      </c>
      <c r="R96" s="105" t="str">
        <f>IF('Marks Entry'!S96="","",'Marks Entry'!S96)</f>
        <v/>
      </c>
      <c r="S96" s="105" t="str">
        <f>IF(AND('Marks Entry'!T96="",'Marks Entry'!U96=""),"",SUM('Marks Entry'!T96:U96))</f>
        <v/>
      </c>
      <c r="T96" s="105" t="str">
        <f>IF(AND('Marks Entry'!V96="",'Marks Entry'!W96=""),"",SUM('Marks Entry'!V96:W96))</f>
        <v/>
      </c>
      <c r="U96" s="105" t="str">
        <f t="shared" si="134"/>
        <v/>
      </c>
      <c r="V96" s="105" t="str">
        <f t="shared" si="135"/>
        <v/>
      </c>
      <c r="W96" s="105" t="str">
        <f t="shared" si="136"/>
        <v/>
      </c>
      <c r="X96" s="47" t="str">
        <f>IF(B96="","",IF('Marks Entry'!Y96="",'Marks Entry'!$Y$4,'Marks Entry'!Y96))</f>
        <v/>
      </c>
      <c r="Y96" s="105" t="str">
        <f>IF('Marks Entry'!Z96="","",'Marks Entry'!Z96)</f>
        <v/>
      </c>
      <c r="Z96" s="105" t="str">
        <f>IF('Marks Entry'!AA96="","",'Marks Entry'!AA96)</f>
        <v/>
      </c>
      <c r="AA96" s="105" t="str">
        <f>IF(AND('Marks Entry'!AB96="",'Marks Entry'!AC96=""),"",SUM('Marks Entry'!AB96:AC96))</f>
        <v/>
      </c>
      <c r="AB96" s="105" t="str">
        <f>IF('Marks Entry'!AD96="","",'Marks Entry'!AD96)</f>
        <v/>
      </c>
      <c r="AC96" s="105" t="str">
        <f t="shared" si="137"/>
        <v/>
      </c>
      <c r="AD96" s="105" t="str">
        <f>IF(AND('Marks Entry'!AE96="",'Marks Entry'!AF96=""),"",SUM('Marks Entry'!AE96:AF96))</f>
        <v/>
      </c>
      <c r="AE96" s="105" t="str">
        <f>IF('Marks Entry'!AG96="","",'Marks Entry'!AG96)</f>
        <v/>
      </c>
      <c r="AF96" s="105" t="str">
        <f t="shared" si="138"/>
        <v/>
      </c>
      <c r="AG96" s="105" t="str">
        <f t="shared" si="139"/>
        <v/>
      </c>
      <c r="AH96" s="105" t="str">
        <f t="shared" si="140"/>
        <v/>
      </c>
      <c r="AI96" s="105" t="str">
        <f t="shared" si="141"/>
        <v/>
      </c>
      <c r="AJ96" s="47" t="str">
        <f>IF(B96="","",IF('Marks Entry'!AI96="",'Marks Entry'!$AI$4,'Marks Entry'!AI96))</f>
        <v/>
      </c>
      <c r="AK96" s="105" t="str">
        <f>IF('Marks Entry'!AJ96="","",'Marks Entry'!AJ96)</f>
        <v/>
      </c>
      <c r="AL96" s="105" t="str">
        <f>IF('Marks Entry'!AK96="","",'Marks Entry'!AK96)</f>
        <v/>
      </c>
      <c r="AM96" s="105" t="str">
        <f>IF(AND('Marks Entry'!AL96="",'Marks Entry'!AM96=""),"",SUM('Marks Entry'!AL96:AM96))</f>
        <v/>
      </c>
      <c r="AN96" s="105" t="str">
        <f>IF('Marks Entry'!AN96="","",'Marks Entry'!AN96)</f>
        <v/>
      </c>
      <c r="AO96" s="105" t="str">
        <f t="shared" si="142"/>
        <v/>
      </c>
      <c r="AP96" s="105" t="str">
        <f>IF(AND('Marks Entry'!AO96="",'Marks Entry'!AP96=""),"",SUM('Marks Entry'!AO96:AP96))</f>
        <v/>
      </c>
      <c r="AQ96" s="105" t="str">
        <f>IF('Marks Entry'!AQ96="","",'Marks Entry'!AQ96)</f>
        <v/>
      </c>
      <c r="AR96" s="105" t="str">
        <f t="shared" si="143"/>
        <v/>
      </c>
      <c r="AS96" s="105" t="str">
        <f t="shared" si="144"/>
        <v/>
      </c>
      <c r="AT96" s="105" t="str">
        <f t="shared" si="145"/>
        <v/>
      </c>
      <c r="AU96" s="105" t="str">
        <f t="shared" si="146"/>
        <v/>
      </c>
      <c r="AV96" s="47" t="str">
        <f>IF(B96="","",IF('Marks Entry'!AS96="",'Marks Entry'!$AS$4,'Marks Entry'!AS96))</f>
        <v/>
      </c>
      <c r="AW96" s="105" t="str">
        <f>IF('Marks Entry'!AT96="","",'Marks Entry'!AT96)</f>
        <v/>
      </c>
      <c r="AX96" s="105" t="str">
        <f>IF('Marks Entry'!AU96="","",'Marks Entry'!AU96)</f>
        <v/>
      </c>
      <c r="AY96" s="105" t="str">
        <f>IF(AND('Marks Entry'!AV96="",'Marks Entry'!AW96=""),"",SUM('Marks Entry'!AV96:AW96))</f>
        <v/>
      </c>
      <c r="AZ96" s="105" t="str">
        <f>IF('Marks Entry'!AX96="","",'Marks Entry'!AX96)</f>
        <v/>
      </c>
      <c r="BA96" s="105">
        <f t="shared" si="147"/>
        <v>0</v>
      </c>
      <c r="BB96" s="105" t="str">
        <f>IF(AND('Marks Entry'!AY96="",'Marks Entry'!AZ96=""),"",SUM('Marks Entry'!AY96:AZ96))</f>
        <v/>
      </c>
      <c r="BC96" s="105" t="str">
        <f>IF('Marks Entry'!BA96="","",'Marks Entry'!BA96)</f>
        <v/>
      </c>
      <c r="BD96" s="105">
        <f t="shared" si="148"/>
        <v>0</v>
      </c>
      <c r="BE96" s="105">
        <f t="shared" si="149"/>
        <v>0</v>
      </c>
      <c r="BF96" s="105" t="str">
        <f t="shared" si="150"/>
        <v/>
      </c>
      <c r="BG96" s="105" t="str">
        <f t="shared" si="151"/>
        <v/>
      </c>
      <c r="BH96" s="105" t="str">
        <f t="shared" si="152"/>
        <v/>
      </c>
      <c r="BI96" s="50" t="str">
        <f t="shared" si="102"/>
        <v/>
      </c>
      <c r="BJ96" s="47" t="str">
        <f t="shared" si="103"/>
        <v/>
      </c>
      <c r="BK96" s="105" t="str">
        <f t="shared" si="153"/>
        <v/>
      </c>
      <c r="BL96" s="105" t="str">
        <f t="shared" si="154"/>
        <v/>
      </c>
      <c r="BM96" s="105" t="str">
        <f>IF(OR(B96="",'Marks Entry'!BY96=""),"",'Marks Entry'!BY96)</f>
        <v/>
      </c>
      <c r="BN96" s="105" t="str">
        <f>IF(OR(B96="",'Marks Entry'!BZ96=""),"",'Marks Entry'!BZ96)</f>
        <v/>
      </c>
      <c r="BO96" s="105" t="str">
        <f>IF('Marks Entry'!BC96="","",'Marks Entry'!BC96)</f>
        <v/>
      </c>
      <c r="BP96" s="105" t="str">
        <f>IF('Marks Entry'!BD96="","",'Marks Entry'!BD96)</f>
        <v/>
      </c>
      <c r="BQ96" s="105" t="str">
        <f>IF(AND('Marks Entry'!BE96="",'Marks Entry'!BF96=""),"",SUM('Marks Entry'!BE96:BF96))</f>
        <v/>
      </c>
      <c r="BR96" s="105" t="str">
        <f>IF(AND('Marks Entry'!BG96="",'Marks Entry'!BH96=""),"",SUM('Marks Entry'!BG96:BH96))</f>
        <v/>
      </c>
      <c r="BS96" s="105" t="str">
        <f t="shared" si="155"/>
        <v/>
      </c>
      <c r="BT96" s="105" t="str">
        <f t="shared" si="156"/>
        <v/>
      </c>
      <c r="BU96" s="105" t="str">
        <f t="shared" si="157"/>
        <v/>
      </c>
      <c r="BV96" s="105" t="str">
        <f>IF('Marks Entry'!BJ96="","",'Marks Entry'!BJ96)</f>
        <v/>
      </c>
      <c r="BW96" s="105" t="str">
        <f>IF('Marks Entry'!BK96="","",'Marks Entry'!BK96)</f>
        <v/>
      </c>
      <c r="BX96" s="105" t="str">
        <f>IF(AND('Marks Entry'!BL96="",'Marks Entry'!BM96=""),"",SUM('Marks Entry'!BL96:BM96))</f>
        <v/>
      </c>
      <c r="BY96" s="105" t="str">
        <f>IF(AND('Marks Entry'!BN96="",'Marks Entry'!BO96=""),"",SUM('Marks Entry'!BN96:BO96))</f>
        <v/>
      </c>
      <c r="BZ96" s="105" t="str">
        <f t="shared" si="158"/>
        <v/>
      </c>
      <c r="CA96" s="105" t="str">
        <f t="shared" si="159"/>
        <v/>
      </c>
      <c r="CB96" s="105" t="str">
        <f t="shared" si="160"/>
        <v/>
      </c>
      <c r="CC96" s="105" t="str">
        <f>IF('Marks Entry'!BQ96="","",'Marks Entry'!BQ96)</f>
        <v/>
      </c>
      <c r="CD96" s="105" t="str">
        <f>IF('Marks Entry'!BR96="","",'Marks Entry'!BR96)</f>
        <v/>
      </c>
      <c r="CE96" s="105" t="str">
        <f>IF(AND('Marks Entry'!BS96="",'Marks Entry'!BT96=""),"",SUM('Marks Entry'!BS96:BT96))</f>
        <v/>
      </c>
      <c r="CF96" s="105" t="str">
        <f>IF(AND('Marks Entry'!BU96="",'Marks Entry'!BV96=""),"",SUM('Marks Entry'!BU96:BV96))</f>
        <v/>
      </c>
      <c r="CG96" s="105" t="str">
        <f t="shared" si="161"/>
        <v/>
      </c>
      <c r="CH96" s="105" t="str">
        <f t="shared" si="162"/>
        <v/>
      </c>
      <c r="CI96" s="105" t="str">
        <f t="shared" si="163"/>
        <v/>
      </c>
      <c r="CJ96" s="81"/>
      <c r="CK96" s="50" t="str">
        <f t="shared" si="104"/>
        <v/>
      </c>
      <c r="CM96" s="105" t="str">
        <f t="shared" si="105"/>
        <v/>
      </c>
      <c r="CN96" s="105" t="str">
        <f t="shared" si="106"/>
        <v/>
      </c>
      <c r="CO96" s="105" t="str">
        <f t="shared" si="107"/>
        <v/>
      </c>
      <c r="CP96" s="105" t="str">
        <f t="shared" si="108"/>
        <v/>
      </c>
      <c r="CQ96" s="105" t="str">
        <f t="shared" si="109"/>
        <v/>
      </c>
      <c r="CS96" s="105">
        <f t="shared" si="110"/>
        <v>0</v>
      </c>
      <c r="CT96" s="105">
        <f t="shared" si="111"/>
        <v>0</v>
      </c>
      <c r="CU96" s="105">
        <f t="shared" si="112"/>
        <v>0</v>
      </c>
      <c r="CV96" s="105">
        <f t="shared" si="113"/>
        <v>0</v>
      </c>
      <c r="CW96" s="81"/>
      <c r="CX96" s="105" t="str">
        <f t="shared" si="114"/>
        <v/>
      </c>
      <c r="CY96" s="105" t="str">
        <f t="shared" si="115"/>
        <v/>
      </c>
      <c r="CZ96" s="105" t="str">
        <f t="shared" si="116"/>
        <v/>
      </c>
      <c r="DA96" s="105" t="str">
        <f t="shared" si="117"/>
        <v/>
      </c>
      <c r="DB96" s="105" t="str">
        <f t="shared" si="118"/>
        <v/>
      </c>
      <c r="DD96" s="105" t="str">
        <f t="shared" si="119"/>
        <v/>
      </c>
      <c r="DE96" s="105" t="str">
        <f t="shared" si="120"/>
        <v/>
      </c>
      <c r="DF96" s="105" t="str">
        <f t="shared" si="121"/>
        <v/>
      </c>
      <c r="DG96" s="105" t="str">
        <f t="shared" si="122"/>
        <v/>
      </c>
      <c r="DH96" s="105" t="str">
        <f t="shared" si="123"/>
        <v/>
      </c>
      <c r="DI96" s="105" t="str">
        <f t="shared" si="124"/>
        <v/>
      </c>
      <c r="DJ96" s="105" t="str">
        <f t="shared" si="125"/>
        <v/>
      </c>
      <c r="DK96" s="105" t="str">
        <f t="shared" si="126"/>
        <v/>
      </c>
      <c r="DL96" s="105" t="str">
        <f t="shared" si="127"/>
        <v/>
      </c>
      <c r="DM96" s="105" t="str">
        <f t="shared" si="128"/>
        <v/>
      </c>
      <c r="DN96" s="105" t="str">
        <f t="shared" si="129"/>
        <v/>
      </c>
      <c r="DO96" s="105" t="str">
        <f t="shared" si="130"/>
        <v/>
      </c>
      <c r="DP96" s="105" t="str">
        <f t="shared" si="131"/>
        <v/>
      </c>
      <c r="DR96" s="118" t="str">
        <f t="shared" si="164"/>
        <v xml:space="preserve">    </v>
      </c>
      <c r="DS96" s="75"/>
      <c r="DT96" s="119" t="str">
        <f t="shared" si="165"/>
        <v xml:space="preserve">    </v>
      </c>
      <c r="DU96" s="136"/>
      <c r="DV96" s="119" t="str">
        <f t="shared" si="166"/>
        <v xml:space="preserve">    </v>
      </c>
      <c r="DW96" s="75"/>
      <c r="DX96" s="119" t="str">
        <f t="shared" si="167"/>
        <v xml:space="preserve">     </v>
      </c>
      <c r="DY96" s="75"/>
      <c r="DZ96" s="119" t="str">
        <f t="shared" si="168"/>
        <v xml:space="preserve">    </v>
      </c>
    </row>
    <row r="97" spans="1:130" ht="30" customHeight="1" x14ac:dyDescent="0.25">
      <c r="A97" s="105" t="str">
        <f>IF('Marks Entry'!A97="","",'Marks Entry'!A97)</f>
        <v/>
      </c>
      <c r="B97" s="105" t="str">
        <f>IF('Marks Entry'!B97="","",'Marks Entry'!B97)</f>
        <v/>
      </c>
      <c r="C97" s="105" t="str">
        <f>IF('Marks Entry'!C97="","",'Marks Entry'!C97)</f>
        <v/>
      </c>
      <c r="D97" s="48" t="str">
        <f>IF('Marks Entry'!D97="","",'Marks Entry'!D97)</f>
        <v/>
      </c>
      <c r="E97" s="48" t="str">
        <f>IF('Marks Entry'!E97="","",'Marks Entry'!E97)</f>
        <v/>
      </c>
      <c r="F97" s="48" t="str">
        <f>IF('Marks Entry'!F97="","",'Marks Entry'!F97)</f>
        <v/>
      </c>
      <c r="G97" s="105" t="str">
        <f>IF('Marks Entry'!G97="","",'Marks Entry'!G97)</f>
        <v/>
      </c>
      <c r="H97" s="49" t="str">
        <f>IF('Marks Entry'!H97="","",'Marks Entry'!H97)</f>
        <v/>
      </c>
      <c r="I97" s="105" t="str">
        <f>IF('Marks Entry'!I97="","",'Marks Entry'!I97)</f>
        <v/>
      </c>
      <c r="J97" s="105" t="str">
        <f>IF('Marks Entry'!K97="","",'Marks Entry'!K97)</f>
        <v/>
      </c>
      <c r="K97" s="105" t="str">
        <f>IF('Marks Entry'!L97="","",'Marks Entry'!L97)</f>
        <v/>
      </c>
      <c r="L97" s="105" t="str">
        <f>IF(AND('Marks Entry'!M97="",'Marks Entry'!N97=""),"",SUM('Marks Entry'!M97:N97))</f>
        <v/>
      </c>
      <c r="M97" s="105" t="str">
        <f>IF(AND('Marks Entry'!O97="",'Marks Entry'!P97=""),"",SUM('Marks Entry'!O97:P97))</f>
        <v/>
      </c>
      <c r="N97" s="105" t="str">
        <f t="shared" si="101"/>
        <v/>
      </c>
      <c r="O97" s="105" t="str">
        <f t="shared" si="132"/>
        <v/>
      </c>
      <c r="P97" s="105" t="str">
        <f t="shared" si="133"/>
        <v/>
      </c>
      <c r="Q97" s="105" t="str">
        <f>IF('Marks Entry'!R97="","",'Marks Entry'!R97)</f>
        <v/>
      </c>
      <c r="R97" s="105" t="str">
        <f>IF('Marks Entry'!S97="","",'Marks Entry'!S97)</f>
        <v/>
      </c>
      <c r="S97" s="105" t="str">
        <f>IF(AND('Marks Entry'!T97="",'Marks Entry'!U97=""),"",SUM('Marks Entry'!T97:U97))</f>
        <v/>
      </c>
      <c r="T97" s="105" t="str">
        <f>IF(AND('Marks Entry'!V97="",'Marks Entry'!W97=""),"",SUM('Marks Entry'!V97:W97))</f>
        <v/>
      </c>
      <c r="U97" s="105" t="str">
        <f t="shared" si="134"/>
        <v/>
      </c>
      <c r="V97" s="105" t="str">
        <f t="shared" si="135"/>
        <v/>
      </c>
      <c r="W97" s="105" t="str">
        <f t="shared" si="136"/>
        <v/>
      </c>
      <c r="X97" s="47" t="str">
        <f>IF(B97="","",IF('Marks Entry'!Y97="",'Marks Entry'!$Y$4,'Marks Entry'!Y97))</f>
        <v/>
      </c>
      <c r="Y97" s="105" t="str">
        <f>IF('Marks Entry'!Z97="","",'Marks Entry'!Z97)</f>
        <v/>
      </c>
      <c r="Z97" s="105" t="str">
        <f>IF('Marks Entry'!AA97="","",'Marks Entry'!AA97)</f>
        <v/>
      </c>
      <c r="AA97" s="105" t="str">
        <f>IF(AND('Marks Entry'!AB97="",'Marks Entry'!AC97=""),"",SUM('Marks Entry'!AB97:AC97))</f>
        <v/>
      </c>
      <c r="AB97" s="105" t="str">
        <f>IF('Marks Entry'!AD97="","",'Marks Entry'!AD97)</f>
        <v/>
      </c>
      <c r="AC97" s="105" t="str">
        <f t="shared" si="137"/>
        <v/>
      </c>
      <c r="AD97" s="105" t="str">
        <f>IF(AND('Marks Entry'!AE97="",'Marks Entry'!AF97=""),"",SUM('Marks Entry'!AE97:AF97))</f>
        <v/>
      </c>
      <c r="AE97" s="105" t="str">
        <f>IF('Marks Entry'!AG97="","",'Marks Entry'!AG97)</f>
        <v/>
      </c>
      <c r="AF97" s="105" t="str">
        <f t="shared" si="138"/>
        <v/>
      </c>
      <c r="AG97" s="105" t="str">
        <f t="shared" si="139"/>
        <v/>
      </c>
      <c r="AH97" s="105" t="str">
        <f t="shared" si="140"/>
        <v/>
      </c>
      <c r="AI97" s="105" t="str">
        <f t="shared" si="141"/>
        <v/>
      </c>
      <c r="AJ97" s="47" t="str">
        <f>IF(B97="","",IF('Marks Entry'!AI97="",'Marks Entry'!$AI$4,'Marks Entry'!AI97))</f>
        <v/>
      </c>
      <c r="AK97" s="105" t="str">
        <f>IF('Marks Entry'!AJ97="","",'Marks Entry'!AJ97)</f>
        <v/>
      </c>
      <c r="AL97" s="105" t="str">
        <f>IF('Marks Entry'!AK97="","",'Marks Entry'!AK97)</f>
        <v/>
      </c>
      <c r="AM97" s="105" t="str">
        <f>IF(AND('Marks Entry'!AL97="",'Marks Entry'!AM97=""),"",SUM('Marks Entry'!AL97:AM97))</f>
        <v/>
      </c>
      <c r="AN97" s="105" t="str">
        <f>IF('Marks Entry'!AN97="","",'Marks Entry'!AN97)</f>
        <v/>
      </c>
      <c r="AO97" s="105" t="str">
        <f t="shared" si="142"/>
        <v/>
      </c>
      <c r="AP97" s="105" t="str">
        <f>IF(AND('Marks Entry'!AO97="",'Marks Entry'!AP97=""),"",SUM('Marks Entry'!AO97:AP97))</f>
        <v/>
      </c>
      <c r="AQ97" s="105" t="str">
        <f>IF('Marks Entry'!AQ97="","",'Marks Entry'!AQ97)</f>
        <v/>
      </c>
      <c r="AR97" s="105" t="str">
        <f t="shared" si="143"/>
        <v/>
      </c>
      <c r="AS97" s="105" t="str">
        <f t="shared" si="144"/>
        <v/>
      </c>
      <c r="AT97" s="105" t="str">
        <f t="shared" si="145"/>
        <v/>
      </c>
      <c r="AU97" s="105" t="str">
        <f t="shared" si="146"/>
        <v/>
      </c>
      <c r="AV97" s="47" t="str">
        <f>IF(B97="","",IF('Marks Entry'!AS97="",'Marks Entry'!$AS$4,'Marks Entry'!AS97))</f>
        <v/>
      </c>
      <c r="AW97" s="105" t="str">
        <f>IF('Marks Entry'!AT97="","",'Marks Entry'!AT97)</f>
        <v/>
      </c>
      <c r="AX97" s="105" t="str">
        <f>IF('Marks Entry'!AU97="","",'Marks Entry'!AU97)</f>
        <v/>
      </c>
      <c r="AY97" s="105" t="str">
        <f>IF(AND('Marks Entry'!AV97="",'Marks Entry'!AW97=""),"",SUM('Marks Entry'!AV97:AW97))</f>
        <v/>
      </c>
      <c r="AZ97" s="105" t="str">
        <f>IF('Marks Entry'!AX97="","",'Marks Entry'!AX97)</f>
        <v/>
      </c>
      <c r="BA97" s="105">
        <f t="shared" si="147"/>
        <v>0</v>
      </c>
      <c r="BB97" s="105" t="str">
        <f>IF(AND('Marks Entry'!AY97="",'Marks Entry'!AZ97=""),"",SUM('Marks Entry'!AY97:AZ97))</f>
        <v/>
      </c>
      <c r="BC97" s="105" t="str">
        <f>IF('Marks Entry'!BA97="","",'Marks Entry'!BA97)</f>
        <v/>
      </c>
      <c r="BD97" s="105">
        <f t="shared" si="148"/>
        <v>0</v>
      </c>
      <c r="BE97" s="105">
        <f t="shared" si="149"/>
        <v>0</v>
      </c>
      <c r="BF97" s="105" t="str">
        <f t="shared" si="150"/>
        <v/>
      </c>
      <c r="BG97" s="105" t="str">
        <f t="shared" si="151"/>
        <v/>
      </c>
      <c r="BH97" s="105" t="str">
        <f t="shared" si="152"/>
        <v/>
      </c>
      <c r="BI97" s="50" t="str">
        <f t="shared" si="102"/>
        <v/>
      </c>
      <c r="BJ97" s="47" t="str">
        <f t="shared" si="103"/>
        <v/>
      </c>
      <c r="BK97" s="105" t="str">
        <f t="shared" si="153"/>
        <v/>
      </c>
      <c r="BL97" s="105" t="str">
        <f t="shared" si="154"/>
        <v/>
      </c>
      <c r="BM97" s="105" t="str">
        <f>IF(OR(B97="",'Marks Entry'!BY97=""),"",'Marks Entry'!BY97)</f>
        <v/>
      </c>
      <c r="BN97" s="105" t="str">
        <f>IF(OR(B97="",'Marks Entry'!BZ97=""),"",'Marks Entry'!BZ97)</f>
        <v/>
      </c>
      <c r="BO97" s="105" t="str">
        <f>IF('Marks Entry'!BC97="","",'Marks Entry'!BC97)</f>
        <v/>
      </c>
      <c r="BP97" s="105" t="str">
        <f>IF('Marks Entry'!BD97="","",'Marks Entry'!BD97)</f>
        <v/>
      </c>
      <c r="BQ97" s="105" t="str">
        <f>IF(AND('Marks Entry'!BE97="",'Marks Entry'!BF97=""),"",SUM('Marks Entry'!BE97:BF97))</f>
        <v/>
      </c>
      <c r="BR97" s="105" t="str">
        <f>IF(AND('Marks Entry'!BG97="",'Marks Entry'!BH97=""),"",SUM('Marks Entry'!BG97:BH97))</f>
        <v/>
      </c>
      <c r="BS97" s="105" t="str">
        <f t="shared" si="155"/>
        <v/>
      </c>
      <c r="BT97" s="105" t="str">
        <f t="shared" si="156"/>
        <v/>
      </c>
      <c r="BU97" s="105" t="str">
        <f t="shared" si="157"/>
        <v/>
      </c>
      <c r="BV97" s="105" t="str">
        <f>IF('Marks Entry'!BJ97="","",'Marks Entry'!BJ97)</f>
        <v/>
      </c>
      <c r="BW97" s="105" t="str">
        <f>IF('Marks Entry'!BK97="","",'Marks Entry'!BK97)</f>
        <v/>
      </c>
      <c r="BX97" s="105" t="str">
        <f>IF(AND('Marks Entry'!BL97="",'Marks Entry'!BM97=""),"",SUM('Marks Entry'!BL97:BM97))</f>
        <v/>
      </c>
      <c r="BY97" s="105" t="str">
        <f>IF(AND('Marks Entry'!BN97="",'Marks Entry'!BO97=""),"",SUM('Marks Entry'!BN97:BO97))</f>
        <v/>
      </c>
      <c r="BZ97" s="105" t="str">
        <f t="shared" si="158"/>
        <v/>
      </c>
      <c r="CA97" s="105" t="str">
        <f t="shared" si="159"/>
        <v/>
      </c>
      <c r="CB97" s="105" t="str">
        <f t="shared" si="160"/>
        <v/>
      </c>
      <c r="CC97" s="105" t="str">
        <f>IF('Marks Entry'!BQ97="","",'Marks Entry'!BQ97)</f>
        <v/>
      </c>
      <c r="CD97" s="105" t="str">
        <f>IF('Marks Entry'!BR97="","",'Marks Entry'!BR97)</f>
        <v/>
      </c>
      <c r="CE97" s="105" t="str">
        <f>IF(AND('Marks Entry'!BS97="",'Marks Entry'!BT97=""),"",SUM('Marks Entry'!BS97:BT97))</f>
        <v/>
      </c>
      <c r="CF97" s="105" t="str">
        <f>IF(AND('Marks Entry'!BU97="",'Marks Entry'!BV97=""),"",SUM('Marks Entry'!BU97:BV97))</f>
        <v/>
      </c>
      <c r="CG97" s="105" t="str">
        <f t="shared" si="161"/>
        <v/>
      </c>
      <c r="CH97" s="105" t="str">
        <f t="shared" si="162"/>
        <v/>
      </c>
      <c r="CI97" s="105" t="str">
        <f t="shared" si="163"/>
        <v/>
      </c>
      <c r="CJ97" s="81"/>
      <c r="CK97" s="50" t="str">
        <f t="shared" si="104"/>
        <v/>
      </c>
      <c r="CM97" s="105" t="str">
        <f t="shared" si="105"/>
        <v/>
      </c>
      <c r="CN97" s="105" t="str">
        <f t="shared" si="106"/>
        <v/>
      </c>
      <c r="CO97" s="105" t="str">
        <f t="shared" si="107"/>
        <v/>
      </c>
      <c r="CP97" s="105" t="str">
        <f t="shared" si="108"/>
        <v/>
      </c>
      <c r="CQ97" s="105" t="str">
        <f t="shared" si="109"/>
        <v/>
      </c>
      <c r="CS97" s="105">
        <f t="shared" si="110"/>
        <v>0</v>
      </c>
      <c r="CT97" s="105">
        <f t="shared" si="111"/>
        <v>0</v>
      </c>
      <c r="CU97" s="105">
        <f t="shared" si="112"/>
        <v>0</v>
      </c>
      <c r="CV97" s="105">
        <f t="shared" si="113"/>
        <v>0</v>
      </c>
      <c r="CW97" s="81"/>
      <c r="CX97" s="105" t="str">
        <f t="shared" si="114"/>
        <v/>
      </c>
      <c r="CY97" s="105" t="str">
        <f t="shared" si="115"/>
        <v/>
      </c>
      <c r="CZ97" s="105" t="str">
        <f t="shared" si="116"/>
        <v/>
      </c>
      <c r="DA97" s="105" t="str">
        <f t="shared" si="117"/>
        <v/>
      </c>
      <c r="DB97" s="105" t="str">
        <f t="shared" si="118"/>
        <v/>
      </c>
      <c r="DD97" s="105" t="str">
        <f t="shared" si="119"/>
        <v/>
      </c>
      <c r="DE97" s="105" t="str">
        <f t="shared" si="120"/>
        <v/>
      </c>
      <c r="DF97" s="105" t="str">
        <f t="shared" si="121"/>
        <v/>
      </c>
      <c r="DG97" s="105" t="str">
        <f t="shared" si="122"/>
        <v/>
      </c>
      <c r="DH97" s="105" t="str">
        <f t="shared" si="123"/>
        <v/>
      </c>
      <c r="DI97" s="105" t="str">
        <f t="shared" si="124"/>
        <v/>
      </c>
      <c r="DJ97" s="105" t="str">
        <f t="shared" si="125"/>
        <v/>
      </c>
      <c r="DK97" s="105" t="str">
        <f t="shared" si="126"/>
        <v/>
      </c>
      <c r="DL97" s="105" t="str">
        <f t="shared" si="127"/>
        <v/>
      </c>
      <c r="DM97" s="105" t="str">
        <f t="shared" si="128"/>
        <v/>
      </c>
      <c r="DN97" s="105" t="str">
        <f t="shared" si="129"/>
        <v/>
      </c>
      <c r="DO97" s="105" t="str">
        <f t="shared" si="130"/>
        <v/>
      </c>
      <c r="DP97" s="105" t="str">
        <f t="shared" si="131"/>
        <v/>
      </c>
      <c r="DR97" s="118" t="str">
        <f t="shared" si="164"/>
        <v xml:space="preserve">    </v>
      </c>
      <c r="DS97" s="75"/>
      <c r="DT97" s="119" t="str">
        <f t="shared" si="165"/>
        <v xml:space="preserve">    </v>
      </c>
      <c r="DU97" s="136"/>
      <c r="DV97" s="119" t="str">
        <f t="shared" si="166"/>
        <v xml:space="preserve">    </v>
      </c>
      <c r="DW97" s="75"/>
      <c r="DX97" s="119" t="str">
        <f t="shared" si="167"/>
        <v xml:space="preserve">     </v>
      </c>
      <c r="DY97" s="75"/>
      <c r="DZ97" s="119" t="str">
        <f t="shared" si="168"/>
        <v xml:space="preserve">    </v>
      </c>
    </row>
    <row r="98" spans="1:130" ht="30" customHeight="1" x14ac:dyDescent="0.25">
      <c r="A98" s="105" t="str">
        <f>IF('Marks Entry'!A98="","",'Marks Entry'!A98)</f>
        <v/>
      </c>
      <c r="B98" s="105" t="str">
        <f>IF('Marks Entry'!B98="","",'Marks Entry'!B98)</f>
        <v/>
      </c>
      <c r="C98" s="105" t="str">
        <f>IF('Marks Entry'!C98="","",'Marks Entry'!C98)</f>
        <v/>
      </c>
      <c r="D98" s="48" t="str">
        <f>IF('Marks Entry'!D98="","",'Marks Entry'!D98)</f>
        <v/>
      </c>
      <c r="E98" s="48" t="str">
        <f>IF('Marks Entry'!E98="","",'Marks Entry'!E98)</f>
        <v/>
      </c>
      <c r="F98" s="48" t="str">
        <f>IF('Marks Entry'!F98="","",'Marks Entry'!F98)</f>
        <v/>
      </c>
      <c r="G98" s="105" t="str">
        <f>IF('Marks Entry'!G98="","",'Marks Entry'!G98)</f>
        <v/>
      </c>
      <c r="H98" s="49" t="str">
        <f>IF('Marks Entry'!H98="","",'Marks Entry'!H98)</f>
        <v/>
      </c>
      <c r="I98" s="105" t="str">
        <f>IF('Marks Entry'!I98="","",'Marks Entry'!I98)</f>
        <v/>
      </c>
      <c r="J98" s="105" t="str">
        <f>IF('Marks Entry'!K98="","",'Marks Entry'!K98)</f>
        <v/>
      </c>
      <c r="K98" s="105" t="str">
        <f>IF('Marks Entry'!L98="","",'Marks Entry'!L98)</f>
        <v/>
      </c>
      <c r="L98" s="105" t="str">
        <f>IF(AND('Marks Entry'!M98="",'Marks Entry'!N98=""),"",SUM('Marks Entry'!M98:N98))</f>
        <v/>
      </c>
      <c r="M98" s="105" t="str">
        <f>IF(AND('Marks Entry'!O98="",'Marks Entry'!P98=""),"",SUM('Marks Entry'!O98:P98))</f>
        <v/>
      </c>
      <c r="N98" s="105" t="str">
        <f t="shared" si="101"/>
        <v/>
      </c>
      <c r="O98" s="105" t="str">
        <f t="shared" si="132"/>
        <v/>
      </c>
      <c r="P98" s="105" t="str">
        <f t="shared" si="133"/>
        <v/>
      </c>
      <c r="Q98" s="105" t="str">
        <f>IF('Marks Entry'!R98="","",'Marks Entry'!R98)</f>
        <v/>
      </c>
      <c r="R98" s="105" t="str">
        <f>IF('Marks Entry'!S98="","",'Marks Entry'!S98)</f>
        <v/>
      </c>
      <c r="S98" s="105" t="str">
        <f>IF(AND('Marks Entry'!T98="",'Marks Entry'!U98=""),"",SUM('Marks Entry'!T98:U98))</f>
        <v/>
      </c>
      <c r="T98" s="105" t="str">
        <f>IF(AND('Marks Entry'!V98="",'Marks Entry'!W98=""),"",SUM('Marks Entry'!V98:W98))</f>
        <v/>
      </c>
      <c r="U98" s="105" t="str">
        <f t="shared" si="134"/>
        <v/>
      </c>
      <c r="V98" s="105" t="str">
        <f t="shared" si="135"/>
        <v/>
      </c>
      <c r="W98" s="105" t="str">
        <f t="shared" si="136"/>
        <v/>
      </c>
      <c r="X98" s="47" t="str">
        <f>IF(B98="","",IF('Marks Entry'!Y98="",'Marks Entry'!$Y$4,'Marks Entry'!Y98))</f>
        <v/>
      </c>
      <c r="Y98" s="105" t="str">
        <f>IF('Marks Entry'!Z98="","",'Marks Entry'!Z98)</f>
        <v/>
      </c>
      <c r="Z98" s="105" t="str">
        <f>IF('Marks Entry'!AA98="","",'Marks Entry'!AA98)</f>
        <v/>
      </c>
      <c r="AA98" s="105" t="str">
        <f>IF(AND('Marks Entry'!AB98="",'Marks Entry'!AC98=""),"",SUM('Marks Entry'!AB98:AC98))</f>
        <v/>
      </c>
      <c r="AB98" s="105" t="str">
        <f>IF('Marks Entry'!AD98="","",'Marks Entry'!AD98)</f>
        <v/>
      </c>
      <c r="AC98" s="105" t="str">
        <f t="shared" si="137"/>
        <v/>
      </c>
      <c r="AD98" s="105" t="str">
        <f>IF(AND('Marks Entry'!AE98="",'Marks Entry'!AF98=""),"",SUM('Marks Entry'!AE98:AF98))</f>
        <v/>
      </c>
      <c r="AE98" s="105" t="str">
        <f>IF('Marks Entry'!AG98="","",'Marks Entry'!AG98)</f>
        <v/>
      </c>
      <c r="AF98" s="105" t="str">
        <f t="shared" si="138"/>
        <v/>
      </c>
      <c r="AG98" s="105" t="str">
        <f t="shared" si="139"/>
        <v/>
      </c>
      <c r="AH98" s="105" t="str">
        <f t="shared" si="140"/>
        <v/>
      </c>
      <c r="AI98" s="105" t="str">
        <f t="shared" si="141"/>
        <v/>
      </c>
      <c r="AJ98" s="47" t="str">
        <f>IF(B98="","",IF('Marks Entry'!AI98="",'Marks Entry'!$AI$4,'Marks Entry'!AI98))</f>
        <v/>
      </c>
      <c r="AK98" s="105" t="str">
        <f>IF('Marks Entry'!AJ98="","",'Marks Entry'!AJ98)</f>
        <v/>
      </c>
      <c r="AL98" s="105" t="str">
        <f>IF('Marks Entry'!AK98="","",'Marks Entry'!AK98)</f>
        <v/>
      </c>
      <c r="AM98" s="105" t="str">
        <f>IF(AND('Marks Entry'!AL98="",'Marks Entry'!AM98=""),"",SUM('Marks Entry'!AL98:AM98))</f>
        <v/>
      </c>
      <c r="AN98" s="105" t="str">
        <f>IF('Marks Entry'!AN98="","",'Marks Entry'!AN98)</f>
        <v/>
      </c>
      <c r="AO98" s="105" t="str">
        <f t="shared" si="142"/>
        <v/>
      </c>
      <c r="AP98" s="105" t="str">
        <f>IF(AND('Marks Entry'!AO98="",'Marks Entry'!AP98=""),"",SUM('Marks Entry'!AO98:AP98))</f>
        <v/>
      </c>
      <c r="AQ98" s="105" t="str">
        <f>IF('Marks Entry'!AQ98="","",'Marks Entry'!AQ98)</f>
        <v/>
      </c>
      <c r="AR98" s="105" t="str">
        <f t="shared" si="143"/>
        <v/>
      </c>
      <c r="AS98" s="105" t="str">
        <f t="shared" si="144"/>
        <v/>
      </c>
      <c r="AT98" s="105" t="str">
        <f t="shared" si="145"/>
        <v/>
      </c>
      <c r="AU98" s="105" t="str">
        <f t="shared" si="146"/>
        <v/>
      </c>
      <c r="AV98" s="47" t="str">
        <f>IF(B98="","",IF('Marks Entry'!AS98="",'Marks Entry'!$AS$4,'Marks Entry'!AS98))</f>
        <v/>
      </c>
      <c r="AW98" s="105" t="str">
        <f>IF('Marks Entry'!AT98="","",'Marks Entry'!AT98)</f>
        <v/>
      </c>
      <c r="AX98" s="105" t="str">
        <f>IF('Marks Entry'!AU98="","",'Marks Entry'!AU98)</f>
        <v/>
      </c>
      <c r="AY98" s="105" t="str">
        <f>IF(AND('Marks Entry'!AV98="",'Marks Entry'!AW98=""),"",SUM('Marks Entry'!AV98:AW98))</f>
        <v/>
      </c>
      <c r="AZ98" s="105" t="str">
        <f>IF('Marks Entry'!AX98="","",'Marks Entry'!AX98)</f>
        <v/>
      </c>
      <c r="BA98" s="105">
        <f t="shared" si="147"/>
        <v>0</v>
      </c>
      <c r="BB98" s="105" t="str">
        <f>IF(AND('Marks Entry'!AY98="",'Marks Entry'!AZ98=""),"",SUM('Marks Entry'!AY98:AZ98))</f>
        <v/>
      </c>
      <c r="BC98" s="105" t="str">
        <f>IF('Marks Entry'!BA98="","",'Marks Entry'!BA98)</f>
        <v/>
      </c>
      <c r="BD98" s="105">
        <f t="shared" si="148"/>
        <v>0</v>
      </c>
      <c r="BE98" s="105">
        <f t="shared" si="149"/>
        <v>0</v>
      </c>
      <c r="BF98" s="105" t="str">
        <f t="shared" si="150"/>
        <v/>
      </c>
      <c r="BG98" s="105" t="str">
        <f t="shared" si="151"/>
        <v/>
      </c>
      <c r="BH98" s="105" t="str">
        <f t="shared" si="152"/>
        <v/>
      </c>
      <c r="BI98" s="50" t="str">
        <f t="shared" si="102"/>
        <v/>
      </c>
      <c r="BJ98" s="47" t="str">
        <f t="shared" si="103"/>
        <v/>
      </c>
      <c r="BK98" s="105" t="str">
        <f t="shared" si="153"/>
        <v/>
      </c>
      <c r="BL98" s="105" t="str">
        <f t="shared" si="154"/>
        <v/>
      </c>
      <c r="BM98" s="105" t="str">
        <f>IF(OR(B98="",'Marks Entry'!BY98=""),"",'Marks Entry'!BY98)</f>
        <v/>
      </c>
      <c r="BN98" s="105" t="str">
        <f>IF(OR(B98="",'Marks Entry'!BZ98=""),"",'Marks Entry'!BZ98)</f>
        <v/>
      </c>
      <c r="BO98" s="105" t="str">
        <f>IF('Marks Entry'!BC98="","",'Marks Entry'!BC98)</f>
        <v/>
      </c>
      <c r="BP98" s="105" t="str">
        <f>IF('Marks Entry'!BD98="","",'Marks Entry'!BD98)</f>
        <v/>
      </c>
      <c r="BQ98" s="105" t="str">
        <f>IF(AND('Marks Entry'!BE98="",'Marks Entry'!BF98=""),"",SUM('Marks Entry'!BE98:BF98))</f>
        <v/>
      </c>
      <c r="BR98" s="105" t="str">
        <f>IF(AND('Marks Entry'!BG98="",'Marks Entry'!BH98=""),"",SUM('Marks Entry'!BG98:BH98))</f>
        <v/>
      </c>
      <c r="BS98" s="105" t="str">
        <f t="shared" si="155"/>
        <v/>
      </c>
      <c r="BT98" s="105" t="str">
        <f t="shared" si="156"/>
        <v/>
      </c>
      <c r="BU98" s="105" t="str">
        <f t="shared" si="157"/>
        <v/>
      </c>
      <c r="BV98" s="105" t="str">
        <f>IF('Marks Entry'!BJ98="","",'Marks Entry'!BJ98)</f>
        <v/>
      </c>
      <c r="BW98" s="105" t="str">
        <f>IF('Marks Entry'!BK98="","",'Marks Entry'!BK98)</f>
        <v/>
      </c>
      <c r="BX98" s="105" t="str">
        <f>IF(AND('Marks Entry'!BL98="",'Marks Entry'!BM98=""),"",SUM('Marks Entry'!BL98:BM98))</f>
        <v/>
      </c>
      <c r="BY98" s="105" t="str">
        <f>IF(AND('Marks Entry'!BN98="",'Marks Entry'!BO98=""),"",SUM('Marks Entry'!BN98:BO98))</f>
        <v/>
      </c>
      <c r="BZ98" s="105" t="str">
        <f t="shared" si="158"/>
        <v/>
      </c>
      <c r="CA98" s="105" t="str">
        <f t="shared" si="159"/>
        <v/>
      </c>
      <c r="CB98" s="105" t="str">
        <f t="shared" si="160"/>
        <v/>
      </c>
      <c r="CC98" s="105" t="str">
        <f>IF('Marks Entry'!BQ98="","",'Marks Entry'!BQ98)</f>
        <v/>
      </c>
      <c r="CD98" s="105" t="str">
        <f>IF('Marks Entry'!BR98="","",'Marks Entry'!BR98)</f>
        <v/>
      </c>
      <c r="CE98" s="105" t="str">
        <f>IF(AND('Marks Entry'!BS98="",'Marks Entry'!BT98=""),"",SUM('Marks Entry'!BS98:BT98))</f>
        <v/>
      </c>
      <c r="CF98" s="105" t="str">
        <f>IF(AND('Marks Entry'!BU98="",'Marks Entry'!BV98=""),"",SUM('Marks Entry'!BU98:BV98))</f>
        <v/>
      </c>
      <c r="CG98" s="105" t="str">
        <f t="shared" si="161"/>
        <v/>
      </c>
      <c r="CH98" s="105" t="str">
        <f t="shared" si="162"/>
        <v/>
      </c>
      <c r="CI98" s="105" t="str">
        <f t="shared" si="163"/>
        <v/>
      </c>
      <c r="CJ98" s="81"/>
      <c r="CK98" s="50" t="str">
        <f t="shared" si="104"/>
        <v/>
      </c>
      <c r="CM98" s="105" t="str">
        <f t="shared" si="105"/>
        <v/>
      </c>
      <c r="CN98" s="105" t="str">
        <f t="shared" si="106"/>
        <v/>
      </c>
      <c r="CO98" s="105" t="str">
        <f t="shared" si="107"/>
        <v/>
      </c>
      <c r="CP98" s="105" t="str">
        <f t="shared" si="108"/>
        <v/>
      </c>
      <c r="CQ98" s="105" t="str">
        <f t="shared" si="109"/>
        <v/>
      </c>
      <c r="CS98" s="105">
        <f t="shared" si="110"/>
        <v>0</v>
      </c>
      <c r="CT98" s="105">
        <f t="shared" si="111"/>
        <v>0</v>
      </c>
      <c r="CU98" s="105">
        <f t="shared" si="112"/>
        <v>0</v>
      </c>
      <c r="CV98" s="105">
        <f t="shared" si="113"/>
        <v>0</v>
      </c>
      <c r="CW98" s="81"/>
      <c r="CX98" s="105" t="str">
        <f t="shared" si="114"/>
        <v/>
      </c>
      <c r="CY98" s="105" t="str">
        <f t="shared" si="115"/>
        <v/>
      </c>
      <c r="CZ98" s="105" t="str">
        <f t="shared" si="116"/>
        <v/>
      </c>
      <c r="DA98" s="105" t="str">
        <f t="shared" si="117"/>
        <v/>
      </c>
      <c r="DB98" s="105" t="str">
        <f t="shared" si="118"/>
        <v/>
      </c>
      <c r="DD98" s="105" t="str">
        <f t="shared" si="119"/>
        <v/>
      </c>
      <c r="DE98" s="105" t="str">
        <f t="shared" si="120"/>
        <v/>
      </c>
      <c r="DF98" s="105" t="str">
        <f t="shared" si="121"/>
        <v/>
      </c>
      <c r="DG98" s="105" t="str">
        <f t="shared" si="122"/>
        <v/>
      </c>
      <c r="DH98" s="105" t="str">
        <f t="shared" si="123"/>
        <v/>
      </c>
      <c r="DI98" s="105" t="str">
        <f t="shared" si="124"/>
        <v/>
      </c>
      <c r="DJ98" s="105" t="str">
        <f t="shared" si="125"/>
        <v/>
      </c>
      <c r="DK98" s="105" t="str">
        <f t="shared" si="126"/>
        <v/>
      </c>
      <c r="DL98" s="105" t="str">
        <f t="shared" si="127"/>
        <v/>
      </c>
      <c r="DM98" s="105" t="str">
        <f t="shared" si="128"/>
        <v/>
      </c>
      <c r="DN98" s="105" t="str">
        <f t="shared" si="129"/>
        <v/>
      </c>
      <c r="DO98" s="105" t="str">
        <f t="shared" si="130"/>
        <v/>
      </c>
      <c r="DP98" s="105" t="str">
        <f t="shared" si="131"/>
        <v/>
      </c>
      <c r="DR98" s="118" t="str">
        <f t="shared" si="164"/>
        <v xml:space="preserve">    </v>
      </c>
      <c r="DS98" s="75"/>
      <c r="DT98" s="119" t="str">
        <f t="shared" si="165"/>
        <v xml:space="preserve">    </v>
      </c>
      <c r="DU98" s="136"/>
      <c r="DV98" s="119" t="str">
        <f t="shared" si="166"/>
        <v xml:space="preserve">    </v>
      </c>
      <c r="DW98" s="75"/>
      <c r="DX98" s="119" t="str">
        <f t="shared" si="167"/>
        <v xml:space="preserve">     </v>
      </c>
      <c r="DY98" s="75"/>
      <c r="DZ98" s="119" t="str">
        <f t="shared" si="168"/>
        <v xml:space="preserve">    </v>
      </c>
    </row>
    <row r="99" spans="1:130" ht="30" customHeight="1" x14ac:dyDescent="0.25">
      <c r="A99" s="105" t="str">
        <f>IF('Marks Entry'!A99="","",'Marks Entry'!A99)</f>
        <v/>
      </c>
      <c r="B99" s="105" t="str">
        <f>IF('Marks Entry'!B99="","",'Marks Entry'!B99)</f>
        <v/>
      </c>
      <c r="C99" s="105" t="str">
        <f>IF('Marks Entry'!C99="","",'Marks Entry'!C99)</f>
        <v/>
      </c>
      <c r="D99" s="48" t="str">
        <f>IF('Marks Entry'!D99="","",'Marks Entry'!D99)</f>
        <v/>
      </c>
      <c r="E99" s="48" t="str">
        <f>IF('Marks Entry'!E99="","",'Marks Entry'!E99)</f>
        <v/>
      </c>
      <c r="F99" s="48" t="str">
        <f>IF('Marks Entry'!F99="","",'Marks Entry'!F99)</f>
        <v/>
      </c>
      <c r="G99" s="105" t="str">
        <f>IF('Marks Entry'!G99="","",'Marks Entry'!G99)</f>
        <v/>
      </c>
      <c r="H99" s="49" t="str">
        <f>IF('Marks Entry'!H99="","",'Marks Entry'!H99)</f>
        <v/>
      </c>
      <c r="I99" s="105" t="str">
        <f>IF('Marks Entry'!I99="","",'Marks Entry'!I99)</f>
        <v/>
      </c>
      <c r="J99" s="105" t="str">
        <f>IF('Marks Entry'!K99="","",'Marks Entry'!K99)</f>
        <v/>
      </c>
      <c r="K99" s="105" t="str">
        <f>IF('Marks Entry'!L99="","",'Marks Entry'!L99)</f>
        <v/>
      </c>
      <c r="L99" s="105" t="str">
        <f>IF(AND('Marks Entry'!M99="",'Marks Entry'!N99=""),"",SUM('Marks Entry'!M99:N99))</f>
        <v/>
      </c>
      <c r="M99" s="105" t="str">
        <f>IF(AND('Marks Entry'!O99="",'Marks Entry'!P99=""),"",SUM('Marks Entry'!O99:P99))</f>
        <v/>
      </c>
      <c r="N99" s="105" t="str">
        <f t="shared" si="101"/>
        <v/>
      </c>
      <c r="O99" s="105" t="str">
        <f t="shared" si="132"/>
        <v/>
      </c>
      <c r="P99" s="105" t="str">
        <f t="shared" si="133"/>
        <v/>
      </c>
      <c r="Q99" s="105" t="str">
        <f>IF('Marks Entry'!R99="","",'Marks Entry'!R99)</f>
        <v/>
      </c>
      <c r="R99" s="105" t="str">
        <f>IF('Marks Entry'!S99="","",'Marks Entry'!S99)</f>
        <v/>
      </c>
      <c r="S99" s="105" t="str">
        <f>IF(AND('Marks Entry'!T99="",'Marks Entry'!U99=""),"",SUM('Marks Entry'!T99:U99))</f>
        <v/>
      </c>
      <c r="T99" s="105" t="str">
        <f>IF(AND('Marks Entry'!V99="",'Marks Entry'!W99=""),"",SUM('Marks Entry'!V99:W99))</f>
        <v/>
      </c>
      <c r="U99" s="105" t="str">
        <f t="shared" si="134"/>
        <v/>
      </c>
      <c r="V99" s="105" t="str">
        <f t="shared" si="135"/>
        <v/>
      </c>
      <c r="W99" s="105" t="str">
        <f t="shared" si="136"/>
        <v/>
      </c>
      <c r="X99" s="47" t="str">
        <f>IF(B99="","",IF('Marks Entry'!Y99="",'Marks Entry'!$Y$4,'Marks Entry'!Y99))</f>
        <v/>
      </c>
      <c r="Y99" s="105" t="str">
        <f>IF('Marks Entry'!Z99="","",'Marks Entry'!Z99)</f>
        <v/>
      </c>
      <c r="Z99" s="105" t="str">
        <f>IF('Marks Entry'!AA99="","",'Marks Entry'!AA99)</f>
        <v/>
      </c>
      <c r="AA99" s="105" t="str">
        <f>IF(AND('Marks Entry'!AB99="",'Marks Entry'!AC99=""),"",SUM('Marks Entry'!AB99:AC99))</f>
        <v/>
      </c>
      <c r="AB99" s="105" t="str">
        <f>IF('Marks Entry'!AD99="","",'Marks Entry'!AD99)</f>
        <v/>
      </c>
      <c r="AC99" s="105" t="str">
        <f t="shared" si="137"/>
        <v/>
      </c>
      <c r="AD99" s="105" t="str">
        <f>IF(AND('Marks Entry'!AE99="",'Marks Entry'!AF99=""),"",SUM('Marks Entry'!AE99:AF99))</f>
        <v/>
      </c>
      <c r="AE99" s="105" t="str">
        <f>IF('Marks Entry'!AG99="","",'Marks Entry'!AG99)</f>
        <v/>
      </c>
      <c r="AF99" s="105" t="str">
        <f t="shared" si="138"/>
        <v/>
      </c>
      <c r="AG99" s="105" t="str">
        <f t="shared" si="139"/>
        <v/>
      </c>
      <c r="AH99" s="105" t="str">
        <f t="shared" si="140"/>
        <v/>
      </c>
      <c r="AI99" s="105" t="str">
        <f t="shared" si="141"/>
        <v/>
      </c>
      <c r="AJ99" s="47" t="str">
        <f>IF(B99="","",IF('Marks Entry'!AI99="",'Marks Entry'!$AI$4,'Marks Entry'!AI99))</f>
        <v/>
      </c>
      <c r="AK99" s="105" t="str">
        <f>IF('Marks Entry'!AJ99="","",'Marks Entry'!AJ99)</f>
        <v/>
      </c>
      <c r="AL99" s="105" t="str">
        <f>IF('Marks Entry'!AK99="","",'Marks Entry'!AK99)</f>
        <v/>
      </c>
      <c r="AM99" s="105" t="str">
        <f>IF(AND('Marks Entry'!AL99="",'Marks Entry'!AM99=""),"",SUM('Marks Entry'!AL99:AM99))</f>
        <v/>
      </c>
      <c r="AN99" s="105" t="str">
        <f>IF('Marks Entry'!AN99="","",'Marks Entry'!AN99)</f>
        <v/>
      </c>
      <c r="AO99" s="105" t="str">
        <f t="shared" si="142"/>
        <v/>
      </c>
      <c r="AP99" s="105" t="str">
        <f>IF(AND('Marks Entry'!AO99="",'Marks Entry'!AP99=""),"",SUM('Marks Entry'!AO99:AP99))</f>
        <v/>
      </c>
      <c r="AQ99" s="105" t="str">
        <f>IF('Marks Entry'!AQ99="","",'Marks Entry'!AQ99)</f>
        <v/>
      </c>
      <c r="AR99" s="105" t="str">
        <f t="shared" si="143"/>
        <v/>
      </c>
      <c r="AS99" s="105" t="str">
        <f t="shared" si="144"/>
        <v/>
      </c>
      <c r="AT99" s="105" t="str">
        <f t="shared" si="145"/>
        <v/>
      </c>
      <c r="AU99" s="105" t="str">
        <f t="shared" si="146"/>
        <v/>
      </c>
      <c r="AV99" s="47" t="str">
        <f>IF(B99="","",IF('Marks Entry'!AS99="",'Marks Entry'!$AS$4,'Marks Entry'!AS99))</f>
        <v/>
      </c>
      <c r="AW99" s="105" t="str">
        <f>IF('Marks Entry'!AT99="","",'Marks Entry'!AT99)</f>
        <v/>
      </c>
      <c r="AX99" s="105" t="str">
        <f>IF('Marks Entry'!AU99="","",'Marks Entry'!AU99)</f>
        <v/>
      </c>
      <c r="AY99" s="105" t="str">
        <f>IF(AND('Marks Entry'!AV99="",'Marks Entry'!AW99=""),"",SUM('Marks Entry'!AV99:AW99))</f>
        <v/>
      </c>
      <c r="AZ99" s="105" t="str">
        <f>IF('Marks Entry'!AX99="","",'Marks Entry'!AX99)</f>
        <v/>
      </c>
      <c r="BA99" s="105">
        <f t="shared" si="147"/>
        <v>0</v>
      </c>
      <c r="BB99" s="105" t="str">
        <f>IF(AND('Marks Entry'!AY99="",'Marks Entry'!AZ99=""),"",SUM('Marks Entry'!AY99:AZ99))</f>
        <v/>
      </c>
      <c r="BC99" s="105" t="str">
        <f>IF('Marks Entry'!BA99="","",'Marks Entry'!BA99)</f>
        <v/>
      </c>
      <c r="BD99" s="105">
        <f t="shared" si="148"/>
        <v>0</v>
      </c>
      <c r="BE99" s="105">
        <f t="shared" si="149"/>
        <v>0</v>
      </c>
      <c r="BF99" s="105" t="str">
        <f t="shared" si="150"/>
        <v/>
      </c>
      <c r="BG99" s="105" t="str">
        <f t="shared" si="151"/>
        <v/>
      </c>
      <c r="BH99" s="105" t="str">
        <f t="shared" si="152"/>
        <v/>
      </c>
      <c r="BI99" s="50" t="str">
        <f t="shared" si="102"/>
        <v/>
      </c>
      <c r="BJ99" s="47" t="str">
        <f t="shared" si="103"/>
        <v/>
      </c>
      <c r="BK99" s="105" t="str">
        <f t="shared" si="153"/>
        <v/>
      </c>
      <c r="BL99" s="105" t="str">
        <f t="shared" si="154"/>
        <v/>
      </c>
      <c r="BM99" s="105" t="str">
        <f>IF(OR(B99="",'Marks Entry'!BY99=""),"",'Marks Entry'!BY99)</f>
        <v/>
      </c>
      <c r="BN99" s="105" t="str">
        <f>IF(OR(B99="",'Marks Entry'!BZ99=""),"",'Marks Entry'!BZ99)</f>
        <v/>
      </c>
      <c r="BO99" s="105" t="str">
        <f>IF('Marks Entry'!BC99="","",'Marks Entry'!BC99)</f>
        <v/>
      </c>
      <c r="BP99" s="105" t="str">
        <f>IF('Marks Entry'!BD99="","",'Marks Entry'!BD99)</f>
        <v/>
      </c>
      <c r="BQ99" s="105" t="str">
        <f>IF(AND('Marks Entry'!BE99="",'Marks Entry'!BF99=""),"",SUM('Marks Entry'!BE99:BF99))</f>
        <v/>
      </c>
      <c r="BR99" s="105" t="str">
        <f>IF(AND('Marks Entry'!BG99="",'Marks Entry'!BH99=""),"",SUM('Marks Entry'!BG99:BH99))</f>
        <v/>
      </c>
      <c r="BS99" s="105" t="str">
        <f t="shared" si="155"/>
        <v/>
      </c>
      <c r="BT99" s="105" t="str">
        <f t="shared" si="156"/>
        <v/>
      </c>
      <c r="BU99" s="105" t="str">
        <f t="shared" si="157"/>
        <v/>
      </c>
      <c r="BV99" s="105" t="str">
        <f>IF('Marks Entry'!BJ99="","",'Marks Entry'!BJ99)</f>
        <v/>
      </c>
      <c r="BW99" s="105" t="str">
        <f>IF('Marks Entry'!BK99="","",'Marks Entry'!BK99)</f>
        <v/>
      </c>
      <c r="BX99" s="105" t="str">
        <f>IF(AND('Marks Entry'!BL99="",'Marks Entry'!BM99=""),"",SUM('Marks Entry'!BL99:BM99))</f>
        <v/>
      </c>
      <c r="BY99" s="105" t="str">
        <f>IF(AND('Marks Entry'!BN99="",'Marks Entry'!BO99=""),"",SUM('Marks Entry'!BN99:BO99))</f>
        <v/>
      </c>
      <c r="BZ99" s="105" t="str">
        <f t="shared" si="158"/>
        <v/>
      </c>
      <c r="CA99" s="105" t="str">
        <f t="shared" si="159"/>
        <v/>
      </c>
      <c r="CB99" s="105" t="str">
        <f t="shared" si="160"/>
        <v/>
      </c>
      <c r="CC99" s="105" t="str">
        <f>IF('Marks Entry'!BQ99="","",'Marks Entry'!BQ99)</f>
        <v/>
      </c>
      <c r="CD99" s="105" t="str">
        <f>IF('Marks Entry'!BR99="","",'Marks Entry'!BR99)</f>
        <v/>
      </c>
      <c r="CE99" s="105" t="str">
        <f>IF(AND('Marks Entry'!BS99="",'Marks Entry'!BT99=""),"",SUM('Marks Entry'!BS99:BT99))</f>
        <v/>
      </c>
      <c r="CF99" s="105" t="str">
        <f>IF(AND('Marks Entry'!BU99="",'Marks Entry'!BV99=""),"",SUM('Marks Entry'!BU99:BV99))</f>
        <v/>
      </c>
      <c r="CG99" s="105" t="str">
        <f t="shared" si="161"/>
        <v/>
      </c>
      <c r="CH99" s="105" t="str">
        <f t="shared" si="162"/>
        <v/>
      </c>
      <c r="CI99" s="105" t="str">
        <f t="shared" si="163"/>
        <v/>
      </c>
      <c r="CJ99" s="81"/>
      <c r="CK99" s="50" t="str">
        <f t="shared" si="104"/>
        <v/>
      </c>
      <c r="CM99" s="105" t="str">
        <f t="shared" si="105"/>
        <v/>
      </c>
      <c r="CN99" s="105" t="str">
        <f t="shared" si="106"/>
        <v/>
      </c>
      <c r="CO99" s="105" t="str">
        <f t="shared" si="107"/>
        <v/>
      </c>
      <c r="CP99" s="105" t="str">
        <f t="shared" si="108"/>
        <v/>
      </c>
      <c r="CQ99" s="105" t="str">
        <f t="shared" si="109"/>
        <v/>
      </c>
      <c r="CS99" s="105">
        <f t="shared" si="110"/>
        <v>0</v>
      </c>
      <c r="CT99" s="105">
        <f t="shared" si="111"/>
        <v>0</v>
      </c>
      <c r="CU99" s="105">
        <f t="shared" si="112"/>
        <v>0</v>
      </c>
      <c r="CV99" s="105">
        <f t="shared" si="113"/>
        <v>0</v>
      </c>
      <c r="CW99" s="81"/>
      <c r="CX99" s="105" t="str">
        <f t="shared" si="114"/>
        <v/>
      </c>
      <c r="CY99" s="105" t="str">
        <f t="shared" si="115"/>
        <v/>
      </c>
      <c r="CZ99" s="105" t="str">
        <f t="shared" si="116"/>
        <v/>
      </c>
      <c r="DA99" s="105" t="str">
        <f t="shared" si="117"/>
        <v/>
      </c>
      <c r="DB99" s="105" t="str">
        <f t="shared" si="118"/>
        <v/>
      </c>
      <c r="DD99" s="105" t="str">
        <f t="shared" si="119"/>
        <v/>
      </c>
      <c r="DE99" s="105" t="str">
        <f t="shared" si="120"/>
        <v/>
      </c>
      <c r="DF99" s="105" t="str">
        <f t="shared" si="121"/>
        <v/>
      </c>
      <c r="DG99" s="105" t="str">
        <f t="shared" si="122"/>
        <v/>
      </c>
      <c r="DH99" s="105" t="str">
        <f t="shared" si="123"/>
        <v/>
      </c>
      <c r="DI99" s="105" t="str">
        <f t="shared" si="124"/>
        <v/>
      </c>
      <c r="DJ99" s="105" t="str">
        <f t="shared" si="125"/>
        <v/>
      </c>
      <c r="DK99" s="105" t="str">
        <f t="shared" si="126"/>
        <v/>
      </c>
      <c r="DL99" s="105" t="str">
        <f t="shared" si="127"/>
        <v/>
      </c>
      <c r="DM99" s="105" t="str">
        <f t="shared" si="128"/>
        <v/>
      </c>
      <c r="DN99" s="105" t="str">
        <f t="shared" si="129"/>
        <v/>
      </c>
      <c r="DO99" s="105" t="str">
        <f t="shared" si="130"/>
        <v/>
      </c>
      <c r="DP99" s="105" t="str">
        <f t="shared" si="131"/>
        <v/>
      </c>
      <c r="DR99" s="118" t="str">
        <f t="shared" si="164"/>
        <v xml:space="preserve">    </v>
      </c>
      <c r="DS99" s="75"/>
      <c r="DT99" s="119" t="str">
        <f t="shared" si="165"/>
        <v xml:space="preserve">    </v>
      </c>
      <c r="DU99" s="136"/>
      <c r="DV99" s="119" t="str">
        <f t="shared" si="166"/>
        <v xml:space="preserve">    </v>
      </c>
      <c r="DW99" s="75"/>
      <c r="DX99" s="119" t="str">
        <f t="shared" si="167"/>
        <v xml:space="preserve">     </v>
      </c>
      <c r="DY99" s="75"/>
      <c r="DZ99" s="119" t="str">
        <f t="shared" si="168"/>
        <v xml:space="preserve">    </v>
      </c>
    </row>
    <row r="100" spans="1:130" ht="30" customHeight="1" x14ac:dyDescent="0.25">
      <c r="A100" s="105" t="str">
        <f>IF('Marks Entry'!A100="","",'Marks Entry'!A100)</f>
        <v/>
      </c>
      <c r="B100" s="105" t="str">
        <f>IF('Marks Entry'!B100="","",'Marks Entry'!B100)</f>
        <v/>
      </c>
      <c r="C100" s="105" t="str">
        <f>IF('Marks Entry'!C100="","",'Marks Entry'!C100)</f>
        <v/>
      </c>
      <c r="D100" s="48" t="str">
        <f>IF('Marks Entry'!D100="","",'Marks Entry'!D100)</f>
        <v/>
      </c>
      <c r="E100" s="48" t="str">
        <f>IF('Marks Entry'!E100="","",'Marks Entry'!E100)</f>
        <v/>
      </c>
      <c r="F100" s="48" t="str">
        <f>IF('Marks Entry'!F100="","",'Marks Entry'!F100)</f>
        <v/>
      </c>
      <c r="G100" s="105" t="str">
        <f>IF('Marks Entry'!G100="","",'Marks Entry'!G100)</f>
        <v/>
      </c>
      <c r="H100" s="49" t="str">
        <f>IF('Marks Entry'!H100="","",'Marks Entry'!H100)</f>
        <v/>
      </c>
      <c r="I100" s="105" t="str">
        <f>IF('Marks Entry'!I100="","",'Marks Entry'!I100)</f>
        <v/>
      </c>
      <c r="J100" s="105" t="str">
        <f>IF('Marks Entry'!K100="","",'Marks Entry'!K100)</f>
        <v/>
      </c>
      <c r="K100" s="105" t="str">
        <f>IF('Marks Entry'!L100="","",'Marks Entry'!L100)</f>
        <v/>
      </c>
      <c r="L100" s="105" t="str">
        <f>IF(AND('Marks Entry'!M100="",'Marks Entry'!N100=""),"",SUM('Marks Entry'!M100:N100))</f>
        <v/>
      </c>
      <c r="M100" s="105" t="str">
        <f>IF(AND('Marks Entry'!O100="",'Marks Entry'!P100=""),"",SUM('Marks Entry'!O100:P100))</f>
        <v/>
      </c>
      <c r="N100" s="105" t="str">
        <f t="shared" si="101"/>
        <v/>
      </c>
      <c r="O100" s="105" t="str">
        <f t="shared" si="132"/>
        <v/>
      </c>
      <c r="P100" s="105" t="str">
        <f t="shared" si="133"/>
        <v/>
      </c>
      <c r="Q100" s="105" t="str">
        <f>IF('Marks Entry'!R100="","",'Marks Entry'!R100)</f>
        <v/>
      </c>
      <c r="R100" s="105" t="str">
        <f>IF('Marks Entry'!S100="","",'Marks Entry'!S100)</f>
        <v/>
      </c>
      <c r="S100" s="105" t="str">
        <f>IF(AND('Marks Entry'!T100="",'Marks Entry'!U100=""),"",SUM('Marks Entry'!T100:U100))</f>
        <v/>
      </c>
      <c r="T100" s="105" t="str">
        <f>IF(AND('Marks Entry'!V100="",'Marks Entry'!W100=""),"",SUM('Marks Entry'!V100:W100))</f>
        <v/>
      </c>
      <c r="U100" s="105" t="str">
        <f t="shared" si="134"/>
        <v/>
      </c>
      <c r="V100" s="105" t="str">
        <f t="shared" si="135"/>
        <v/>
      </c>
      <c r="W100" s="105" t="str">
        <f t="shared" si="136"/>
        <v/>
      </c>
      <c r="X100" s="47" t="str">
        <f>IF(B100="","",IF('Marks Entry'!Y100="",'Marks Entry'!$Y$4,'Marks Entry'!Y100))</f>
        <v/>
      </c>
      <c r="Y100" s="105" t="str">
        <f>IF('Marks Entry'!Z100="","",'Marks Entry'!Z100)</f>
        <v/>
      </c>
      <c r="Z100" s="105" t="str">
        <f>IF('Marks Entry'!AA100="","",'Marks Entry'!AA100)</f>
        <v/>
      </c>
      <c r="AA100" s="105" t="str">
        <f>IF(AND('Marks Entry'!AB100="",'Marks Entry'!AC100=""),"",SUM('Marks Entry'!AB100:AC100))</f>
        <v/>
      </c>
      <c r="AB100" s="105" t="str">
        <f>IF('Marks Entry'!AD100="","",'Marks Entry'!AD100)</f>
        <v/>
      </c>
      <c r="AC100" s="105" t="str">
        <f t="shared" si="137"/>
        <v/>
      </c>
      <c r="AD100" s="105" t="str">
        <f>IF(AND('Marks Entry'!AE100="",'Marks Entry'!AF100=""),"",SUM('Marks Entry'!AE100:AF100))</f>
        <v/>
      </c>
      <c r="AE100" s="105" t="str">
        <f>IF('Marks Entry'!AG100="","",'Marks Entry'!AG100)</f>
        <v/>
      </c>
      <c r="AF100" s="105" t="str">
        <f t="shared" si="138"/>
        <v/>
      </c>
      <c r="AG100" s="105" t="str">
        <f t="shared" si="139"/>
        <v/>
      </c>
      <c r="AH100" s="105" t="str">
        <f t="shared" si="140"/>
        <v/>
      </c>
      <c r="AI100" s="105" t="str">
        <f t="shared" si="141"/>
        <v/>
      </c>
      <c r="AJ100" s="47" t="str">
        <f>IF(B100="","",IF('Marks Entry'!AI100="",'Marks Entry'!$AI$4,'Marks Entry'!AI100))</f>
        <v/>
      </c>
      <c r="AK100" s="105" t="str">
        <f>IF('Marks Entry'!AJ100="","",'Marks Entry'!AJ100)</f>
        <v/>
      </c>
      <c r="AL100" s="105" t="str">
        <f>IF('Marks Entry'!AK100="","",'Marks Entry'!AK100)</f>
        <v/>
      </c>
      <c r="AM100" s="105" t="str">
        <f>IF(AND('Marks Entry'!AL100="",'Marks Entry'!AM100=""),"",SUM('Marks Entry'!AL100:AM100))</f>
        <v/>
      </c>
      <c r="AN100" s="105" t="str">
        <f>IF('Marks Entry'!AN100="","",'Marks Entry'!AN100)</f>
        <v/>
      </c>
      <c r="AO100" s="105" t="str">
        <f t="shared" si="142"/>
        <v/>
      </c>
      <c r="AP100" s="105" t="str">
        <f>IF(AND('Marks Entry'!AO100="",'Marks Entry'!AP100=""),"",SUM('Marks Entry'!AO100:AP100))</f>
        <v/>
      </c>
      <c r="AQ100" s="105" t="str">
        <f>IF('Marks Entry'!AQ100="","",'Marks Entry'!AQ100)</f>
        <v/>
      </c>
      <c r="AR100" s="105" t="str">
        <f t="shared" si="143"/>
        <v/>
      </c>
      <c r="AS100" s="105" t="str">
        <f t="shared" si="144"/>
        <v/>
      </c>
      <c r="AT100" s="105" t="str">
        <f t="shared" si="145"/>
        <v/>
      </c>
      <c r="AU100" s="105" t="str">
        <f t="shared" si="146"/>
        <v/>
      </c>
      <c r="AV100" s="47" t="str">
        <f>IF(B100="","",IF('Marks Entry'!AS100="",'Marks Entry'!$AS$4,'Marks Entry'!AS100))</f>
        <v/>
      </c>
      <c r="AW100" s="105" t="str">
        <f>IF('Marks Entry'!AT100="","",'Marks Entry'!AT100)</f>
        <v/>
      </c>
      <c r="AX100" s="105" t="str">
        <f>IF('Marks Entry'!AU100="","",'Marks Entry'!AU100)</f>
        <v/>
      </c>
      <c r="AY100" s="105" t="str">
        <f>IF(AND('Marks Entry'!AV100="",'Marks Entry'!AW100=""),"",SUM('Marks Entry'!AV100:AW100))</f>
        <v/>
      </c>
      <c r="AZ100" s="105" t="str">
        <f>IF('Marks Entry'!AX100="","",'Marks Entry'!AX100)</f>
        <v/>
      </c>
      <c r="BA100" s="105">
        <f t="shared" si="147"/>
        <v>0</v>
      </c>
      <c r="BB100" s="105" t="str">
        <f>IF(AND('Marks Entry'!AY100="",'Marks Entry'!AZ100=""),"",SUM('Marks Entry'!AY100:AZ100))</f>
        <v/>
      </c>
      <c r="BC100" s="105" t="str">
        <f>IF('Marks Entry'!BA100="","",'Marks Entry'!BA100)</f>
        <v/>
      </c>
      <c r="BD100" s="105">
        <f t="shared" si="148"/>
        <v>0</v>
      </c>
      <c r="BE100" s="105">
        <f t="shared" si="149"/>
        <v>0</v>
      </c>
      <c r="BF100" s="105" t="str">
        <f t="shared" si="150"/>
        <v/>
      </c>
      <c r="BG100" s="105" t="str">
        <f t="shared" si="151"/>
        <v/>
      </c>
      <c r="BH100" s="105" t="str">
        <f t="shared" si="152"/>
        <v/>
      </c>
      <c r="BI100" s="50" t="str">
        <f t="shared" si="102"/>
        <v/>
      </c>
      <c r="BJ100" s="47" t="str">
        <f t="shared" si="103"/>
        <v/>
      </c>
      <c r="BK100" s="105" t="str">
        <f t="shared" si="153"/>
        <v/>
      </c>
      <c r="BL100" s="105" t="str">
        <f t="shared" si="154"/>
        <v/>
      </c>
      <c r="BM100" s="105" t="str">
        <f>IF(OR(B100="",'Marks Entry'!BY100=""),"",'Marks Entry'!BY100)</f>
        <v/>
      </c>
      <c r="BN100" s="105" t="str">
        <f>IF(OR(B100="",'Marks Entry'!BZ100=""),"",'Marks Entry'!BZ100)</f>
        <v/>
      </c>
      <c r="BO100" s="105" t="str">
        <f>IF('Marks Entry'!BC100="","",'Marks Entry'!BC100)</f>
        <v/>
      </c>
      <c r="BP100" s="105" t="str">
        <f>IF('Marks Entry'!BD100="","",'Marks Entry'!BD100)</f>
        <v/>
      </c>
      <c r="BQ100" s="105" t="str">
        <f>IF(AND('Marks Entry'!BE100="",'Marks Entry'!BF100=""),"",SUM('Marks Entry'!BE100:BF100))</f>
        <v/>
      </c>
      <c r="BR100" s="105" t="str">
        <f>IF(AND('Marks Entry'!BG100="",'Marks Entry'!BH100=""),"",SUM('Marks Entry'!BG100:BH100))</f>
        <v/>
      </c>
      <c r="BS100" s="105" t="str">
        <f t="shared" si="155"/>
        <v/>
      </c>
      <c r="BT100" s="105" t="str">
        <f t="shared" si="156"/>
        <v/>
      </c>
      <c r="BU100" s="105" t="str">
        <f t="shared" si="157"/>
        <v/>
      </c>
      <c r="BV100" s="105" t="str">
        <f>IF('Marks Entry'!BJ100="","",'Marks Entry'!BJ100)</f>
        <v/>
      </c>
      <c r="BW100" s="105" t="str">
        <f>IF('Marks Entry'!BK100="","",'Marks Entry'!BK100)</f>
        <v/>
      </c>
      <c r="BX100" s="105" t="str">
        <f>IF(AND('Marks Entry'!BL100="",'Marks Entry'!BM100=""),"",SUM('Marks Entry'!BL100:BM100))</f>
        <v/>
      </c>
      <c r="BY100" s="105" t="str">
        <f>IF(AND('Marks Entry'!BN100="",'Marks Entry'!BO100=""),"",SUM('Marks Entry'!BN100:BO100))</f>
        <v/>
      </c>
      <c r="BZ100" s="105" t="str">
        <f t="shared" si="158"/>
        <v/>
      </c>
      <c r="CA100" s="105" t="str">
        <f t="shared" si="159"/>
        <v/>
      </c>
      <c r="CB100" s="105" t="str">
        <f t="shared" si="160"/>
        <v/>
      </c>
      <c r="CC100" s="105" t="str">
        <f>IF('Marks Entry'!BQ100="","",'Marks Entry'!BQ100)</f>
        <v/>
      </c>
      <c r="CD100" s="105" t="str">
        <f>IF('Marks Entry'!BR100="","",'Marks Entry'!BR100)</f>
        <v/>
      </c>
      <c r="CE100" s="105" t="str">
        <f>IF(AND('Marks Entry'!BS100="",'Marks Entry'!BT100=""),"",SUM('Marks Entry'!BS100:BT100))</f>
        <v/>
      </c>
      <c r="CF100" s="105" t="str">
        <f>IF(AND('Marks Entry'!BU100="",'Marks Entry'!BV100=""),"",SUM('Marks Entry'!BU100:BV100))</f>
        <v/>
      </c>
      <c r="CG100" s="105" t="str">
        <f t="shared" si="161"/>
        <v/>
      </c>
      <c r="CH100" s="105" t="str">
        <f t="shared" si="162"/>
        <v/>
      </c>
      <c r="CI100" s="105" t="str">
        <f t="shared" si="163"/>
        <v/>
      </c>
      <c r="CJ100" s="81"/>
      <c r="CK100" s="50" t="str">
        <f t="shared" si="104"/>
        <v/>
      </c>
      <c r="CM100" s="105" t="str">
        <f t="shared" si="105"/>
        <v/>
      </c>
      <c r="CN100" s="105" t="str">
        <f t="shared" si="106"/>
        <v/>
      </c>
      <c r="CO100" s="105" t="str">
        <f t="shared" si="107"/>
        <v/>
      </c>
      <c r="CP100" s="105" t="str">
        <f t="shared" si="108"/>
        <v/>
      </c>
      <c r="CQ100" s="105" t="str">
        <f t="shared" si="109"/>
        <v/>
      </c>
      <c r="CS100" s="105">
        <f t="shared" si="110"/>
        <v>0</v>
      </c>
      <c r="CT100" s="105">
        <f t="shared" si="111"/>
        <v>0</v>
      </c>
      <c r="CU100" s="105">
        <f t="shared" si="112"/>
        <v>0</v>
      </c>
      <c r="CV100" s="105">
        <f t="shared" si="113"/>
        <v>0</v>
      </c>
      <c r="CW100" s="81"/>
      <c r="CX100" s="105" t="str">
        <f t="shared" si="114"/>
        <v/>
      </c>
      <c r="CY100" s="105" t="str">
        <f t="shared" si="115"/>
        <v/>
      </c>
      <c r="CZ100" s="105" t="str">
        <f t="shared" si="116"/>
        <v/>
      </c>
      <c r="DA100" s="105" t="str">
        <f t="shared" si="117"/>
        <v/>
      </c>
      <c r="DB100" s="105" t="str">
        <f t="shared" si="118"/>
        <v/>
      </c>
      <c r="DD100" s="105" t="str">
        <f t="shared" si="119"/>
        <v/>
      </c>
      <c r="DE100" s="105" t="str">
        <f t="shared" si="120"/>
        <v/>
      </c>
      <c r="DF100" s="105" t="str">
        <f t="shared" si="121"/>
        <v/>
      </c>
      <c r="DG100" s="105" t="str">
        <f t="shared" si="122"/>
        <v/>
      </c>
      <c r="DH100" s="105" t="str">
        <f t="shared" si="123"/>
        <v/>
      </c>
      <c r="DI100" s="105" t="str">
        <f t="shared" si="124"/>
        <v/>
      </c>
      <c r="DJ100" s="105" t="str">
        <f t="shared" si="125"/>
        <v/>
      </c>
      <c r="DK100" s="105" t="str">
        <f t="shared" si="126"/>
        <v/>
      </c>
      <c r="DL100" s="105" t="str">
        <f t="shared" si="127"/>
        <v/>
      </c>
      <c r="DM100" s="105" t="str">
        <f t="shared" si="128"/>
        <v/>
      </c>
      <c r="DN100" s="105" t="str">
        <f t="shared" si="129"/>
        <v/>
      </c>
      <c r="DO100" s="105" t="str">
        <f t="shared" si="130"/>
        <v/>
      </c>
      <c r="DP100" s="105" t="str">
        <f t="shared" si="131"/>
        <v/>
      </c>
      <c r="DR100" s="118" t="str">
        <f t="shared" si="164"/>
        <v xml:space="preserve">    </v>
      </c>
      <c r="DS100" s="75"/>
      <c r="DT100" s="119" t="str">
        <f t="shared" si="165"/>
        <v xml:space="preserve">    </v>
      </c>
      <c r="DU100" s="136"/>
      <c r="DV100" s="119" t="str">
        <f t="shared" si="166"/>
        <v xml:space="preserve">    </v>
      </c>
      <c r="DW100" s="75"/>
      <c r="DX100" s="119" t="str">
        <f t="shared" si="167"/>
        <v xml:space="preserve">     </v>
      </c>
      <c r="DY100" s="75"/>
      <c r="DZ100" s="119" t="str">
        <f t="shared" si="168"/>
        <v xml:space="preserve">    </v>
      </c>
    </row>
    <row r="101" spans="1:130" ht="30" customHeight="1" x14ac:dyDescent="0.25">
      <c r="A101" s="105" t="str">
        <f>IF('Marks Entry'!A101="","",'Marks Entry'!A101)</f>
        <v/>
      </c>
      <c r="B101" s="105" t="str">
        <f>IF('Marks Entry'!B101="","",'Marks Entry'!B101)</f>
        <v/>
      </c>
      <c r="C101" s="105" t="str">
        <f>IF('Marks Entry'!C101="","",'Marks Entry'!C101)</f>
        <v/>
      </c>
      <c r="D101" s="48" t="str">
        <f>IF('Marks Entry'!D101="","",'Marks Entry'!D101)</f>
        <v/>
      </c>
      <c r="E101" s="48" t="str">
        <f>IF('Marks Entry'!E101="","",'Marks Entry'!E101)</f>
        <v/>
      </c>
      <c r="F101" s="48" t="str">
        <f>IF('Marks Entry'!F101="","",'Marks Entry'!F101)</f>
        <v/>
      </c>
      <c r="G101" s="105" t="str">
        <f>IF('Marks Entry'!G101="","",'Marks Entry'!G101)</f>
        <v/>
      </c>
      <c r="H101" s="49" t="str">
        <f>IF('Marks Entry'!H101="","",'Marks Entry'!H101)</f>
        <v/>
      </c>
      <c r="I101" s="105" t="str">
        <f>IF('Marks Entry'!I101="","",'Marks Entry'!I101)</f>
        <v/>
      </c>
      <c r="J101" s="105" t="str">
        <f>IF('Marks Entry'!K101="","",'Marks Entry'!K101)</f>
        <v/>
      </c>
      <c r="K101" s="105" t="str">
        <f>IF('Marks Entry'!L101="","",'Marks Entry'!L101)</f>
        <v/>
      </c>
      <c r="L101" s="105" t="str">
        <f>IF(AND('Marks Entry'!M101="",'Marks Entry'!N101=""),"",SUM('Marks Entry'!M101:N101))</f>
        <v/>
      </c>
      <c r="M101" s="105" t="str">
        <f>IF(AND('Marks Entry'!O101="",'Marks Entry'!P101=""),"",SUM('Marks Entry'!O101:P101))</f>
        <v/>
      </c>
      <c r="N101" s="105" t="str">
        <f t="shared" si="101"/>
        <v/>
      </c>
      <c r="O101" s="105" t="str">
        <f t="shared" si="132"/>
        <v/>
      </c>
      <c r="P101" s="105" t="str">
        <f t="shared" si="133"/>
        <v/>
      </c>
      <c r="Q101" s="105" t="str">
        <f>IF('Marks Entry'!R101="","",'Marks Entry'!R101)</f>
        <v/>
      </c>
      <c r="R101" s="105" t="str">
        <f>IF('Marks Entry'!S101="","",'Marks Entry'!S101)</f>
        <v/>
      </c>
      <c r="S101" s="105" t="str">
        <f>IF(AND('Marks Entry'!T101="",'Marks Entry'!U101=""),"",SUM('Marks Entry'!T101:U101))</f>
        <v/>
      </c>
      <c r="T101" s="105" t="str">
        <f>IF(AND('Marks Entry'!V101="",'Marks Entry'!W101=""),"",SUM('Marks Entry'!V101:W101))</f>
        <v/>
      </c>
      <c r="U101" s="105" t="str">
        <f t="shared" si="134"/>
        <v/>
      </c>
      <c r="V101" s="105" t="str">
        <f t="shared" si="135"/>
        <v/>
      </c>
      <c r="W101" s="105" t="str">
        <f t="shared" si="136"/>
        <v/>
      </c>
      <c r="X101" s="47" t="str">
        <f>IF(B101="","",IF('Marks Entry'!Y101="",'Marks Entry'!$Y$4,'Marks Entry'!Y101))</f>
        <v/>
      </c>
      <c r="Y101" s="105" t="str">
        <f>IF('Marks Entry'!Z101="","",'Marks Entry'!Z101)</f>
        <v/>
      </c>
      <c r="Z101" s="105" t="str">
        <f>IF('Marks Entry'!AA101="","",'Marks Entry'!AA101)</f>
        <v/>
      </c>
      <c r="AA101" s="105" t="str">
        <f>IF(AND('Marks Entry'!AB101="",'Marks Entry'!AC101=""),"",SUM('Marks Entry'!AB101:AC101))</f>
        <v/>
      </c>
      <c r="AB101" s="105" t="str">
        <f>IF('Marks Entry'!AD101="","",'Marks Entry'!AD101)</f>
        <v/>
      </c>
      <c r="AC101" s="105" t="str">
        <f t="shared" si="137"/>
        <v/>
      </c>
      <c r="AD101" s="105" t="str">
        <f>IF(AND('Marks Entry'!AE101="",'Marks Entry'!AF101=""),"",SUM('Marks Entry'!AE101:AF101))</f>
        <v/>
      </c>
      <c r="AE101" s="105" t="str">
        <f>IF('Marks Entry'!AG101="","",'Marks Entry'!AG101)</f>
        <v/>
      </c>
      <c r="AF101" s="105" t="str">
        <f t="shared" si="138"/>
        <v/>
      </c>
      <c r="AG101" s="105" t="str">
        <f t="shared" si="139"/>
        <v/>
      </c>
      <c r="AH101" s="105" t="str">
        <f t="shared" si="140"/>
        <v/>
      </c>
      <c r="AI101" s="105" t="str">
        <f t="shared" si="141"/>
        <v/>
      </c>
      <c r="AJ101" s="47" t="str">
        <f>IF(B101="","",IF('Marks Entry'!AI101="",'Marks Entry'!$AI$4,'Marks Entry'!AI101))</f>
        <v/>
      </c>
      <c r="AK101" s="105" t="str">
        <f>IF('Marks Entry'!AJ101="","",'Marks Entry'!AJ101)</f>
        <v/>
      </c>
      <c r="AL101" s="105" t="str">
        <f>IF('Marks Entry'!AK101="","",'Marks Entry'!AK101)</f>
        <v/>
      </c>
      <c r="AM101" s="105" t="str">
        <f>IF(AND('Marks Entry'!AL101="",'Marks Entry'!AM101=""),"",SUM('Marks Entry'!AL101:AM101))</f>
        <v/>
      </c>
      <c r="AN101" s="105" t="str">
        <f>IF('Marks Entry'!AN101="","",'Marks Entry'!AN101)</f>
        <v/>
      </c>
      <c r="AO101" s="105" t="str">
        <f t="shared" si="142"/>
        <v/>
      </c>
      <c r="AP101" s="105" t="str">
        <f>IF(AND('Marks Entry'!AO101="",'Marks Entry'!AP101=""),"",SUM('Marks Entry'!AO101:AP101))</f>
        <v/>
      </c>
      <c r="AQ101" s="105" t="str">
        <f>IF('Marks Entry'!AQ101="","",'Marks Entry'!AQ101)</f>
        <v/>
      </c>
      <c r="AR101" s="105" t="str">
        <f t="shared" si="143"/>
        <v/>
      </c>
      <c r="AS101" s="105" t="str">
        <f t="shared" si="144"/>
        <v/>
      </c>
      <c r="AT101" s="105" t="str">
        <f t="shared" si="145"/>
        <v/>
      </c>
      <c r="AU101" s="105" t="str">
        <f t="shared" si="146"/>
        <v/>
      </c>
      <c r="AV101" s="47" t="str">
        <f>IF(B101="","",IF('Marks Entry'!AS101="",'Marks Entry'!$AS$4,'Marks Entry'!AS101))</f>
        <v/>
      </c>
      <c r="AW101" s="105" t="str">
        <f>IF('Marks Entry'!AT101="","",'Marks Entry'!AT101)</f>
        <v/>
      </c>
      <c r="AX101" s="105" t="str">
        <f>IF('Marks Entry'!AU101="","",'Marks Entry'!AU101)</f>
        <v/>
      </c>
      <c r="AY101" s="105" t="str">
        <f>IF(AND('Marks Entry'!AV101="",'Marks Entry'!AW101=""),"",SUM('Marks Entry'!AV101:AW101))</f>
        <v/>
      </c>
      <c r="AZ101" s="105" t="str">
        <f>IF('Marks Entry'!AX101="","",'Marks Entry'!AX101)</f>
        <v/>
      </c>
      <c r="BA101" s="105">
        <f t="shared" si="147"/>
        <v>0</v>
      </c>
      <c r="BB101" s="105" t="str">
        <f>IF(AND('Marks Entry'!AY101="",'Marks Entry'!AZ101=""),"",SUM('Marks Entry'!AY101:AZ101))</f>
        <v/>
      </c>
      <c r="BC101" s="105" t="str">
        <f>IF('Marks Entry'!BA101="","",'Marks Entry'!BA101)</f>
        <v/>
      </c>
      <c r="BD101" s="105">
        <f t="shared" si="148"/>
        <v>0</v>
      </c>
      <c r="BE101" s="105">
        <f t="shared" si="149"/>
        <v>0</v>
      </c>
      <c r="BF101" s="105" t="str">
        <f t="shared" si="150"/>
        <v/>
      </c>
      <c r="BG101" s="105" t="str">
        <f t="shared" si="151"/>
        <v/>
      </c>
      <c r="BH101" s="105" t="str">
        <f t="shared" si="152"/>
        <v/>
      </c>
      <c r="BI101" s="50" t="str">
        <f t="shared" si="102"/>
        <v/>
      </c>
      <c r="BJ101" s="47" t="str">
        <f t="shared" si="103"/>
        <v/>
      </c>
      <c r="BK101" s="105" t="str">
        <f t="shared" si="153"/>
        <v/>
      </c>
      <c r="BL101" s="105" t="str">
        <f t="shared" si="154"/>
        <v/>
      </c>
      <c r="BM101" s="105" t="str">
        <f>IF(OR(B101="",'Marks Entry'!BY101=""),"",'Marks Entry'!BY101)</f>
        <v/>
      </c>
      <c r="BN101" s="105" t="str">
        <f>IF(OR(B101="",'Marks Entry'!BZ101=""),"",'Marks Entry'!BZ101)</f>
        <v/>
      </c>
      <c r="BO101" s="105" t="str">
        <f>IF('Marks Entry'!BC101="","",'Marks Entry'!BC101)</f>
        <v/>
      </c>
      <c r="BP101" s="105" t="str">
        <f>IF('Marks Entry'!BD101="","",'Marks Entry'!BD101)</f>
        <v/>
      </c>
      <c r="BQ101" s="105" t="str">
        <f>IF(AND('Marks Entry'!BE101="",'Marks Entry'!BF101=""),"",SUM('Marks Entry'!BE101:BF101))</f>
        <v/>
      </c>
      <c r="BR101" s="105" t="str">
        <f>IF(AND('Marks Entry'!BG101="",'Marks Entry'!BH101=""),"",SUM('Marks Entry'!BG101:BH101))</f>
        <v/>
      </c>
      <c r="BS101" s="105" t="str">
        <f t="shared" si="155"/>
        <v/>
      </c>
      <c r="BT101" s="105" t="str">
        <f t="shared" si="156"/>
        <v/>
      </c>
      <c r="BU101" s="105" t="str">
        <f t="shared" si="157"/>
        <v/>
      </c>
      <c r="BV101" s="105" t="str">
        <f>IF('Marks Entry'!BJ101="","",'Marks Entry'!BJ101)</f>
        <v/>
      </c>
      <c r="BW101" s="105" t="str">
        <f>IF('Marks Entry'!BK101="","",'Marks Entry'!BK101)</f>
        <v/>
      </c>
      <c r="BX101" s="105" t="str">
        <f>IF(AND('Marks Entry'!BL101="",'Marks Entry'!BM101=""),"",SUM('Marks Entry'!BL101:BM101))</f>
        <v/>
      </c>
      <c r="BY101" s="105" t="str">
        <f>IF(AND('Marks Entry'!BN101="",'Marks Entry'!BO101=""),"",SUM('Marks Entry'!BN101:BO101))</f>
        <v/>
      </c>
      <c r="BZ101" s="105" t="str">
        <f t="shared" si="158"/>
        <v/>
      </c>
      <c r="CA101" s="105" t="str">
        <f t="shared" si="159"/>
        <v/>
      </c>
      <c r="CB101" s="105" t="str">
        <f t="shared" si="160"/>
        <v/>
      </c>
      <c r="CC101" s="105" t="str">
        <f>IF('Marks Entry'!BQ101="","",'Marks Entry'!BQ101)</f>
        <v/>
      </c>
      <c r="CD101" s="105" t="str">
        <f>IF('Marks Entry'!BR101="","",'Marks Entry'!BR101)</f>
        <v/>
      </c>
      <c r="CE101" s="105" t="str">
        <f>IF(AND('Marks Entry'!BS101="",'Marks Entry'!BT101=""),"",SUM('Marks Entry'!BS101:BT101))</f>
        <v/>
      </c>
      <c r="CF101" s="105" t="str">
        <f>IF(AND('Marks Entry'!BU101="",'Marks Entry'!BV101=""),"",SUM('Marks Entry'!BU101:BV101))</f>
        <v/>
      </c>
      <c r="CG101" s="105" t="str">
        <f t="shared" si="161"/>
        <v/>
      </c>
      <c r="CH101" s="105" t="str">
        <f t="shared" si="162"/>
        <v/>
      </c>
      <c r="CI101" s="105" t="str">
        <f t="shared" si="163"/>
        <v/>
      </c>
      <c r="CJ101" s="81"/>
      <c r="CK101" s="50" t="str">
        <f t="shared" si="104"/>
        <v/>
      </c>
      <c r="CM101" s="105" t="str">
        <f t="shared" si="105"/>
        <v/>
      </c>
      <c r="CN101" s="105" t="str">
        <f t="shared" si="106"/>
        <v/>
      </c>
      <c r="CO101" s="105" t="str">
        <f t="shared" si="107"/>
        <v/>
      </c>
      <c r="CP101" s="105" t="str">
        <f t="shared" si="108"/>
        <v/>
      </c>
      <c r="CQ101" s="105" t="str">
        <f t="shared" si="109"/>
        <v/>
      </c>
      <c r="CS101" s="105">
        <f t="shared" si="110"/>
        <v>0</v>
      </c>
      <c r="CT101" s="105">
        <f t="shared" si="111"/>
        <v>0</v>
      </c>
      <c r="CU101" s="105">
        <f t="shared" si="112"/>
        <v>0</v>
      </c>
      <c r="CV101" s="105">
        <f t="shared" si="113"/>
        <v>0</v>
      </c>
      <c r="CW101" s="81"/>
      <c r="CX101" s="105" t="str">
        <f t="shared" si="114"/>
        <v/>
      </c>
      <c r="CY101" s="105" t="str">
        <f t="shared" si="115"/>
        <v/>
      </c>
      <c r="CZ101" s="105" t="str">
        <f t="shared" si="116"/>
        <v/>
      </c>
      <c r="DA101" s="105" t="str">
        <f t="shared" si="117"/>
        <v/>
      </c>
      <c r="DB101" s="105" t="str">
        <f t="shared" si="118"/>
        <v/>
      </c>
      <c r="DD101" s="105" t="str">
        <f t="shared" si="119"/>
        <v/>
      </c>
      <c r="DE101" s="105" t="str">
        <f t="shared" si="120"/>
        <v/>
      </c>
      <c r="DF101" s="105" t="str">
        <f t="shared" si="121"/>
        <v/>
      </c>
      <c r="DG101" s="105" t="str">
        <f t="shared" si="122"/>
        <v/>
      </c>
      <c r="DH101" s="105" t="str">
        <f t="shared" si="123"/>
        <v/>
      </c>
      <c r="DI101" s="105" t="str">
        <f t="shared" si="124"/>
        <v/>
      </c>
      <c r="DJ101" s="105" t="str">
        <f t="shared" si="125"/>
        <v/>
      </c>
      <c r="DK101" s="105" t="str">
        <f t="shared" si="126"/>
        <v/>
      </c>
      <c r="DL101" s="105" t="str">
        <f t="shared" si="127"/>
        <v/>
      </c>
      <c r="DM101" s="105" t="str">
        <f t="shared" si="128"/>
        <v/>
      </c>
      <c r="DN101" s="105" t="str">
        <f t="shared" si="129"/>
        <v/>
      </c>
      <c r="DO101" s="105" t="str">
        <f t="shared" si="130"/>
        <v/>
      </c>
      <c r="DP101" s="105" t="str">
        <f t="shared" si="131"/>
        <v/>
      </c>
      <c r="DR101" s="118" t="str">
        <f t="shared" si="164"/>
        <v xml:space="preserve">    </v>
      </c>
      <c r="DS101" s="75"/>
      <c r="DT101" s="119" t="str">
        <f t="shared" si="165"/>
        <v xml:space="preserve">    </v>
      </c>
      <c r="DU101" s="136"/>
      <c r="DV101" s="119" t="str">
        <f t="shared" si="166"/>
        <v xml:space="preserve">    </v>
      </c>
      <c r="DW101" s="75"/>
      <c r="DX101" s="119" t="str">
        <f t="shared" si="167"/>
        <v xml:space="preserve">     </v>
      </c>
      <c r="DY101" s="75"/>
      <c r="DZ101" s="119" t="str">
        <f t="shared" si="168"/>
        <v xml:space="preserve">    </v>
      </c>
    </row>
    <row r="102" spans="1:130" ht="30" customHeight="1" x14ac:dyDescent="0.25">
      <c r="A102" s="105" t="str">
        <f>IF('Marks Entry'!A102="","",'Marks Entry'!A102)</f>
        <v/>
      </c>
      <c r="B102" s="105" t="str">
        <f>IF('Marks Entry'!B102="","",'Marks Entry'!B102)</f>
        <v/>
      </c>
      <c r="C102" s="105" t="str">
        <f>IF('Marks Entry'!C102="","",'Marks Entry'!C102)</f>
        <v/>
      </c>
      <c r="D102" s="48" t="str">
        <f>IF('Marks Entry'!D102="","",'Marks Entry'!D102)</f>
        <v/>
      </c>
      <c r="E102" s="48" t="str">
        <f>IF('Marks Entry'!E102="","",'Marks Entry'!E102)</f>
        <v/>
      </c>
      <c r="F102" s="48" t="str">
        <f>IF('Marks Entry'!F102="","",'Marks Entry'!F102)</f>
        <v/>
      </c>
      <c r="G102" s="105" t="str">
        <f>IF('Marks Entry'!G102="","",'Marks Entry'!G102)</f>
        <v/>
      </c>
      <c r="H102" s="49" t="str">
        <f>IF('Marks Entry'!H102="","",'Marks Entry'!H102)</f>
        <v/>
      </c>
      <c r="I102" s="105" t="str">
        <f>IF('Marks Entry'!I102="","",'Marks Entry'!I102)</f>
        <v/>
      </c>
      <c r="J102" s="105" t="str">
        <f>IF('Marks Entry'!K102="","",'Marks Entry'!K102)</f>
        <v/>
      </c>
      <c r="K102" s="105" t="str">
        <f>IF('Marks Entry'!L102="","",'Marks Entry'!L102)</f>
        <v/>
      </c>
      <c r="L102" s="105" t="str">
        <f>IF(AND('Marks Entry'!M102="",'Marks Entry'!N102=""),"",SUM('Marks Entry'!M102:N102))</f>
        <v/>
      </c>
      <c r="M102" s="105" t="str">
        <f>IF(AND('Marks Entry'!O102="",'Marks Entry'!P102=""),"",SUM('Marks Entry'!O102:P102))</f>
        <v/>
      </c>
      <c r="N102" s="105" t="str">
        <f t="shared" si="101"/>
        <v/>
      </c>
      <c r="O102" s="105" t="str">
        <f t="shared" si="132"/>
        <v/>
      </c>
      <c r="P102" s="105" t="str">
        <f t="shared" si="133"/>
        <v/>
      </c>
      <c r="Q102" s="105" t="str">
        <f>IF('Marks Entry'!R102="","",'Marks Entry'!R102)</f>
        <v/>
      </c>
      <c r="R102" s="105" t="str">
        <f>IF('Marks Entry'!S102="","",'Marks Entry'!S102)</f>
        <v/>
      </c>
      <c r="S102" s="105" t="str">
        <f>IF(AND('Marks Entry'!T102="",'Marks Entry'!U102=""),"",SUM('Marks Entry'!T102:U102))</f>
        <v/>
      </c>
      <c r="T102" s="105" t="str">
        <f>IF(AND('Marks Entry'!V102="",'Marks Entry'!W102=""),"",SUM('Marks Entry'!V102:W102))</f>
        <v/>
      </c>
      <c r="U102" s="105" t="str">
        <f t="shared" si="134"/>
        <v/>
      </c>
      <c r="V102" s="105" t="str">
        <f t="shared" si="135"/>
        <v/>
      </c>
      <c r="W102" s="105" t="str">
        <f t="shared" si="136"/>
        <v/>
      </c>
      <c r="X102" s="47" t="str">
        <f>IF(B102="","",IF('Marks Entry'!Y102="",'Marks Entry'!$Y$4,'Marks Entry'!Y102))</f>
        <v/>
      </c>
      <c r="Y102" s="105" t="str">
        <f>IF('Marks Entry'!Z102="","",'Marks Entry'!Z102)</f>
        <v/>
      </c>
      <c r="Z102" s="105" t="str">
        <f>IF('Marks Entry'!AA102="","",'Marks Entry'!AA102)</f>
        <v/>
      </c>
      <c r="AA102" s="105" t="str">
        <f>IF(AND('Marks Entry'!AB102="",'Marks Entry'!AC102=""),"",SUM('Marks Entry'!AB102:AC102))</f>
        <v/>
      </c>
      <c r="AB102" s="105" t="str">
        <f>IF('Marks Entry'!AD102="","",'Marks Entry'!AD102)</f>
        <v/>
      </c>
      <c r="AC102" s="105" t="str">
        <f t="shared" si="137"/>
        <v/>
      </c>
      <c r="AD102" s="105" t="str">
        <f>IF(AND('Marks Entry'!AE102="",'Marks Entry'!AF102=""),"",SUM('Marks Entry'!AE102:AF102))</f>
        <v/>
      </c>
      <c r="AE102" s="105" t="str">
        <f>IF('Marks Entry'!AG102="","",'Marks Entry'!AG102)</f>
        <v/>
      </c>
      <c r="AF102" s="105" t="str">
        <f t="shared" si="138"/>
        <v/>
      </c>
      <c r="AG102" s="105" t="str">
        <f t="shared" si="139"/>
        <v/>
      </c>
      <c r="AH102" s="105" t="str">
        <f t="shared" si="140"/>
        <v/>
      </c>
      <c r="AI102" s="105" t="str">
        <f t="shared" si="141"/>
        <v/>
      </c>
      <c r="AJ102" s="47" t="str">
        <f>IF(B102="","",IF('Marks Entry'!AI102="",'Marks Entry'!$AI$4,'Marks Entry'!AI102))</f>
        <v/>
      </c>
      <c r="AK102" s="105" t="str">
        <f>IF('Marks Entry'!AJ102="","",'Marks Entry'!AJ102)</f>
        <v/>
      </c>
      <c r="AL102" s="105" t="str">
        <f>IF('Marks Entry'!AK102="","",'Marks Entry'!AK102)</f>
        <v/>
      </c>
      <c r="AM102" s="105" t="str">
        <f>IF(AND('Marks Entry'!AL102="",'Marks Entry'!AM102=""),"",SUM('Marks Entry'!AL102:AM102))</f>
        <v/>
      </c>
      <c r="AN102" s="105" t="str">
        <f>IF('Marks Entry'!AN102="","",'Marks Entry'!AN102)</f>
        <v/>
      </c>
      <c r="AO102" s="105" t="str">
        <f t="shared" si="142"/>
        <v/>
      </c>
      <c r="AP102" s="105" t="str">
        <f>IF(AND('Marks Entry'!AO102="",'Marks Entry'!AP102=""),"",SUM('Marks Entry'!AO102:AP102))</f>
        <v/>
      </c>
      <c r="AQ102" s="105" t="str">
        <f>IF('Marks Entry'!AQ102="","",'Marks Entry'!AQ102)</f>
        <v/>
      </c>
      <c r="AR102" s="105" t="str">
        <f t="shared" si="143"/>
        <v/>
      </c>
      <c r="AS102" s="105" t="str">
        <f t="shared" si="144"/>
        <v/>
      </c>
      <c r="AT102" s="105" t="str">
        <f t="shared" si="145"/>
        <v/>
      </c>
      <c r="AU102" s="105" t="str">
        <f t="shared" si="146"/>
        <v/>
      </c>
      <c r="AV102" s="47" t="str">
        <f>IF(B102="","",IF('Marks Entry'!AS102="",'Marks Entry'!$AS$4,'Marks Entry'!AS102))</f>
        <v/>
      </c>
      <c r="AW102" s="105" t="str">
        <f>IF('Marks Entry'!AT102="","",'Marks Entry'!AT102)</f>
        <v/>
      </c>
      <c r="AX102" s="105" t="str">
        <f>IF('Marks Entry'!AU102="","",'Marks Entry'!AU102)</f>
        <v/>
      </c>
      <c r="AY102" s="105" t="str">
        <f>IF(AND('Marks Entry'!AV102="",'Marks Entry'!AW102=""),"",SUM('Marks Entry'!AV102:AW102))</f>
        <v/>
      </c>
      <c r="AZ102" s="105" t="str">
        <f>IF('Marks Entry'!AX102="","",'Marks Entry'!AX102)</f>
        <v/>
      </c>
      <c r="BA102" s="105">
        <f t="shared" si="147"/>
        <v>0</v>
      </c>
      <c r="BB102" s="105" t="str">
        <f>IF(AND('Marks Entry'!AY102="",'Marks Entry'!AZ102=""),"",SUM('Marks Entry'!AY102:AZ102))</f>
        <v/>
      </c>
      <c r="BC102" s="105" t="str">
        <f>IF('Marks Entry'!BA102="","",'Marks Entry'!BA102)</f>
        <v/>
      </c>
      <c r="BD102" s="105">
        <f t="shared" si="148"/>
        <v>0</v>
      </c>
      <c r="BE102" s="105">
        <f t="shared" si="149"/>
        <v>0</v>
      </c>
      <c r="BF102" s="105" t="str">
        <f t="shared" si="150"/>
        <v/>
      </c>
      <c r="BG102" s="105" t="str">
        <f t="shared" si="151"/>
        <v/>
      </c>
      <c r="BH102" s="105" t="str">
        <f t="shared" si="152"/>
        <v/>
      </c>
      <c r="BI102" s="50" t="str">
        <f t="shared" si="102"/>
        <v/>
      </c>
      <c r="BJ102" s="47" t="str">
        <f t="shared" si="103"/>
        <v/>
      </c>
      <c r="BK102" s="105" t="str">
        <f t="shared" si="153"/>
        <v/>
      </c>
      <c r="BL102" s="105" t="str">
        <f t="shared" si="154"/>
        <v/>
      </c>
      <c r="BM102" s="105" t="str">
        <f>IF(OR(B102="",'Marks Entry'!BY102=""),"",'Marks Entry'!BY102)</f>
        <v/>
      </c>
      <c r="BN102" s="105" t="str">
        <f>IF(OR(B102="",'Marks Entry'!BZ102=""),"",'Marks Entry'!BZ102)</f>
        <v/>
      </c>
      <c r="BO102" s="105" t="str">
        <f>IF('Marks Entry'!BC102="","",'Marks Entry'!BC102)</f>
        <v/>
      </c>
      <c r="BP102" s="105" t="str">
        <f>IF('Marks Entry'!BD102="","",'Marks Entry'!BD102)</f>
        <v/>
      </c>
      <c r="BQ102" s="105" t="str">
        <f>IF(AND('Marks Entry'!BE102="",'Marks Entry'!BF102=""),"",SUM('Marks Entry'!BE102:BF102))</f>
        <v/>
      </c>
      <c r="BR102" s="105" t="str">
        <f>IF(AND('Marks Entry'!BG102="",'Marks Entry'!BH102=""),"",SUM('Marks Entry'!BG102:BH102))</f>
        <v/>
      </c>
      <c r="BS102" s="105" t="str">
        <f t="shared" si="155"/>
        <v/>
      </c>
      <c r="BT102" s="105" t="str">
        <f t="shared" si="156"/>
        <v/>
      </c>
      <c r="BU102" s="105" t="str">
        <f t="shared" si="157"/>
        <v/>
      </c>
      <c r="BV102" s="105" t="str">
        <f>IF('Marks Entry'!BJ102="","",'Marks Entry'!BJ102)</f>
        <v/>
      </c>
      <c r="BW102" s="105" t="str">
        <f>IF('Marks Entry'!BK102="","",'Marks Entry'!BK102)</f>
        <v/>
      </c>
      <c r="BX102" s="105" t="str">
        <f>IF(AND('Marks Entry'!BL102="",'Marks Entry'!BM102=""),"",SUM('Marks Entry'!BL102:BM102))</f>
        <v/>
      </c>
      <c r="BY102" s="105" t="str">
        <f>IF(AND('Marks Entry'!BN102="",'Marks Entry'!BO102=""),"",SUM('Marks Entry'!BN102:BO102))</f>
        <v/>
      </c>
      <c r="BZ102" s="105" t="str">
        <f t="shared" si="158"/>
        <v/>
      </c>
      <c r="CA102" s="105" t="str">
        <f t="shared" si="159"/>
        <v/>
      </c>
      <c r="CB102" s="105" t="str">
        <f t="shared" si="160"/>
        <v/>
      </c>
      <c r="CC102" s="105" t="str">
        <f>IF('Marks Entry'!BQ102="","",'Marks Entry'!BQ102)</f>
        <v/>
      </c>
      <c r="CD102" s="105" t="str">
        <f>IF('Marks Entry'!BR102="","",'Marks Entry'!BR102)</f>
        <v/>
      </c>
      <c r="CE102" s="105" t="str">
        <f>IF(AND('Marks Entry'!BS102="",'Marks Entry'!BT102=""),"",SUM('Marks Entry'!BS102:BT102))</f>
        <v/>
      </c>
      <c r="CF102" s="105" t="str">
        <f>IF(AND('Marks Entry'!BU102="",'Marks Entry'!BV102=""),"",SUM('Marks Entry'!BU102:BV102))</f>
        <v/>
      </c>
      <c r="CG102" s="105" t="str">
        <f t="shared" si="161"/>
        <v/>
      </c>
      <c r="CH102" s="105" t="str">
        <f t="shared" si="162"/>
        <v/>
      </c>
      <c r="CI102" s="105" t="str">
        <f t="shared" si="163"/>
        <v/>
      </c>
      <c r="CJ102" s="81"/>
      <c r="CK102" s="50" t="str">
        <f t="shared" si="104"/>
        <v/>
      </c>
      <c r="CM102" s="105" t="str">
        <f t="shared" si="105"/>
        <v/>
      </c>
      <c r="CN102" s="105" t="str">
        <f t="shared" si="106"/>
        <v/>
      </c>
      <c r="CO102" s="105" t="str">
        <f t="shared" si="107"/>
        <v/>
      </c>
      <c r="CP102" s="105" t="str">
        <f t="shared" si="108"/>
        <v/>
      </c>
      <c r="CQ102" s="105" t="str">
        <f t="shared" si="109"/>
        <v/>
      </c>
      <c r="CS102" s="105">
        <f t="shared" si="110"/>
        <v>0</v>
      </c>
      <c r="CT102" s="105">
        <f t="shared" si="111"/>
        <v>0</v>
      </c>
      <c r="CU102" s="105">
        <f t="shared" si="112"/>
        <v>0</v>
      </c>
      <c r="CV102" s="105">
        <f t="shared" si="113"/>
        <v>0</v>
      </c>
      <c r="CW102" s="81"/>
      <c r="CX102" s="105" t="str">
        <f t="shared" si="114"/>
        <v/>
      </c>
      <c r="CY102" s="105" t="str">
        <f t="shared" si="115"/>
        <v/>
      </c>
      <c r="CZ102" s="105" t="str">
        <f t="shared" si="116"/>
        <v/>
      </c>
      <c r="DA102" s="105" t="str">
        <f t="shared" si="117"/>
        <v/>
      </c>
      <c r="DB102" s="105" t="str">
        <f t="shared" si="118"/>
        <v/>
      </c>
      <c r="DD102" s="105" t="str">
        <f t="shared" si="119"/>
        <v/>
      </c>
      <c r="DE102" s="105" t="str">
        <f t="shared" si="120"/>
        <v/>
      </c>
      <c r="DF102" s="105" t="str">
        <f t="shared" si="121"/>
        <v/>
      </c>
      <c r="DG102" s="105" t="str">
        <f t="shared" si="122"/>
        <v/>
      </c>
      <c r="DH102" s="105" t="str">
        <f t="shared" si="123"/>
        <v/>
      </c>
      <c r="DI102" s="105" t="str">
        <f t="shared" si="124"/>
        <v/>
      </c>
      <c r="DJ102" s="105" t="str">
        <f t="shared" si="125"/>
        <v/>
      </c>
      <c r="DK102" s="105" t="str">
        <f t="shared" si="126"/>
        <v/>
      </c>
      <c r="DL102" s="105" t="str">
        <f t="shared" si="127"/>
        <v/>
      </c>
      <c r="DM102" s="105" t="str">
        <f t="shared" si="128"/>
        <v/>
      </c>
      <c r="DN102" s="105" t="str">
        <f t="shared" si="129"/>
        <v/>
      </c>
      <c r="DO102" s="105" t="str">
        <f t="shared" si="130"/>
        <v/>
      </c>
      <c r="DP102" s="105" t="str">
        <f t="shared" si="131"/>
        <v/>
      </c>
      <c r="DR102" s="118" t="str">
        <f t="shared" si="164"/>
        <v xml:space="preserve">    </v>
      </c>
      <c r="DS102" s="75"/>
      <c r="DT102" s="119" t="str">
        <f t="shared" si="165"/>
        <v xml:space="preserve">    </v>
      </c>
      <c r="DU102" s="136"/>
      <c r="DV102" s="119" t="str">
        <f t="shared" si="166"/>
        <v xml:space="preserve">    </v>
      </c>
      <c r="DW102" s="75"/>
      <c r="DX102" s="119" t="str">
        <f t="shared" si="167"/>
        <v xml:space="preserve">     </v>
      </c>
      <c r="DY102" s="75"/>
      <c r="DZ102" s="119" t="str">
        <f t="shared" si="168"/>
        <v xml:space="preserve">    </v>
      </c>
    </row>
    <row r="103" spans="1:130" ht="30" customHeight="1" x14ac:dyDescent="0.25">
      <c r="A103" s="105" t="str">
        <f>IF('Marks Entry'!A103="","",'Marks Entry'!A103)</f>
        <v/>
      </c>
      <c r="B103" s="105" t="str">
        <f>IF('Marks Entry'!B103="","",'Marks Entry'!B103)</f>
        <v/>
      </c>
      <c r="C103" s="105" t="str">
        <f>IF('Marks Entry'!C103="","",'Marks Entry'!C103)</f>
        <v/>
      </c>
      <c r="D103" s="48" t="str">
        <f>IF('Marks Entry'!D103="","",'Marks Entry'!D103)</f>
        <v/>
      </c>
      <c r="E103" s="48" t="str">
        <f>IF('Marks Entry'!E103="","",'Marks Entry'!E103)</f>
        <v/>
      </c>
      <c r="F103" s="48" t="str">
        <f>IF('Marks Entry'!F103="","",'Marks Entry'!F103)</f>
        <v/>
      </c>
      <c r="G103" s="105" t="str">
        <f>IF('Marks Entry'!G103="","",'Marks Entry'!G103)</f>
        <v/>
      </c>
      <c r="H103" s="49" t="str">
        <f>IF('Marks Entry'!H103="","",'Marks Entry'!H103)</f>
        <v/>
      </c>
      <c r="I103" s="105" t="str">
        <f>IF('Marks Entry'!I103="","",'Marks Entry'!I103)</f>
        <v/>
      </c>
      <c r="J103" s="105" t="str">
        <f>IF('Marks Entry'!K103="","",'Marks Entry'!K103)</f>
        <v/>
      </c>
      <c r="K103" s="105" t="str">
        <f>IF('Marks Entry'!L103="","",'Marks Entry'!L103)</f>
        <v/>
      </c>
      <c r="L103" s="105" t="str">
        <f>IF(AND('Marks Entry'!M103="",'Marks Entry'!N103=""),"",SUM('Marks Entry'!M103:N103))</f>
        <v/>
      </c>
      <c r="M103" s="105" t="str">
        <f>IF(AND('Marks Entry'!O103="",'Marks Entry'!P103=""),"",SUM('Marks Entry'!O103:P103))</f>
        <v/>
      </c>
      <c r="N103" s="105" t="str">
        <f t="shared" si="101"/>
        <v/>
      </c>
      <c r="O103" s="105" t="str">
        <f t="shared" si="132"/>
        <v/>
      </c>
      <c r="P103" s="105" t="str">
        <f t="shared" si="133"/>
        <v/>
      </c>
      <c r="Q103" s="105" t="str">
        <f>IF('Marks Entry'!R103="","",'Marks Entry'!R103)</f>
        <v/>
      </c>
      <c r="R103" s="105" t="str">
        <f>IF('Marks Entry'!S103="","",'Marks Entry'!S103)</f>
        <v/>
      </c>
      <c r="S103" s="105" t="str">
        <f>IF(AND('Marks Entry'!T103="",'Marks Entry'!U103=""),"",SUM('Marks Entry'!T103:U103))</f>
        <v/>
      </c>
      <c r="T103" s="105" t="str">
        <f>IF(AND('Marks Entry'!V103="",'Marks Entry'!W103=""),"",SUM('Marks Entry'!V103:W103))</f>
        <v/>
      </c>
      <c r="U103" s="105" t="str">
        <f t="shared" si="134"/>
        <v/>
      </c>
      <c r="V103" s="105" t="str">
        <f t="shared" si="135"/>
        <v/>
      </c>
      <c r="W103" s="105" t="str">
        <f t="shared" si="136"/>
        <v/>
      </c>
      <c r="X103" s="47" t="str">
        <f>IF(B103="","",IF('Marks Entry'!Y103="",'Marks Entry'!$Y$4,'Marks Entry'!Y103))</f>
        <v/>
      </c>
      <c r="Y103" s="105" t="str">
        <f>IF('Marks Entry'!Z103="","",'Marks Entry'!Z103)</f>
        <v/>
      </c>
      <c r="Z103" s="105" t="str">
        <f>IF('Marks Entry'!AA103="","",'Marks Entry'!AA103)</f>
        <v/>
      </c>
      <c r="AA103" s="105" t="str">
        <f>IF(AND('Marks Entry'!AB103="",'Marks Entry'!AC103=""),"",SUM('Marks Entry'!AB103:AC103))</f>
        <v/>
      </c>
      <c r="AB103" s="105" t="str">
        <f>IF('Marks Entry'!AD103="","",'Marks Entry'!AD103)</f>
        <v/>
      </c>
      <c r="AC103" s="105" t="str">
        <f t="shared" si="137"/>
        <v/>
      </c>
      <c r="AD103" s="105" t="str">
        <f>IF(AND('Marks Entry'!AE103="",'Marks Entry'!AF103=""),"",SUM('Marks Entry'!AE103:AF103))</f>
        <v/>
      </c>
      <c r="AE103" s="105" t="str">
        <f>IF('Marks Entry'!AG103="","",'Marks Entry'!AG103)</f>
        <v/>
      </c>
      <c r="AF103" s="105" t="str">
        <f t="shared" si="138"/>
        <v/>
      </c>
      <c r="AG103" s="105" t="str">
        <f t="shared" si="139"/>
        <v/>
      </c>
      <c r="AH103" s="105" t="str">
        <f t="shared" si="140"/>
        <v/>
      </c>
      <c r="AI103" s="105" t="str">
        <f t="shared" si="141"/>
        <v/>
      </c>
      <c r="AJ103" s="47" t="str">
        <f>IF(B103="","",IF('Marks Entry'!AI103="",'Marks Entry'!$AI$4,'Marks Entry'!AI103))</f>
        <v/>
      </c>
      <c r="AK103" s="105" t="str">
        <f>IF('Marks Entry'!AJ103="","",'Marks Entry'!AJ103)</f>
        <v/>
      </c>
      <c r="AL103" s="105" t="str">
        <f>IF('Marks Entry'!AK103="","",'Marks Entry'!AK103)</f>
        <v/>
      </c>
      <c r="AM103" s="105" t="str">
        <f>IF(AND('Marks Entry'!AL103="",'Marks Entry'!AM103=""),"",SUM('Marks Entry'!AL103:AM103))</f>
        <v/>
      </c>
      <c r="AN103" s="105" t="str">
        <f>IF('Marks Entry'!AN103="","",'Marks Entry'!AN103)</f>
        <v/>
      </c>
      <c r="AO103" s="105" t="str">
        <f t="shared" si="142"/>
        <v/>
      </c>
      <c r="AP103" s="105" t="str">
        <f>IF(AND('Marks Entry'!AO103="",'Marks Entry'!AP103=""),"",SUM('Marks Entry'!AO103:AP103))</f>
        <v/>
      </c>
      <c r="AQ103" s="105" t="str">
        <f>IF('Marks Entry'!AQ103="","",'Marks Entry'!AQ103)</f>
        <v/>
      </c>
      <c r="AR103" s="105" t="str">
        <f t="shared" si="143"/>
        <v/>
      </c>
      <c r="AS103" s="105" t="str">
        <f t="shared" si="144"/>
        <v/>
      </c>
      <c r="AT103" s="105" t="str">
        <f t="shared" si="145"/>
        <v/>
      </c>
      <c r="AU103" s="105" t="str">
        <f t="shared" si="146"/>
        <v/>
      </c>
      <c r="AV103" s="47" t="str">
        <f>IF(B103="","",IF('Marks Entry'!AS103="",'Marks Entry'!$AS$4,'Marks Entry'!AS103))</f>
        <v/>
      </c>
      <c r="AW103" s="105" t="str">
        <f>IF('Marks Entry'!AT103="","",'Marks Entry'!AT103)</f>
        <v/>
      </c>
      <c r="AX103" s="105" t="str">
        <f>IF('Marks Entry'!AU103="","",'Marks Entry'!AU103)</f>
        <v/>
      </c>
      <c r="AY103" s="105" t="str">
        <f>IF(AND('Marks Entry'!AV103="",'Marks Entry'!AW103=""),"",SUM('Marks Entry'!AV103:AW103))</f>
        <v/>
      </c>
      <c r="AZ103" s="105" t="str">
        <f>IF('Marks Entry'!AX103="","",'Marks Entry'!AX103)</f>
        <v/>
      </c>
      <c r="BA103" s="105">
        <f t="shared" si="147"/>
        <v>0</v>
      </c>
      <c r="BB103" s="105" t="str">
        <f>IF(AND('Marks Entry'!AY103="",'Marks Entry'!AZ103=""),"",SUM('Marks Entry'!AY103:AZ103))</f>
        <v/>
      </c>
      <c r="BC103" s="105" t="str">
        <f>IF('Marks Entry'!BA103="","",'Marks Entry'!BA103)</f>
        <v/>
      </c>
      <c r="BD103" s="105">
        <f t="shared" si="148"/>
        <v>0</v>
      </c>
      <c r="BE103" s="105">
        <f t="shared" si="149"/>
        <v>0</v>
      </c>
      <c r="BF103" s="105" t="str">
        <f t="shared" si="150"/>
        <v/>
      </c>
      <c r="BG103" s="105" t="str">
        <f t="shared" si="151"/>
        <v/>
      </c>
      <c r="BH103" s="105" t="str">
        <f t="shared" si="152"/>
        <v/>
      </c>
      <c r="BI103" s="50" t="str">
        <f t="shared" si="102"/>
        <v/>
      </c>
      <c r="BJ103" s="47" t="str">
        <f t="shared" si="103"/>
        <v/>
      </c>
      <c r="BK103" s="105" t="str">
        <f t="shared" si="153"/>
        <v/>
      </c>
      <c r="BL103" s="105" t="str">
        <f t="shared" si="154"/>
        <v/>
      </c>
      <c r="BM103" s="105" t="str">
        <f>IF(OR(B103="",'Marks Entry'!BY103=""),"",'Marks Entry'!BY103)</f>
        <v/>
      </c>
      <c r="BN103" s="105" t="str">
        <f>IF(OR(B103="",'Marks Entry'!BZ103=""),"",'Marks Entry'!BZ103)</f>
        <v/>
      </c>
      <c r="BO103" s="105" t="str">
        <f>IF('Marks Entry'!BC103="","",'Marks Entry'!BC103)</f>
        <v/>
      </c>
      <c r="BP103" s="105" t="str">
        <f>IF('Marks Entry'!BD103="","",'Marks Entry'!BD103)</f>
        <v/>
      </c>
      <c r="BQ103" s="105" t="str">
        <f>IF(AND('Marks Entry'!BE103="",'Marks Entry'!BF103=""),"",SUM('Marks Entry'!BE103:BF103))</f>
        <v/>
      </c>
      <c r="BR103" s="105" t="str">
        <f>IF(AND('Marks Entry'!BG103="",'Marks Entry'!BH103=""),"",SUM('Marks Entry'!BG103:BH103))</f>
        <v/>
      </c>
      <c r="BS103" s="105" t="str">
        <f t="shared" si="155"/>
        <v/>
      </c>
      <c r="BT103" s="105" t="str">
        <f t="shared" si="156"/>
        <v/>
      </c>
      <c r="BU103" s="105" t="str">
        <f t="shared" si="157"/>
        <v/>
      </c>
      <c r="BV103" s="105" t="str">
        <f>IF('Marks Entry'!BJ103="","",'Marks Entry'!BJ103)</f>
        <v/>
      </c>
      <c r="BW103" s="105" t="str">
        <f>IF('Marks Entry'!BK103="","",'Marks Entry'!BK103)</f>
        <v/>
      </c>
      <c r="BX103" s="105" t="str">
        <f>IF(AND('Marks Entry'!BL103="",'Marks Entry'!BM103=""),"",SUM('Marks Entry'!BL103:BM103))</f>
        <v/>
      </c>
      <c r="BY103" s="105" t="str">
        <f>IF(AND('Marks Entry'!BN103="",'Marks Entry'!BO103=""),"",SUM('Marks Entry'!BN103:BO103))</f>
        <v/>
      </c>
      <c r="BZ103" s="105" t="str">
        <f t="shared" si="158"/>
        <v/>
      </c>
      <c r="CA103" s="105" t="str">
        <f t="shared" si="159"/>
        <v/>
      </c>
      <c r="CB103" s="105" t="str">
        <f t="shared" si="160"/>
        <v/>
      </c>
      <c r="CC103" s="105" t="str">
        <f>IF('Marks Entry'!BQ103="","",'Marks Entry'!BQ103)</f>
        <v/>
      </c>
      <c r="CD103" s="105" t="str">
        <f>IF('Marks Entry'!BR103="","",'Marks Entry'!BR103)</f>
        <v/>
      </c>
      <c r="CE103" s="105" t="str">
        <f>IF(AND('Marks Entry'!BS103="",'Marks Entry'!BT103=""),"",SUM('Marks Entry'!BS103:BT103))</f>
        <v/>
      </c>
      <c r="CF103" s="105" t="str">
        <f>IF(AND('Marks Entry'!BU103="",'Marks Entry'!BV103=""),"",SUM('Marks Entry'!BU103:BV103))</f>
        <v/>
      </c>
      <c r="CG103" s="105" t="str">
        <f t="shared" si="161"/>
        <v/>
      </c>
      <c r="CH103" s="105" t="str">
        <f t="shared" si="162"/>
        <v/>
      </c>
      <c r="CI103" s="105" t="str">
        <f t="shared" si="163"/>
        <v/>
      </c>
      <c r="CJ103" s="81"/>
      <c r="CK103" s="50" t="str">
        <f t="shared" si="104"/>
        <v/>
      </c>
      <c r="CM103" s="105" t="str">
        <f t="shared" si="105"/>
        <v/>
      </c>
      <c r="CN103" s="105" t="str">
        <f t="shared" si="106"/>
        <v/>
      </c>
      <c r="CO103" s="105" t="str">
        <f t="shared" si="107"/>
        <v/>
      </c>
      <c r="CP103" s="105" t="str">
        <f t="shared" si="108"/>
        <v/>
      </c>
      <c r="CQ103" s="105" t="str">
        <f t="shared" si="109"/>
        <v/>
      </c>
      <c r="CS103" s="105">
        <f t="shared" si="110"/>
        <v>0</v>
      </c>
      <c r="CT103" s="105">
        <f t="shared" si="111"/>
        <v>0</v>
      </c>
      <c r="CU103" s="105">
        <f t="shared" si="112"/>
        <v>0</v>
      </c>
      <c r="CV103" s="105">
        <f t="shared" si="113"/>
        <v>0</v>
      </c>
      <c r="CW103" s="81"/>
      <c r="CX103" s="105" t="str">
        <f t="shared" si="114"/>
        <v/>
      </c>
      <c r="CY103" s="105" t="str">
        <f t="shared" si="115"/>
        <v/>
      </c>
      <c r="CZ103" s="105" t="str">
        <f t="shared" si="116"/>
        <v/>
      </c>
      <c r="DA103" s="105" t="str">
        <f t="shared" si="117"/>
        <v/>
      </c>
      <c r="DB103" s="105" t="str">
        <f t="shared" si="118"/>
        <v/>
      </c>
      <c r="DD103" s="105" t="str">
        <f t="shared" si="119"/>
        <v/>
      </c>
      <c r="DE103" s="105" t="str">
        <f t="shared" si="120"/>
        <v/>
      </c>
      <c r="DF103" s="105" t="str">
        <f t="shared" si="121"/>
        <v/>
      </c>
      <c r="DG103" s="105" t="str">
        <f t="shared" si="122"/>
        <v/>
      </c>
      <c r="DH103" s="105" t="str">
        <f t="shared" si="123"/>
        <v/>
      </c>
      <c r="DI103" s="105" t="str">
        <f t="shared" si="124"/>
        <v/>
      </c>
      <c r="DJ103" s="105" t="str">
        <f t="shared" si="125"/>
        <v/>
      </c>
      <c r="DK103" s="105" t="str">
        <f t="shared" si="126"/>
        <v/>
      </c>
      <c r="DL103" s="105" t="str">
        <f t="shared" si="127"/>
        <v/>
      </c>
      <c r="DM103" s="105" t="str">
        <f t="shared" si="128"/>
        <v/>
      </c>
      <c r="DN103" s="105" t="str">
        <f t="shared" si="129"/>
        <v/>
      </c>
      <c r="DO103" s="105" t="str">
        <f t="shared" si="130"/>
        <v/>
      </c>
      <c r="DP103" s="105" t="str">
        <f t="shared" si="131"/>
        <v/>
      </c>
      <c r="DR103" s="118" t="str">
        <f t="shared" si="164"/>
        <v xml:space="preserve">    </v>
      </c>
      <c r="DS103" s="75"/>
      <c r="DT103" s="119" t="str">
        <f t="shared" si="165"/>
        <v xml:space="preserve">    </v>
      </c>
      <c r="DU103" s="136"/>
      <c r="DV103" s="119" t="str">
        <f t="shared" si="166"/>
        <v xml:space="preserve">    </v>
      </c>
      <c r="DW103" s="75"/>
      <c r="DX103" s="119" t="str">
        <f t="shared" si="167"/>
        <v xml:space="preserve">     </v>
      </c>
      <c r="DY103" s="75"/>
      <c r="DZ103" s="119" t="str">
        <f t="shared" si="168"/>
        <v xml:space="preserve">    </v>
      </c>
    </row>
    <row r="104" spans="1:130" ht="30" customHeight="1" x14ac:dyDescent="0.25">
      <c r="A104" s="105" t="str">
        <f>IF('Marks Entry'!A104="","",'Marks Entry'!A104)</f>
        <v/>
      </c>
      <c r="B104" s="105" t="str">
        <f>IF('Marks Entry'!B104="","",'Marks Entry'!B104)</f>
        <v/>
      </c>
      <c r="C104" s="105" t="str">
        <f>IF('Marks Entry'!C104="","",'Marks Entry'!C104)</f>
        <v/>
      </c>
      <c r="D104" s="48" t="str">
        <f>IF('Marks Entry'!D104="","",'Marks Entry'!D104)</f>
        <v/>
      </c>
      <c r="E104" s="48" t="str">
        <f>IF('Marks Entry'!E104="","",'Marks Entry'!E104)</f>
        <v/>
      </c>
      <c r="F104" s="48" t="str">
        <f>IF('Marks Entry'!F104="","",'Marks Entry'!F104)</f>
        <v/>
      </c>
      <c r="G104" s="105" t="str">
        <f>IF('Marks Entry'!G104="","",'Marks Entry'!G104)</f>
        <v/>
      </c>
      <c r="H104" s="49" t="str">
        <f>IF('Marks Entry'!H104="","",'Marks Entry'!H104)</f>
        <v/>
      </c>
      <c r="I104" s="105" t="str">
        <f>IF('Marks Entry'!I104="","",'Marks Entry'!I104)</f>
        <v/>
      </c>
      <c r="J104" s="105" t="str">
        <f>IF('Marks Entry'!K104="","",'Marks Entry'!K104)</f>
        <v/>
      </c>
      <c r="K104" s="105" t="str">
        <f>IF('Marks Entry'!L104="","",'Marks Entry'!L104)</f>
        <v/>
      </c>
      <c r="L104" s="105" t="str">
        <f>IF(AND('Marks Entry'!M104="",'Marks Entry'!N104=""),"",SUM('Marks Entry'!M104:N104))</f>
        <v/>
      </c>
      <c r="M104" s="105" t="str">
        <f>IF(AND('Marks Entry'!O104="",'Marks Entry'!P104=""),"",SUM('Marks Entry'!O104:P104))</f>
        <v/>
      </c>
      <c r="N104" s="105" t="str">
        <f t="shared" si="101"/>
        <v/>
      </c>
      <c r="O104" s="105" t="str">
        <f t="shared" si="132"/>
        <v/>
      </c>
      <c r="P104" s="105" t="str">
        <f t="shared" si="133"/>
        <v/>
      </c>
      <c r="Q104" s="105" t="str">
        <f>IF('Marks Entry'!R104="","",'Marks Entry'!R104)</f>
        <v/>
      </c>
      <c r="R104" s="105" t="str">
        <f>IF('Marks Entry'!S104="","",'Marks Entry'!S104)</f>
        <v/>
      </c>
      <c r="S104" s="105" t="str">
        <f>IF(AND('Marks Entry'!T104="",'Marks Entry'!U104=""),"",SUM('Marks Entry'!T104:U104))</f>
        <v/>
      </c>
      <c r="T104" s="105" t="str">
        <f>IF(AND('Marks Entry'!V104="",'Marks Entry'!W104=""),"",SUM('Marks Entry'!V104:W104))</f>
        <v/>
      </c>
      <c r="U104" s="105" t="str">
        <f t="shared" si="134"/>
        <v/>
      </c>
      <c r="V104" s="105" t="str">
        <f t="shared" si="135"/>
        <v/>
      </c>
      <c r="W104" s="105" t="str">
        <f t="shared" si="136"/>
        <v/>
      </c>
      <c r="X104" s="47" t="str">
        <f>IF(B104="","",IF('Marks Entry'!Y104="",'Marks Entry'!$Y$4,'Marks Entry'!Y104))</f>
        <v/>
      </c>
      <c r="Y104" s="105" t="str">
        <f>IF('Marks Entry'!Z104="","",'Marks Entry'!Z104)</f>
        <v/>
      </c>
      <c r="Z104" s="105" t="str">
        <f>IF('Marks Entry'!AA104="","",'Marks Entry'!AA104)</f>
        <v/>
      </c>
      <c r="AA104" s="105" t="str">
        <f>IF(AND('Marks Entry'!AB104="",'Marks Entry'!AC104=""),"",SUM('Marks Entry'!AB104:AC104))</f>
        <v/>
      </c>
      <c r="AB104" s="105" t="str">
        <f>IF('Marks Entry'!AD104="","",'Marks Entry'!AD104)</f>
        <v/>
      </c>
      <c r="AC104" s="105" t="str">
        <f t="shared" si="137"/>
        <v/>
      </c>
      <c r="AD104" s="105" t="str">
        <f>IF(AND('Marks Entry'!AE104="",'Marks Entry'!AF104=""),"",SUM('Marks Entry'!AE104:AF104))</f>
        <v/>
      </c>
      <c r="AE104" s="105" t="str">
        <f>IF('Marks Entry'!AG104="","",'Marks Entry'!AG104)</f>
        <v/>
      </c>
      <c r="AF104" s="105" t="str">
        <f t="shared" si="138"/>
        <v/>
      </c>
      <c r="AG104" s="105" t="str">
        <f t="shared" si="139"/>
        <v/>
      </c>
      <c r="AH104" s="105" t="str">
        <f t="shared" si="140"/>
        <v/>
      </c>
      <c r="AI104" s="105" t="str">
        <f t="shared" si="141"/>
        <v/>
      </c>
      <c r="AJ104" s="47" t="str">
        <f>IF(B104="","",IF('Marks Entry'!AI104="",'Marks Entry'!$AI$4,'Marks Entry'!AI104))</f>
        <v/>
      </c>
      <c r="AK104" s="105" t="str">
        <f>IF('Marks Entry'!AJ104="","",'Marks Entry'!AJ104)</f>
        <v/>
      </c>
      <c r="AL104" s="105" t="str">
        <f>IF('Marks Entry'!AK104="","",'Marks Entry'!AK104)</f>
        <v/>
      </c>
      <c r="AM104" s="105" t="str">
        <f>IF(AND('Marks Entry'!AL104="",'Marks Entry'!AM104=""),"",SUM('Marks Entry'!AL104:AM104))</f>
        <v/>
      </c>
      <c r="AN104" s="105" t="str">
        <f>IF('Marks Entry'!AN104="","",'Marks Entry'!AN104)</f>
        <v/>
      </c>
      <c r="AO104" s="105" t="str">
        <f t="shared" si="142"/>
        <v/>
      </c>
      <c r="AP104" s="105" t="str">
        <f>IF(AND('Marks Entry'!AO104="",'Marks Entry'!AP104=""),"",SUM('Marks Entry'!AO104:AP104))</f>
        <v/>
      </c>
      <c r="AQ104" s="105" t="str">
        <f>IF('Marks Entry'!AQ104="","",'Marks Entry'!AQ104)</f>
        <v/>
      </c>
      <c r="AR104" s="105" t="str">
        <f t="shared" si="143"/>
        <v/>
      </c>
      <c r="AS104" s="105" t="str">
        <f t="shared" si="144"/>
        <v/>
      </c>
      <c r="AT104" s="105" t="str">
        <f t="shared" si="145"/>
        <v/>
      </c>
      <c r="AU104" s="105" t="str">
        <f t="shared" si="146"/>
        <v/>
      </c>
      <c r="AV104" s="47" t="str">
        <f>IF(B104="","",IF('Marks Entry'!AS104="",'Marks Entry'!$AS$4,'Marks Entry'!AS104))</f>
        <v/>
      </c>
      <c r="AW104" s="105" t="str">
        <f>IF('Marks Entry'!AT104="","",'Marks Entry'!AT104)</f>
        <v/>
      </c>
      <c r="AX104" s="105" t="str">
        <f>IF('Marks Entry'!AU104="","",'Marks Entry'!AU104)</f>
        <v/>
      </c>
      <c r="AY104" s="105" t="str">
        <f>IF(AND('Marks Entry'!AV104="",'Marks Entry'!AW104=""),"",SUM('Marks Entry'!AV104:AW104))</f>
        <v/>
      </c>
      <c r="AZ104" s="105" t="str">
        <f>IF('Marks Entry'!AX104="","",'Marks Entry'!AX104)</f>
        <v/>
      </c>
      <c r="BA104" s="105">
        <f t="shared" si="147"/>
        <v>0</v>
      </c>
      <c r="BB104" s="105" t="str">
        <f>IF(AND('Marks Entry'!AY104="",'Marks Entry'!AZ104=""),"",SUM('Marks Entry'!AY104:AZ104))</f>
        <v/>
      </c>
      <c r="BC104" s="105" t="str">
        <f>IF('Marks Entry'!BA104="","",'Marks Entry'!BA104)</f>
        <v/>
      </c>
      <c r="BD104" s="105">
        <f t="shared" si="148"/>
        <v>0</v>
      </c>
      <c r="BE104" s="105">
        <f t="shared" si="149"/>
        <v>0</v>
      </c>
      <c r="BF104" s="105" t="str">
        <f t="shared" si="150"/>
        <v/>
      </c>
      <c r="BG104" s="105" t="str">
        <f t="shared" si="151"/>
        <v/>
      </c>
      <c r="BH104" s="105" t="str">
        <f t="shared" si="152"/>
        <v/>
      </c>
      <c r="BI104" s="50" t="str">
        <f t="shared" si="102"/>
        <v/>
      </c>
      <c r="BJ104" s="47" t="str">
        <f t="shared" si="103"/>
        <v/>
      </c>
      <c r="BK104" s="105" t="str">
        <f t="shared" si="153"/>
        <v/>
      </c>
      <c r="BL104" s="105" t="str">
        <f t="shared" si="154"/>
        <v/>
      </c>
      <c r="BM104" s="105" t="str">
        <f>IF(OR(B104="",'Marks Entry'!BY104=""),"",'Marks Entry'!BY104)</f>
        <v/>
      </c>
      <c r="BN104" s="105" t="str">
        <f>IF(OR(B104="",'Marks Entry'!BZ104=""),"",'Marks Entry'!BZ104)</f>
        <v/>
      </c>
      <c r="BO104" s="105" t="str">
        <f>IF('Marks Entry'!BC104="","",'Marks Entry'!BC104)</f>
        <v/>
      </c>
      <c r="BP104" s="105" t="str">
        <f>IF('Marks Entry'!BD104="","",'Marks Entry'!BD104)</f>
        <v/>
      </c>
      <c r="BQ104" s="105" t="str">
        <f>IF(AND('Marks Entry'!BE104="",'Marks Entry'!BF104=""),"",SUM('Marks Entry'!BE104:BF104))</f>
        <v/>
      </c>
      <c r="BR104" s="105" t="str">
        <f>IF(AND('Marks Entry'!BG104="",'Marks Entry'!BH104=""),"",SUM('Marks Entry'!BG104:BH104))</f>
        <v/>
      </c>
      <c r="BS104" s="105" t="str">
        <f t="shared" si="155"/>
        <v/>
      </c>
      <c r="BT104" s="105" t="str">
        <f t="shared" si="156"/>
        <v/>
      </c>
      <c r="BU104" s="105" t="str">
        <f t="shared" si="157"/>
        <v/>
      </c>
      <c r="BV104" s="105" t="str">
        <f>IF('Marks Entry'!BJ104="","",'Marks Entry'!BJ104)</f>
        <v/>
      </c>
      <c r="BW104" s="105" t="str">
        <f>IF('Marks Entry'!BK104="","",'Marks Entry'!BK104)</f>
        <v/>
      </c>
      <c r="BX104" s="105" t="str">
        <f>IF(AND('Marks Entry'!BL104="",'Marks Entry'!BM104=""),"",SUM('Marks Entry'!BL104:BM104))</f>
        <v/>
      </c>
      <c r="BY104" s="105" t="str">
        <f>IF(AND('Marks Entry'!BN104="",'Marks Entry'!BO104=""),"",SUM('Marks Entry'!BN104:BO104))</f>
        <v/>
      </c>
      <c r="BZ104" s="105" t="str">
        <f t="shared" si="158"/>
        <v/>
      </c>
      <c r="CA104" s="105" t="str">
        <f t="shared" si="159"/>
        <v/>
      </c>
      <c r="CB104" s="105" t="str">
        <f t="shared" si="160"/>
        <v/>
      </c>
      <c r="CC104" s="105" t="str">
        <f>IF('Marks Entry'!BQ104="","",'Marks Entry'!BQ104)</f>
        <v/>
      </c>
      <c r="CD104" s="105" t="str">
        <f>IF('Marks Entry'!BR104="","",'Marks Entry'!BR104)</f>
        <v/>
      </c>
      <c r="CE104" s="105" t="str">
        <f>IF(AND('Marks Entry'!BS104="",'Marks Entry'!BT104=""),"",SUM('Marks Entry'!BS104:BT104))</f>
        <v/>
      </c>
      <c r="CF104" s="105" t="str">
        <f>IF(AND('Marks Entry'!BU104="",'Marks Entry'!BV104=""),"",SUM('Marks Entry'!BU104:BV104))</f>
        <v/>
      </c>
      <c r="CG104" s="105" t="str">
        <f t="shared" si="161"/>
        <v/>
      </c>
      <c r="CH104" s="105" t="str">
        <f t="shared" si="162"/>
        <v/>
      </c>
      <c r="CI104" s="105" t="str">
        <f t="shared" si="163"/>
        <v/>
      </c>
      <c r="CJ104" s="81"/>
      <c r="CK104" s="50" t="str">
        <f t="shared" si="104"/>
        <v/>
      </c>
      <c r="CM104" s="105" t="str">
        <f t="shared" si="105"/>
        <v/>
      </c>
      <c r="CN104" s="105" t="str">
        <f t="shared" si="106"/>
        <v/>
      </c>
      <c r="CO104" s="105" t="str">
        <f t="shared" si="107"/>
        <v/>
      </c>
      <c r="CP104" s="105" t="str">
        <f t="shared" si="108"/>
        <v/>
      </c>
      <c r="CQ104" s="105" t="str">
        <f t="shared" si="109"/>
        <v/>
      </c>
      <c r="CS104" s="105">
        <f t="shared" si="110"/>
        <v>0</v>
      </c>
      <c r="CT104" s="105">
        <f t="shared" si="111"/>
        <v>0</v>
      </c>
      <c r="CU104" s="105">
        <f t="shared" si="112"/>
        <v>0</v>
      </c>
      <c r="CV104" s="105">
        <f t="shared" si="113"/>
        <v>0</v>
      </c>
      <c r="CW104" s="81"/>
      <c r="CX104" s="105" t="str">
        <f t="shared" si="114"/>
        <v/>
      </c>
      <c r="CY104" s="105" t="str">
        <f t="shared" si="115"/>
        <v/>
      </c>
      <c r="CZ104" s="105" t="str">
        <f t="shared" si="116"/>
        <v/>
      </c>
      <c r="DA104" s="105" t="str">
        <f t="shared" si="117"/>
        <v/>
      </c>
      <c r="DB104" s="105" t="str">
        <f t="shared" si="118"/>
        <v/>
      </c>
      <c r="DD104" s="105" t="str">
        <f t="shared" si="119"/>
        <v/>
      </c>
      <c r="DE104" s="105" t="str">
        <f t="shared" si="120"/>
        <v/>
      </c>
      <c r="DF104" s="105" t="str">
        <f t="shared" si="121"/>
        <v/>
      </c>
      <c r="DG104" s="105" t="str">
        <f t="shared" si="122"/>
        <v/>
      </c>
      <c r="DH104" s="105" t="str">
        <f t="shared" si="123"/>
        <v/>
      </c>
      <c r="DI104" s="105" t="str">
        <f t="shared" si="124"/>
        <v/>
      </c>
      <c r="DJ104" s="105" t="str">
        <f t="shared" si="125"/>
        <v/>
      </c>
      <c r="DK104" s="105" t="str">
        <f t="shared" si="126"/>
        <v/>
      </c>
      <c r="DL104" s="105" t="str">
        <f t="shared" si="127"/>
        <v/>
      </c>
      <c r="DM104" s="105" t="str">
        <f t="shared" si="128"/>
        <v/>
      </c>
      <c r="DN104" s="105" t="str">
        <f t="shared" si="129"/>
        <v/>
      </c>
      <c r="DO104" s="105" t="str">
        <f t="shared" si="130"/>
        <v/>
      </c>
      <c r="DP104" s="105" t="str">
        <f t="shared" si="131"/>
        <v/>
      </c>
      <c r="DR104" s="118" t="str">
        <f t="shared" si="164"/>
        <v xml:space="preserve">    </v>
      </c>
      <c r="DS104" s="75"/>
      <c r="DT104" s="119" t="str">
        <f t="shared" si="165"/>
        <v xml:space="preserve">    </v>
      </c>
      <c r="DU104" s="136"/>
      <c r="DV104" s="119" t="str">
        <f t="shared" si="166"/>
        <v xml:space="preserve">    </v>
      </c>
      <c r="DW104" s="75"/>
      <c r="DX104" s="119" t="str">
        <f t="shared" si="167"/>
        <v xml:space="preserve">     </v>
      </c>
      <c r="DY104" s="75"/>
      <c r="DZ104" s="119" t="str">
        <f t="shared" si="168"/>
        <v xml:space="preserve">    </v>
      </c>
    </row>
    <row r="105" spans="1:130" ht="30" customHeight="1" x14ac:dyDescent="0.25">
      <c r="A105" s="105" t="str">
        <f>IF('Marks Entry'!A105="","",'Marks Entry'!A105)</f>
        <v/>
      </c>
      <c r="B105" s="105" t="str">
        <f>IF('Marks Entry'!B105="","",'Marks Entry'!B105)</f>
        <v/>
      </c>
      <c r="C105" s="105" t="str">
        <f>IF('Marks Entry'!C105="","",'Marks Entry'!C105)</f>
        <v/>
      </c>
      <c r="D105" s="48" t="str">
        <f>IF('Marks Entry'!D105="","",'Marks Entry'!D105)</f>
        <v/>
      </c>
      <c r="E105" s="48" t="str">
        <f>IF('Marks Entry'!E105="","",'Marks Entry'!E105)</f>
        <v/>
      </c>
      <c r="F105" s="48" t="str">
        <f>IF('Marks Entry'!F105="","",'Marks Entry'!F105)</f>
        <v/>
      </c>
      <c r="G105" s="105" t="str">
        <f>IF('Marks Entry'!G105="","",'Marks Entry'!G105)</f>
        <v/>
      </c>
      <c r="H105" s="49" t="str">
        <f>IF('Marks Entry'!H105="","",'Marks Entry'!H105)</f>
        <v/>
      </c>
      <c r="I105" s="105" t="str">
        <f>IF('Marks Entry'!I105="","",'Marks Entry'!I105)</f>
        <v/>
      </c>
      <c r="J105" s="105" t="str">
        <f>IF('Marks Entry'!K105="","",'Marks Entry'!K105)</f>
        <v/>
      </c>
      <c r="K105" s="105" t="str">
        <f>IF('Marks Entry'!L105="","",'Marks Entry'!L105)</f>
        <v/>
      </c>
      <c r="L105" s="105" t="str">
        <f>IF(AND('Marks Entry'!M105="",'Marks Entry'!N105=""),"",SUM('Marks Entry'!M105:N105))</f>
        <v/>
      </c>
      <c r="M105" s="105" t="str">
        <f>IF(AND('Marks Entry'!O105="",'Marks Entry'!P105=""),"",SUM('Marks Entry'!O105:P105))</f>
        <v/>
      </c>
      <c r="N105" s="105" t="str">
        <f t="shared" ref="N105:N109" si="169">IF(AND(J105="",K105="",L105="",M105=""),"",SUM(J105:M105))</f>
        <v/>
      </c>
      <c r="O105" s="105" t="str">
        <f t="shared" si="132"/>
        <v/>
      </c>
      <c r="P105" s="105" t="str">
        <f t="shared" si="133"/>
        <v/>
      </c>
      <c r="Q105" s="105" t="str">
        <f>IF('Marks Entry'!R105="","",'Marks Entry'!R105)</f>
        <v/>
      </c>
      <c r="R105" s="105" t="str">
        <f>IF('Marks Entry'!S105="","",'Marks Entry'!S105)</f>
        <v/>
      </c>
      <c r="S105" s="105" t="str">
        <f>IF(AND('Marks Entry'!T105="",'Marks Entry'!U105=""),"",SUM('Marks Entry'!T105:U105))</f>
        <v/>
      </c>
      <c r="T105" s="105" t="str">
        <f>IF(AND('Marks Entry'!V105="",'Marks Entry'!W105=""),"",SUM('Marks Entry'!V105:W105))</f>
        <v/>
      </c>
      <c r="U105" s="105" t="str">
        <f t="shared" si="134"/>
        <v/>
      </c>
      <c r="V105" s="105" t="str">
        <f t="shared" si="135"/>
        <v/>
      </c>
      <c r="W105" s="105" t="str">
        <f t="shared" si="136"/>
        <v/>
      </c>
      <c r="X105" s="47" t="str">
        <f>IF(B105="","",IF('Marks Entry'!Y105="",'Marks Entry'!$Y$4,'Marks Entry'!Y105))</f>
        <v/>
      </c>
      <c r="Y105" s="105" t="str">
        <f>IF('Marks Entry'!Z105="","",'Marks Entry'!Z105)</f>
        <v/>
      </c>
      <c r="Z105" s="105" t="str">
        <f>IF('Marks Entry'!AA105="","",'Marks Entry'!AA105)</f>
        <v/>
      </c>
      <c r="AA105" s="105" t="str">
        <f>IF(AND('Marks Entry'!AB105="",'Marks Entry'!AC105=""),"",SUM('Marks Entry'!AB105:AC105))</f>
        <v/>
      </c>
      <c r="AB105" s="105" t="str">
        <f>IF('Marks Entry'!AD105="","",'Marks Entry'!AD105)</f>
        <v/>
      </c>
      <c r="AC105" s="105" t="str">
        <f t="shared" si="137"/>
        <v/>
      </c>
      <c r="AD105" s="105" t="str">
        <f>IF(AND('Marks Entry'!AE105="",'Marks Entry'!AF105=""),"",SUM('Marks Entry'!AE105:AF105))</f>
        <v/>
      </c>
      <c r="AE105" s="105" t="str">
        <f>IF('Marks Entry'!AG105="","",'Marks Entry'!AG105)</f>
        <v/>
      </c>
      <c r="AF105" s="105" t="str">
        <f t="shared" si="138"/>
        <v/>
      </c>
      <c r="AG105" s="105" t="str">
        <f t="shared" si="139"/>
        <v/>
      </c>
      <c r="AH105" s="105" t="str">
        <f t="shared" si="140"/>
        <v/>
      </c>
      <c r="AI105" s="105" t="str">
        <f t="shared" si="141"/>
        <v/>
      </c>
      <c r="AJ105" s="47" t="str">
        <f>IF(B105="","",IF('Marks Entry'!AI105="",'Marks Entry'!$AI$4,'Marks Entry'!AI105))</f>
        <v/>
      </c>
      <c r="AK105" s="105" t="str">
        <f>IF('Marks Entry'!AJ105="","",'Marks Entry'!AJ105)</f>
        <v/>
      </c>
      <c r="AL105" s="105" t="str">
        <f>IF('Marks Entry'!AK105="","",'Marks Entry'!AK105)</f>
        <v/>
      </c>
      <c r="AM105" s="105" t="str">
        <f>IF(AND('Marks Entry'!AL105="",'Marks Entry'!AM105=""),"",SUM('Marks Entry'!AL105:AM105))</f>
        <v/>
      </c>
      <c r="AN105" s="105" t="str">
        <f>IF('Marks Entry'!AN105="","",'Marks Entry'!AN105)</f>
        <v/>
      </c>
      <c r="AO105" s="105" t="str">
        <f t="shared" si="142"/>
        <v/>
      </c>
      <c r="AP105" s="105" t="str">
        <f>IF(AND('Marks Entry'!AO105="",'Marks Entry'!AP105=""),"",SUM('Marks Entry'!AO105:AP105))</f>
        <v/>
      </c>
      <c r="AQ105" s="105" t="str">
        <f>IF('Marks Entry'!AQ105="","",'Marks Entry'!AQ105)</f>
        <v/>
      </c>
      <c r="AR105" s="105" t="str">
        <f t="shared" si="143"/>
        <v/>
      </c>
      <c r="AS105" s="105" t="str">
        <f t="shared" si="144"/>
        <v/>
      </c>
      <c r="AT105" s="105" t="str">
        <f t="shared" si="145"/>
        <v/>
      </c>
      <c r="AU105" s="105" t="str">
        <f t="shared" si="146"/>
        <v/>
      </c>
      <c r="AV105" s="47" t="str">
        <f>IF(B105="","",IF('Marks Entry'!AS105="",'Marks Entry'!$AS$4,'Marks Entry'!AS105))</f>
        <v/>
      </c>
      <c r="AW105" s="105" t="str">
        <f>IF('Marks Entry'!AT105="","",'Marks Entry'!AT105)</f>
        <v/>
      </c>
      <c r="AX105" s="105" t="str">
        <f>IF('Marks Entry'!AU105="","",'Marks Entry'!AU105)</f>
        <v/>
      </c>
      <c r="AY105" s="105" t="str">
        <f>IF(AND('Marks Entry'!AV105="",'Marks Entry'!AW105=""),"",SUM('Marks Entry'!AV105:AW105))</f>
        <v/>
      </c>
      <c r="AZ105" s="105" t="str">
        <f>IF('Marks Entry'!AX105="","",'Marks Entry'!AX105)</f>
        <v/>
      </c>
      <c r="BA105" s="105">
        <f t="shared" si="147"/>
        <v>0</v>
      </c>
      <c r="BB105" s="105" t="str">
        <f>IF(AND('Marks Entry'!AY105="",'Marks Entry'!AZ105=""),"",SUM('Marks Entry'!AY105:AZ105))</f>
        <v/>
      </c>
      <c r="BC105" s="105" t="str">
        <f>IF('Marks Entry'!BA105="","",'Marks Entry'!BA105)</f>
        <v/>
      </c>
      <c r="BD105" s="105">
        <f t="shared" si="148"/>
        <v>0</v>
      </c>
      <c r="BE105" s="105">
        <f t="shared" si="149"/>
        <v>0</v>
      </c>
      <c r="BF105" s="105" t="str">
        <f t="shared" si="150"/>
        <v/>
      </c>
      <c r="BG105" s="105" t="str">
        <f t="shared" si="151"/>
        <v/>
      </c>
      <c r="BH105" s="105" t="str">
        <f t="shared" si="152"/>
        <v/>
      </c>
      <c r="BI105" s="50" t="str">
        <f t="shared" ref="BI105:BI136" si="170">IF(OR(B105="",B105="NSO",BH105=0),"",BH105/1000)</f>
        <v/>
      </c>
      <c r="BJ105" s="47" t="str">
        <f t="shared" si="103"/>
        <v/>
      </c>
      <c r="BK105" s="105" t="str">
        <f t="shared" si="153"/>
        <v/>
      </c>
      <c r="BL105" s="105" t="str">
        <f t="shared" si="154"/>
        <v/>
      </c>
      <c r="BM105" s="105" t="str">
        <f>IF(OR(B105="",'Marks Entry'!BY105=""),"",'Marks Entry'!BY105)</f>
        <v/>
      </c>
      <c r="BN105" s="105" t="str">
        <f>IF(OR(B105="",'Marks Entry'!BZ105=""),"",'Marks Entry'!BZ105)</f>
        <v/>
      </c>
      <c r="BO105" s="105" t="str">
        <f>IF('Marks Entry'!BC105="","",'Marks Entry'!BC105)</f>
        <v/>
      </c>
      <c r="BP105" s="105" t="str">
        <f>IF('Marks Entry'!BD105="","",'Marks Entry'!BD105)</f>
        <v/>
      </c>
      <c r="BQ105" s="105" t="str">
        <f>IF(AND('Marks Entry'!BE105="",'Marks Entry'!BF105=""),"",SUM('Marks Entry'!BE105:BF105))</f>
        <v/>
      </c>
      <c r="BR105" s="105" t="str">
        <f>IF(AND('Marks Entry'!BG105="",'Marks Entry'!BH105=""),"",SUM('Marks Entry'!BG105:BH105))</f>
        <v/>
      </c>
      <c r="BS105" s="105" t="str">
        <f t="shared" si="155"/>
        <v/>
      </c>
      <c r="BT105" s="105" t="str">
        <f t="shared" si="156"/>
        <v/>
      </c>
      <c r="BU105" s="105" t="str">
        <f t="shared" si="157"/>
        <v/>
      </c>
      <c r="BV105" s="105" t="str">
        <f>IF('Marks Entry'!BJ105="","",'Marks Entry'!BJ105)</f>
        <v/>
      </c>
      <c r="BW105" s="105" t="str">
        <f>IF('Marks Entry'!BK105="","",'Marks Entry'!BK105)</f>
        <v/>
      </c>
      <c r="BX105" s="105" t="str">
        <f>IF(AND('Marks Entry'!BL105="",'Marks Entry'!BM105=""),"",SUM('Marks Entry'!BL105:BM105))</f>
        <v/>
      </c>
      <c r="BY105" s="105" t="str">
        <f>IF(AND('Marks Entry'!BN105="",'Marks Entry'!BO105=""),"",SUM('Marks Entry'!BN105:BO105))</f>
        <v/>
      </c>
      <c r="BZ105" s="105" t="str">
        <f t="shared" si="158"/>
        <v/>
      </c>
      <c r="CA105" s="105" t="str">
        <f t="shared" si="159"/>
        <v/>
      </c>
      <c r="CB105" s="105" t="str">
        <f t="shared" si="160"/>
        <v/>
      </c>
      <c r="CC105" s="105" t="str">
        <f>IF('Marks Entry'!BQ105="","",'Marks Entry'!BQ105)</f>
        <v/>
      </c>
      <c r="CD105" s="105" t="str">
        <f>IF('Marks Entry'!BR105="","",'Marks Entry'!BR105)</f>
        <v/>
      </c>
      <c r="CE105" s="105" t="str">
        <f>IF(AND('Marks Entry'!BS105="",'Marks Entry'!BT105=""),"",SUM('Marks Entry'!BS105:BT105))</f>
        <v/>
      </c>
      <c r="CF105" s="105" t="str">
        <f>IF(AND('Marks Entry'!BU105="",'Marks Entry'!BV105=""),"",SUM('Marks Entry'!BU105:BV105))</f>
        <v/>
      </c>
      <c r="CG105" s="105" t="str">
        <f t="shared" si="161"/>
        <v/>
      </c>
      <c r="CH105" s="105" t="str">
        <f t="shared" si="162"/>
        <v/>
      </c>
      <c r="CI105" s="105" t="str">
        <f t="shared" si="163"/>
        <v/>
      </c>
      <c r="CJ105" s="81"/>
      <c r="CK105" s="50" t="str">
        <f t="shared" si="104"/>
        <v/>
      </c>
      <c r="CM105" s="105" t="str">
        <f t="shared" si="105"/>
        <v/>
      </c>
      <c r="CN105" s="105" t="str">
        <f t="shared" si="106"/>
        <v/>
      </c>
      <c r="CO105" s="105" t="str">
        <f t="shared" si="107"/>
        <v/>
      </c>
      <c r="CP105" s="105" t="str">
        <f t="shared" si="108"/>
        <v/>
      </c>
      <c r="CQ105" s="105" t="str">
        <f t="shared" si="109"/>
        <v/>
      </c>
      <c r="CS105" s="105">
        <f t="shared" si="110"/>
        <v>0</v>
      </c>
      <c r="CT105" s="105">
        <f t="shared" si="111"/>
        <v>0</v>
      </c>
      <c r="CU105" s="105">
        <f t="shared" si="112"/>
        <v>0</v>
      </c>
      <c r="CV105" s="105">
        <f t="shared" si="113"/>
        <v>0</v>
      </c>
      <c r="CW105" s="81"/>
      <c r="CX105" s="105" t="str">
        <f t="shared" si="114"/>
        <v/>
      </c>
      <c r="CY105" s="105" t="str">
        <f t="shared" si="115"/>
        <v/>
      </c>
      <c r="CZ105" s="105" t="str">
        <f t="shared" si="116"/>
        <v/>
      </c>
      <c r="DA105" s="105" t="str">
        <f t="shared" si="117"/>
        <v/>
      </c>
      <c r="DB105" s="105" t="str">
        <f t="shared" si="118"/>
        <v/>
      </c>
      <c r="DD105" s="105" t="str">
        <f t="shared" si="119"/>
        <v/>
      </c>
      <c r="DE105" s="105" t="str">
        <f t="shared" ref="DE105:DE136" si="171">IF(DD105="G"," + "&amp;ROUNDUP(36%*200-N105,0),"")</f>
        <v/>
      </c>
      <c r="DF105" s="105" t="str">
        <f t="shared" si="121"/>
        <v/>
      </c>
      <c r="DG105" s="105" t="str">
        <f t="shared" ref="DG105:DG136" si="172">IF(DF105="G"," + "&amp;ROUNDUP(36%*200-U105,0),"")</f>
        <v/>
      </c>
      <c r="DH105" s="105" t="str">
        <f t="shared" si="123"/>
        <v/>
      </c>
      <c r="DI105" s="105" t="str">
        <f t="shared" ref="DI105:DI136" si="173">IF(DH105="G"," + "&amp;ROUNDUP(36%*200-AG105,0),"")</f>
        <v/>
      </c>
      <c r="DJ105" s="105" t="str">
        <f t="shared" si="125"/>
        <v/>
      </c>
      <c r="DK105" s="105" t="str">
        <f t="shared" ref="DK105:DK136" si="174">IF(DJ105="G"," + "&amp;ROUNDUP(36%*200-AS105,0),"")</f>
        <v/>
      </c>
      <c r="DL105" s="105" t="str">
        <f t="shared" si="127"/>
        <v/>
      </c>
      <c r="DM105" s="105" t="str">
        <f t="shared" ref="DM105:DM136" si="175">IF(DL105="G"," + "&amp;ROUNDUP(36%*200-BE105,0),"")</f>
        <v/>
      </c>
      <c r="DN105" s="105" t="str">
        <f t="shared" si="129"/>
        <v/>
      </c>
      <c r="DO105" s="105" t="str">
        <f t="shared" si="130"/>
        <v/>
      </c>
      <c r="DP105" s="105" t="str">
        <f t="shared" si="131"/>
        <v/>
      </c>
      <c r="DR105" s="118" t="str">
        <f t="shared" si="164"/>
        <v xml:space="preserve">    </v>
      </c>
      <c r="DS105" s="75"/>
      <c r="DT105" s="119" t="str">
        <f t="shared" si="165"/>
        <v xml:space="preserve">    </v>
      </c>
      <c r="DU105" s="136"/>
      <c r="DV105" s="119" t="str">
        <f t="shared" si="166"/>
        <v xml:space="preserve">    </v>
      </c>
      <c r="DW105" s="75"/>
      <c r="DX105" s="119" t="str">
        <f t="shared" si="167"/>
        <v xml:space="preserve">     </v>
      </c>
      <c r="DY105" s="75"/>
      <c r="DZ105" s="119" t="str">
        <f t="shared" si="168"/>
        <v xml:space="preserve">    </v>
      </c>
    </row>
    <row r="106" spans="1:130" ht="30" customHeight="1" x14ac:dyDescent="0.25">
      <c r="A106" s="105" t="str">
        <f>IF('Marks Entry'!A106="","",'Marks Entry'!A106)</f>
        <v/>
      </c>
      <c r="B106" s="105" t="str">
        <f>IF('Marks Entry'!B106="","",'Marks Entry'!B106)</f>
        <v/>
      </c>
      <c r="C106" s="105" t="str">
        <f>IF('Marks Entry'!C106="","",'Marks Entry'!C106)</f>
        <v/>
      </c>
      <c r="D106" s="48" t="str">
        <f>IF('Marks Entry'!D106="","",'Marks Entry'!D106)</f>
        <v/>
      </c>
      <c r="E106" s="48" t="str">
        <f>IF('Marks Entry'!E106="","",'Marks Entry'!E106)</f>
        <v/>
      </c>
      <c r="F106" s="48" t="str">
        <f>IF('Marks Entry'!F106="","",'Marks Entry'!F106)</f>
        <v/>
      </c>
      <c r="G106" s="105" t="str">
        <f>IF('Marks Entry'!G106="","",'Marks Entry'!G106)</f>
        <v/>
      </c>
      <c r="H106" s="49" t="str">
        <f>IF('Marks Entry'!H106="","",'Marks Entry'!H106)</f>
        <v/>
      </c>
      <c r="I106" s="105" t="str">
        <f>IF('Marks Entry'!I106="","",'Marks Entry'!I106)</f>
        <v/>
      </c>
      <c r="J106" s="105" t="str">
        <f>IF('Marks Entry'!K106="","",'Marks Entry'!K106)</f>
        <v/>
      </c>
      <c r="K106" s="105" t="str">
        <f>IF('Marks Entry'!L106="","",'Marks Entry'!L106)</f>
        <v/>
      </c>
      <c r="L106" s="105" t="str">
        <f>IF(AND('Marks Entry'!M106="",'Marks Entry'!N106=""),"",SUM('Marks Entry'!M106:N106))</f>
        <v/>
      </c>
      <c r="M106" s="105" t="str">
        <f>IF(AND('Marks Entry'!O106="",'Marks Entry'!P106=""),"",SUM('Marks Entry'!O106:P106))</f>
        <v/>
      </c>
      <c r="N106" s="105" t="str">
        <f t="shared" si="169"/>
        <v/>
      </c>
      <c r="O106" s="105" t="str">
        <f t="shared" si="132"/>
        <v/>
      </c>
      <c r="P106" s="105" t="str">
        <f t="shared" si="133"/>
        <v/>
      </c>
      <c r="Q106" s="105" t="str">
        <f>IF('Marks Entry'!R106="","",'Marks Entry'!R106)</f>
        <v/>
      </c>
      <c r="R106" s="105" t="str">
        <f>IF('Marks Entry'!S106="","",'Marks Entry'!S106)</f>
        <v/>
      </c>
      <c r="S106" s="105" t="str">
        <f>IF(AND('Marks Entry'!T106="",'Marks Entry'!U106=""),"",SUM('Marks Entry'!T106:U106))</f>
        <v/>
      </c>
      <c r="T106" s="105" t="str">
        <f>IF(AND('Marks Entry'!V106="",'Marks Entry'!W106=""),"",SUM('Marks Entry'!V106:W106))</f>
        <v/>
      </c>
      <c r="U106" s="105" t="str">
        <f t="shared" si="134"/>
        <v/>
      </c>
      <c r="V106" s="105" t="str">
        <f t="shared" si="135"/>
        <v/>
      </c>
      <c r="W106" s="105" t="str">
        <f t="shared" si="136"/>
        <v/>
      </c>
      <c r="X106" s="47" t="str">
        <f>IF(B106="","",IF('Marks Entry'!Y106="",'Marks Entry'!$Y$4,'Marks Entry'!Y106))</f>
        <v/>
      </c>
      <c r="Y106" s="105" t="str">
        <f>IF('Marks Entry'!Z106="","",'Marks Entry'!Z106)</f>
        <v/>
      </c>
      <c r="Z106" s="105" t="str">
        <f>IF('Marks Entry'!AA106="","",'Marks Entry'!AA106)</f>
        <v/>
      </c>
      <c r="AA106" s="105" t="str">
        <f>IF(AND('Marks Entry'!AB106="",'Marks Entry'!AC106=""),"",SUM('Marks Entry'!AB106:AC106))</f>
        <v/>
      </c>
      <c r="AB106" s="105" t="str">
        <f>IF('Marks Entry'!AD106="","",'Marks Entry'!AD106)</f>
        <v/>
      </c>
      <c r="AC106" s="105" t="str">
        <f t="shared" si="137"/>
        <v/>
      </c>
      <c r="AD106" s="105" t="str">
        <f>IF(AND('Marks Entry'!AE106="",'Marks Entry'!AF106=""),"",SUM('Marks Entry'!AE106:AF106))</f>
        <v/>
      </c>
      <c r="AE106" s="105" t="str">
        <f>IF('Marks Entry'!AG106="","",'Marks Entry'!AG106)</f>
        <v/>
      </c>
      <c r="AF106" s="105" t="str">
        <f t="shared" si="138"/>
        <v/>
      </c>
      <c r="AG106" s="105" t="str">
        <f t="shared" si="139"/>
        <v/>
      </c>
      <c r="AH106" s="105" t="str">
        <f t="shared" si="140"/>
        <v/>
      </c>
      <c r="AI106" s="105" t="str">
        <f t="shared" si="141"/>
        <v/>
      </c>
      <c r="AJ106" s="47" t="str">
        <f>IF(B106="","",IF('Marks Entry'!AI106="",'Marks Entry'!$AI$4,'Marks Entry'!AI106))</f>
        <v/>
      </c>
      <c r="AK106" s="105" t="str">
        <f>IF('Marks Entry'!AJ106="","",'Marks Entry'!AJ106)</f>
        <v/>
      </c>
      <c r="AL106" s="105" t="str">
        <f>IF('Marks Entry'!AK106="","",'Marks Entry'!AK106)</f>
        <v/>
      </c>
      <c r="AM106" s="105" t="str">
        <f>IF(AND('Marks Entry'!AL106="",'Marks Entry'!AM106=""),"",SUM('Marks Entry'!AL106:AM106))</f>
        <v/>
      </c>
      <c r="AN106" s="105" t="str">
        <f>IF('Marks Entry'!AN106="","",'Marks Entry'!AN106)</f>
        <v/>
      </c>
      <c r="AO106" s="105" t="str">
        <f t="shared" si="142"/>
        <v/>
      </c>
      <c r="AP106" s="105" t="str">
        <f>IF(AND('Marks Entry'!AO106="",'Marks Entry'!AP106=""),"",SUM('Marks Entry'!AO106:AP106))</f>
        <v/>
      </c>
      <c r="AQ106" s="105" t="str">
        <f>IF('Marks Entry'!AQ106="","",'Marks Entry'!AQ106)</f>
        <v/>
      </c>
      <c r="AR106" s="105" t="str">
        <f t="shared" si="143"/>
        <v/>
      </c>
      <c r="AS106" s="105" t="str">
        <f t="shared" si="144"/>
        <v/>
      </c>
      <c r="AT106" s="105" t="str">
        <f t="shared" si="145"/>
        <v/>
      </c>
      <c r="AU106" s="105" t="str">
        <f t="shared" si="146"/>
        <v/>
      </c>
      <c r="AV106" s="47" t="str">
        <f>IF(B106="","",IF('Marks Entry'!AS106="",'Marks Entry'!$AS$4,'Marks Entry'!AS106))</f>
        <v/>
      </c>
      <c r="AW106" s="105" t="str">
        <f>IF('Marks Entry'!AT106="","",'Marks Entry'!AT106)</f>
        <v/>
      </c>
      <c r="AX106" s="105" t="str">
        <f>IF('Marks Entry'!AU106="","",'Marks Entry'!AU106)</f>
        <v/>
      </c>
      <c r="AY106" s="105" t="str">
        <f>IF(AND('Marks Entry'!AV106="",'Marks Entry'!AW106=""),"",SUM('Marks Entry'!AV106:AW106))</f>
        <v/>
      </c>
      <c r="AZ106" s="105" t="str">
        <f>IF('Marks Entry'!AX106="","",'Marks Entry'!AX106)</f>
        <v/>
      </c>
      <c r="BA106" s="105">
        <f t="shared" si="147"/>
        <v>0</v>
      </c>
      <c r="BB106" s="105" t="str">
        <f>IF(AND('Marks Entry'!AY106="",'Marks Entry'!AZ106=""),"",SUM('Marks Entry'!AY106:AZ106))</f>
        <v/>
      </c>
      <c r="BC106" s="105" t="str">
        <f>IF('Marks Entry'!BA106="","",'Marks Entry'!BA106)</f>
        <v/>
      </c>
      <c r="BD106" s="105">
        <f t="shared" si="148"/>
        <v>0</v>
      </c>
      <c r="BE106" s="105">
        <f t="shared" si="149"/>
        <v>0</v>
      </c>
      <c r="BF106" s="105" t="str">
        <f t="shared" si="150"/>
        <v/>
      </c>
      <c r="BG106" s="105" t="str">
        <f t="shared" si="151"/>
        <v/>
      </c>
      <c r="BH106" s="105" t="str">
        <f t="shared" si="152"/>
        <v/>
      </c>
      <c r="BI106" s="50" t="str">
        <f t="shared" si="170"/>
        <v/>
      </c>
      <c r="BJ106" s="47" t="str">
        <f t="shared" si="103"/>
        <v/>
      </c>
      <c r="BK106" s="105" t="str">
        <f t="shared" si="153"/>
        <v/>
      </c>
      <c r="BL106" s="105" t="str">
        <f t="shared" si="154"/>
        <v/>
      </c>
      <c r="BM106" s="105" t="str">
        <f>IF(OR(B106="",'Marks Entry'!BY106=""),"",'Marks Entry'!BY106)</f>
        <v/>
      </c>
      <c r="BN106" s="105" t="str">
        <f>IF(OR(B106="",'Marks Entry'!BZ106=""),"",'Marks Entry'!BZ106)</f>
        <v/>
      </c>
      <c r="BO106" s="105" t="str">
        <f>IF('Marks Entry'!BC106="","",'Marks Entry'!BC106)</f>
        <v/>
      </c>
      <c r="BP106" s="105" t="str">
        <f>IF('Marks Entry'!BD106="","",'Marks Entry'!BD106)</f>
        <v/>
      </c>
      <c r="BQ106" s="105" t="str">
        <f>IF(AND('Marks Entry'!BE106="",'Marks Entry'!BF106=""),"",SUM('Marks Entry'!BE106:BF106))</f>
        <v/>
      </c>
      <c r="BR106" s="105" t="str">
        <f>IF(AND('Marks Entry'!BG106="",'Marks Entry'!BH106=""),"",SUM('Marks Entry'!BG106:BH106))</f>
        <v/>
      </c>
      <c r="BS106" s="105" t="str">
        <f t="shared" si="155"/>
        <v/>
      </c>
      <c r="BT106" s="105" t="str">
        <f t="shared" si="156"/>
        <v/>
      </c>
      <c r="BU106" s="105" t="str">
        <f t="shared" si="157"/>
        <v/>
      </c>
      <c r="BV106" s="105" t="str">
        <f>IF('Marks Entry'!BJ106="","",'Marks Entry'!BJ106)</f>
        <v/>
      </c>
      <c r="BW106" s="105" t="str">
        <f>IF('Marks Entry'!BK106="","",'Marks Entry'!BK106)</f>
        <v/>
      </c>
      <c r="BX106" s="105" t="str">
        <f>IF(AND('Marks Entry'!BL106="",'Marks Entry'!BM106=""),"",SUM('Marks Entry'!BL106:BM106))</f>
        <v/>
      </c>
      <c r="BY106" s="105" t="str">
        <f>IF(AND('Marks Entry'!BN106="",'Marks Entry'!BO106=""),"",SUM('Marks Entry'!BN106:BO106))</f>
        <v/>
      </c>
      <c r="BZ106" s="105" t="str">
        <f t="shared" si="158"/>
        <v/>
      </c>
      <c r="CA106" s="105" t="str">
        <f t="shared" si="159"/>
        <v/>
      </c>
      <c r="CB106" s="105" t="str">
        <f t="shared" si="160"/>
        <v/>
      </c>
      <c r="CC106" s="105" t="str">
        <f>IF('Marks Entry'!BQ106="","",'Marks Entry'!BQ106)</f>
        <v/>
      </c>
      <c r="CD106" s="105" t="str">
        <f>IF('Marks Entry'!BR106="","",'Marks Entry'!BR106)</f>
        <v/>
      </c>
      <c r="CE106" s="105" t="str">
        <f>IF(AND('Marks Entry'!BS106="",'Marks Entry'!BT106=""),"",SUM('Marks Entry'!BS106:BT106))</f>
        <v/>
      </c>
      <c r="CF106" s="105" t="str">
        <f>IF(AND('Marks Entry'!BU106="",'Marks Entry'!BV106=""),"",SUM('Marks Entry'!BU106:BV106))</f>
        <v/>
      </c>
      <c r="CG106" s="105" t="str">
        <f t="shared" si="161"/>
        <v/>
      </c>
      <c r="CH106" s="105" t="str">
        <f t="shared" si="162"/>
        <v/>
      </c>
      <c r="CI106" s="105" t="str">
        <f t="shared" si="163"/>
        <v/>
      </c>
      <c r="CJ106" s="81"/>
      <c r="CK106" s="50" t="str">
        <f t="shared" si="104"/>
        <v/>
      </c>
      <c r="CM106" s="105" t="str">
        <f t="shared" si="105"/>
        <v/>
      </c>
      <c r="CN106" s="105" t="str">
        <f t="shared" si="106"/>
        <v/>
      </c>
      <c r="CO106" s="105" t="str">
        <f t="shared" si="107"/>
        <v/>
      </c>
      <c r="CP106" s="105" t="str">
        <f t="shared" si="108"/>
        <v/>
      </c>
      <c r="CQ106" s="105" t="str">
        <f t="shared" si="109"/>
        <v/>
      </c>
      <c r="CS106" s="105">
        <f t="shared" si="110"/>
        <v>0</v>
      </c>
      <c r="CT106" s="105">
        <f t="shared" si="111"/>
        <v>0</v>
      </c>
      <c r="CU106" s="105">
        <f t="shared" si="112"/>
        <v>0</v>
      </c>
      <c r="CV106" s="105">
        <f t="shared" si="113"/>
        <v>0</v>
      </c>
      <c r="CW106" s="81"/>
      <c r="CX106" s="105" t="str">
        <f t="shared" si="114"/>
        <v/>
      </c>
      <c r="CY106" s="105" t="str">
        <f t="shared" si="115"/>
        <v/>
      </c>
      <c r="CZ106" s="105" t="str">
        <f t="shared" si="116"/>
        <v/>
      </c>
      <c r="DA106" s="105" t="str">
        <f t="shared" si="117"/>
        <v/>
      </c>
      <c r="DB106" s="105" t="str">
        <f t="shared" si="118"/>
        <v/>
      </c>
      <c r="DD106" s="105" t="str">
        <f t="shared" si="119"/>
        <v/>
      </c>
      <c r="DE106" s="105" t="str">
        <f t="shared" si="171"/>
        <v/>
      </c>
      <c r="DF106" s="105" t="str">
        <f t="shared" si="121"/>
        <v/>
      </c>
      <c r="DG106" s="105" t="str">
        <f t="shared" si="172"/>
        <v/>
      </c>
      <c r="DH106" s="105" t="str">
        <f t="shared" si="123"/>
        <v/>
      </c>
      <c r="DI106" s="105" t="str">
        <f t="shared" si="173"/>
        <v/>
      </c>
      <c r="DJ106" s="105" t="str">
        <f t="shared" si="125"/>
        <v/>
      </c>
      <c r="DK106" s="105" t="str">
        <f t="shared" si="174"/>
        <v/>
      </c>
      <c r="DL106" s="105" t="str">
        <f t="shared" si="127"/>
        <v/>
      </c>
      <c r="DM106" s="105" t="str">
        <f t="shared" si="175"/>
        <v/>
      </c>
      <c r="DN106" s="105" t="str">
        <f t="shared" si="129"/>
        <v/>
      </c>
      <c r="DO106" s="105" t="str">
        <f t="shared" si="130"/>
        <v/>
      </c>
      <c r="DP106" s="105" t="str">
        <f t="shared" si="131"/>
        <v/>
      </c>
      <c r="DR106" s="118" t="str">
        <f t="shared" si="164"/>
        <v xml:space="preserve">    </v>
      </c>
      <c r="DS106" s="75"/>
      <c r="DT106" s="119" t="str">
        <f t="shared" si="165"/>
        <v xml:space="preserve">    </v>
      </c>
      <c r="DU106" s="136"/>
      <c r="DV106" s="119" t="str">
        <f t="shared" si="166"/>
        <v xml:space="preserve">    </v>
      </c>
      <c r="DW106" s="75"/>
      <c r="DX106" s="119" t="str">
        <f t="shared" si="167"/>
        <v xml:space="preserve">     </v>
      </c>
      <c r="DY106" s="75"/>
      <c r="DZ106" s="119" t="str">
        <f t="shared" si="168"/>
        <v xml:space="preserve">    </v>
      </c>
    </row>
    <row r="107" spans="1:130" ht="30" customHeight="1" x14ac:dyDescent="0.25">
      <c r="A107" s="105" t="str">
        <f>IF('Marks Entry'!A107="","",'Marks Entry'!A107)</f>
        <v/>
      </c>
      <c r="B107" s="105" t="str">
        <f>IF('Marks Entry'!B107="","",'Marks Entry'!B107)</f>
        <v/>
      </c>
      <c r="C107" s="105" t="str">
        <f>IF('Marks Entry'!C107="","",'Marks Entry'!C107)</f>
        <v/>
      </c>
      <c r="D107" s="48" t="str">
        <f>IF('Marks Entry'!D107="","",'Marks Entry'!D107)</f>
        <v/>
      </c>
      <c r="E107" s="48" t="str">
        <f>IF('Marks Entry'!E107="","",'Marks Entry'!E107)</f>
        <v/>
      </c>
      <c r="F107" s="48" t="str">
        <f>IF('Marks Entry'!F107="","",'Marks Entry'!F107)</f>
        <v/>
      </c>
      <c r="G107" s="105" t="str">
        <f>IF('Marks Entry'!G107="","",'Marks Entry'!G107)</f>
        <v/>
      </c>
      <c r="H107" s="49" t="str">
        <f>IF('Marks Entry'!H107="","",'Marks Entry'!H107)</f>
        <v/>
      </c>
      <c r="I107" s="105" t="str">
        <f>IF('Marks Entry'!I107="","",'Marks Entry'!I107)</f>
        <v/>
      </c>
      <c r="J107" s="105" t="str">
        <f>IF('Marks Entry'!K107="","",'Marks Entry'!K107)</f>
        <v/>
      </c>
      <c r="K107" s="105" t="str">
        <f>IF('Marks Entry'!L107="","",'Marks Entry'!L107)</f>
        <v/>
      </c>
      <c r="L107" s="105" t="str">
        <f>IF(AND('Marks Entry'!M107="",'Marks Entry'!N107=""),"",SUM('Marks Entry'!M107:N107))</f>
        <v/>
      </c>
      <c r="M107" s="105" t="str">
        <f>IF(AND('Marks Entry'!O107="",'Marks Entry'!P107=""),"",SUM('Marks Entry'!O107:P107))</f>
        <v/>
      </c>
      <c r="N107" s="105" t="str">
        <f t="shared" si="169"/>
        <v/>
      </c>
      <c r="O107" s="105" t="str">
        <f t="shared" si="132"/>
        <v/>
      </c>
      <c r="P107" s="105" t="str">
        <f t="shared" si="133"/>
        <v/>
      </c>
      <c r="Q107" s="105" t="str">
        <f>IF('Marks Entry'!R107="","",'Marks Entry'!R107)</f>
        <v/>
      </c>
      <c r="R107" s="105" t="str">
        <f>IF('Marks Entry'!S107="","",'Marks Entry'!S107)</f>
        <v/>
      </c>
      <c r="S107" s="105" t="str">
        <f>IF(AND('Marks Entry'!T107="",'Marks Entry'!U107=""),"",SUM('Marks Entry'!T107:U107))</f>
        <v/>
      </c>
      <c r="T107" s="105" t="str">
        <f>IF(AND('Marks Entry'!V107="",'Marks Entry'!W107=""),"",SUM('Marks Entry'!V107:W107))</f>
        <v/>
      </c>
      <c r="U107" s="105" t="str">
        <f t="shared" si="134"/>
        <v/>
      </c>
      <c r="V107" s="105" t="str">
        <f t="shared" si="135"/>
        <v/>
      </c>
      <c r="W107" s="105" t="str">
        <f t="shared" si="136"/>
        <v/>
      </c>
      <c r="X107" s="47" t="str">
        <f>IF(B107="","",IF('Marks Entry'!Y107="",'Marks Entry'!$Y$4,'Marks Entry'!Y107))</f>
        <v/>
      </c>
      <c r="Y107" s="105" t="str">
        <f>IF('Marks Entry'!Z107="","",'Marks Entry'!Z107)</f>
        <v/>
      </c>
      <c r="Z107" s="105" t="str">
        <f>IF('Marks Entry'!AA107="","",'Marks Entry'!AA107)</f>
        <v/>
      </c>
      <c r="AA107" s="105" t="str">
        <f>IF(AND('Marks Entry'!AB107="",'Marks Entry'!AC107=""),"",SUM('Marks Entry'!AB107:AC107))</f>
        <v/>
      </c>
      <c r="AB107" s="105" t="str">
        <f>IF('Marks Entry'!AD107="","",'Marks Entry'!AD107)</f>
        <v/>
      </c>
      <c r="AC107" s="105" t="str">
        <f t="shared" si="137"/>
        <v/>
      </c>
      <c r="AD107" s="105" t="str">
        <f>IF(AND('Marks Entry'!AE107="",'Marks Entry'!AF107=""),"",SUM('Marks Entry'!AE107:AF107))</f>
        <v/>
      </c>
      <c r="AE107" s="105" t="str">
        <f>IF('Marks Entry'!AG107="","",'Marks Entry'!AG107)</f>
        <v/>
      </c>
      <c r="AF107" s="105" t="str">
        <f t="shared" si="138"/>
        <v/>
      </c>
      <c r="AG107" s="105" t="str">
        <f t="shared" si="139"/>
        <v/>
      </c>
      <c r="AH107" s="105" t="str">
        <f t="shared" si="140"/>
        <v/>
      </c>
      <c r="AI107" s="105" t="str">
        <f t="shared" si="141"/>
        <v/>
      </c>
      <c r="AJ107" s="47" t="str">
        <f>IF(B107="","",IF('Marks Entry'!AI107="",'Marks Entry'!$AI$4,'Marks Entry'!AI107))</f>
        <v/>
      </c>
      <c r="AK107" s="105" t="str">
        <f>IF('Marks Entry'!AJ107="","",'Marks Entry'!AJ107)</f>
        <v/>
      </c>
      <c r="AL107" s="105" t="str">
        <f>IF('Marks Entry'!AK107="","",'Marks Entry'!AK107)</f>
        <v/>
      </c>
      <c r="AM107" s="105" t="str">
        <f>IF(AND('Marks Entry'!AL107="",'Marks Entry'!AM107=""),"",SUM('Marks Entry'!AL107:AM107))</f>
        <v/>
      </c>
      <c r="AN107" s="105" t="str">
        <f>IF('Marks Entry'!AN107="","",'Marks Entry'!AN107)</f>
        <v/>
      </c>
      <c r="AO107" s="105" t="str">
        <f t="shared" si="142"/>
        <v/>
      </c>
      <c r="AP107" s="105" t="str">
        <f>IF(AND('Marks Entry'!AO107="",'Marks Entry'!AP107=""),"",SUM('Marks Entry'!AO107:AP107))</f>
        <v/>
      </c>
      <c r="AQ107" s="105" t="str">
        <f>IF('Marks Entry'!AQ107="","",'Marks Entry'!AQ107)</f>
        <v/>
      </c>
      <c r="AR107" s="105" t="str">
        <f t="shared" si="143"/>
        <v/>
      </c>
      <c r="AS107" s="105" t="str">
        <f t="shared" si="144"/>
        <v/>
      </c>
      <c r="AT107" s="105" t="str">
        <f t="shared" si="145"/>
        <v/>
      </c>
      <c r="AU107" s="105" t="str">
        <f t="shared" si="146"/>
        <v/>
      </c>
      <c r="AV107" s="47" t="str">
        <f>IF(B107="","",IF('Marks Entry'!AS107="",'Marks Entry'!$AS$4,'Marks Entry'!AS107))</f>
        <v/>
      </c>
      <c r="AW107" s="105" t="str">
        <f>IF('Marks Entry'!AT107="","",'Marks Entry'!AT107)</f>
        <v/>
      </c>
      <c r="AX107" s="105" t="str">
        <f>IF('Marks Entry'!AU107="","",'Marks Entry'!AU107)</f>
        <v/>
      </c>
      <c r="AY107" s="105" t="str">
        <f>IF(AND('Marks Entry'!AV107="",'Marks Entry'!AW107=""),"",SUM('Marks Entry'!AV107:AW107))</f>
        <v/>
      </c>
      <c r="AZ107" s="105" t="str">
        <f>IF('Marks Entry'!AX107="","",'Marks Entry'!AX107)</f>
        <v/>
      </c>
      <c r="BA107" s="105">
        <f t="shared" si="147"/>
        <v>0</v>
      </c>
      <c r="BB107" s="105" t="str">
        <f>IF(AND('Marks Entry'!AY107="",'Marks Entry'!AZ107=""),"",SUM('Marks Entry'!AY107:AZ107))</f>
        <v/>
      </c>
      <c r="BC107" s="105" t="str">
        <f>IF('Marks Entry'!BA107="","",'Marks Entry'!BA107)</f>
        <v/>
      </c>
      <c r="BD107" s="105">
        <f t="shared" si="148"/>
        <v>0</v>
      </c>
      <c r="BE107" s="105">
        <f t="shared" si="149"/>
        <v>0</v>
      </c>
      <c r="BF107" s="105" t="str">
        <f t="shared" si="150"/>
        <v/>
      </c>
      <c r="BG107" s="105" t="str">
        <f t="shared" si="151"/>
        <v/>
      </c>
      <c r="BH107" s="105" t="str">
        <f t="shared" si="152"/>
        <v/>
      </c>
      <c r="BI107" s="50" t="str">
        <f t="shared" si="170"/>
        <v/>
      </c>
      <c r="BJ107" s="47" t="str">
        <f t="shared" si="103"/>
        <v/>
      </c>
      <c r="BK107" s="105" t="str">
        <f t="shared" si="153"/>
        <v/>
      </c>
      <c r="BL107" s="105" t="str">
        <f t="shared" si="154"/>
        <v/>
      </c>
      <c r="BM107" s="105" t="str">
        <f>IF(OR(B107="",'Marks Entry'!BY107=""),"",'Marks Entry'!BY107)</f>
        <v/>
      </c>
      <c r="BN107" s="105" t="str">
        <f>IF(OR(B107="",'Marks Entry'!BZ107=""),"",'Marks Entry'!BZ107)</f>
        <v/>
      </c>
      <c r="BO107" s="105" t="str">
        <f>IF('Marks Entry'!BC107="","",'Marks Entry'!BC107)</f>
        <v/>
      </c>
      <c r="BP107" s="105" t="str">
        <f>IF('Marks Entry'!BD107="","",'Marks Entry'!BD107)</f>
        <v/>
      </c>
      <c r="BQ107" s="105" t="str">
        <f>IF(AND('Marks Entry'!BE107="",'Marks Entry'!BF107=""),"",SUM('Marks Entry'!BE107:BF107))</f>
        <v/>
      </c>
      <c r="BR107" s="105" t="str">
        <f>IF(AND('Marks Entry'!BG107="",'Marks Entry'!BH107=""),"",SUM('Marks Entry'!BG107:BH107))</f>
        <v/>
      </c>
      <c r="BS107" s="105" t="str">
        <f t="shared" si="155"/>
        <v/>
      </c>
      <c r="BT107" s="105" t="str">
        <f t="shared" si="156"/>
        <v/>
      </c>
      <c r="BU107" s="105" t="str">
        <f t="shared" si="157"/>
        <v/>
      </c>
      <c r="BV107" s="105" t="str">
        <f>IF('Marks Entry'!BJ107="","",'Marks Entry'!BJ107)</f>
        <v/>
      </c>
      <c r="BW107" s="105" t="str">
        <f>IF('Marks Entry'!BK107="","",'Marks Entry'!BK107)</f>
        <v/>
      </c>
      <c r="BX107" s="105" t="str">
        <f>IF(AND('Marks Entry'!BL107="",'Marks Entry'!BM107=""),"",SUM('Marks Entry'!BL107:BM107))</f>
        <v/>
      </c>
      <c r="BY107" s="105" t="str">
        <f>IF(AND('Marks Entry'!BN107="",'Marks Entry'!BO107=""),"",SUM('Marks Entry'!BN107:BO107))</f>
        <v/>
      </c>
      <c r="BZ107" s="105" t="str">
        <f t="shared" si="158"/>
        <v/>
      </c>
      <c r="CA107" s="105" t="str">
        <f t="shared" si="159"/>
        <v/>
      </c>
      <c r="CB107" s="105" t="str">
        <f t="shared" si="160"/>
        <v/>
      </c>
      <c r="CC107" s="105" t="str">
        <f>IF('Marks Entry'!BQ107="","",'Marks Entry'!BQ107)</f>
        <v/>
      </c>
      <c r="CD107" s="105" t="str">
        <f>IF('Marks Entry'!BR107="","",'Marks Entry'!BR107)</f>
        <v/>
      </c>
      <c r="CE107" s="105" t="str">
        <f>IF(AND('Marks Entry'!BS107="",'Marks Entry'!BT107=""),"",SUM('Marks Entry'!BS107:BT107))</f>
        <v/>
      </c>
      <c r="CF107" s="105" t="str">
        <f>IF(AND('Marks Entry'!BU107="",'Marks Entry'!BV107=""),"",SUM('Marks Entry'!BU107:BV107))</f>
        <v/>
      </c>
      <c r="CG107" s="105" t="str">
        <f t="shared" si="161"/>
        <v/>
      </c>
      <c r="CH107" s="105" t="str">
        <f t="shared" si="162"/>
        <v/>
      </c>
      <c r="CI107" s="105" t="str">
        <f t="shared" si="163"/>
        <v/>
      </c>
      <c r="CJ107" s="81"/>
      <c r="CK107" s="50" t="str">
        <f t="shared" si="104"/>
        <v/>
      </c>
      <c r="CM107" s="105" t="str">
        <f t="shared" si="105"/>
        <v/>
      </c>
      <c r="CN107" s="105" t="str">
        <f t="shared" si="106"/>
        <v/>
      </c>
      <c r="CO107" s="105" t="str">
        <f t="shared" si="107"/>
        <v/>
      </c>
      <c r="CP107" s="105" t="str">
        <f t="shared" si="108"/>
        <v/>
      </c>
      <c r="CQ107" s="105" t="str">
        <f t="shared" si="109"/>
        <v/>
      </c>
      <c r="CS107" s="105">
        <f t="shared" si="110"/>
        <v>0</v>
      </c>
      <c r="CT107" s="105">
        <f t="shared" si="111"/>
        <v>0</v>
      </c>
      <c r="CU107" s="105">
        <f t="shared" si="112"/>
        <v>0</v>
      </c>
      <c r="CV107" s="105">
        <f t="shared" si="113"/>
        <v>0</v>
      </c>
      <c r="CW107" s="81"/>
      <c r="CX107" s="105" t="str">
        <f t="shared" si="114"/>
        <v/>
      </c>
      <c r="CY107" s="105" t="str">
        <f t="shared" si="115"/>
        <v/>
      </c>
      <c r="CZ107" s="105" t="str">
        <f t="shared" si="116"/>
        <v/>
      </c>
      <c r="DA107" s="105" t="str">
        <f t="shared" si="117"/>
        <v/>
      </c>
      <c r="DB107" s="105" t="str">
        <f t="shared" si="118"/>
        <v/>
      </c>
      <c r="DD107" s="105" t="str">
        <f t="shared" si="119"/>
        <v/>
      </c>
      <c r="DE107" s="105" t="str">
        <f t="shared" si="171"/>
        <v/>
      </c>
      <c r="DF107" s="105" t="str">
        <f t="shared" si="121"/>
        <v/>
      </c>
      <c r="DG107" s="105" t="str">
        <f t="shared" si="172"/>
        <v/>
      </c>
      <c r="DH107" s="105" t="str">
        <f t="shared" si="123"/>
        <v/>
      </c>
      <c r="DI107" s="105" t="str">
        <f t="shared" si="173"/>
        <v/>
      </c>
      <c r="DJ107" s="105" t="str">
        <f t="shared" si="125"/>
        <v/>
      </c>
      <c r="DK107" s="105" t="str">
        <f t="shared" si="174"/>
        <v/>
      </c>
      <c r="DL107" s="105" t="str">
        <f t="shared" si="127"/>
        <v/>
      </c>
      <c r="DM107" s="105" t="str">
        <f t="shared" si="175"/>
        <v/>
      </c>
      <c r="DN107" s="105" t="str">
        <f t="shared" si="129"/>
        <v/>
      </c>
      <c r="DO107" s="105" t="str">
        <f t="shared" si="130"/>
        <v/>
      </c>
      <c r="DP107" s="105" t="str">
        <f t="shared" si="131"/>
        <v/>
      </c>
      <c r="DR107" s="118" t="str">
        <f t="shared" si="164"/>
        <v xml:space="preserve">    </v>
      </c>
      <c r="DS107" s="75"/>
      <c r="DT107" s="119" t="str">
        <f t="shared" si="165"/>
        <v xml:space="preserve">    </v>
      </c>
      <c r="DU107" s="136"/>
      <c r="DV107" s="119" t="str">
        <f t="shared" si="166"/>
        <v xml:space="preserve">    </v>
      </c>
      <c r="DW107" s="75"/>
      <c r="DX107" s="119" t="str">
        <f t="shared" si="167"/>
        <v xml:space="preserve">     </v>
      </c>
      <c r="DY107" s="75"/>
      <c r="DZ107" s="119" t="str">
        <f t="shared" si="168"/>
        <v xml:space="preserve">    </v>
      </c>
    </row>
    <row r="108" spans="1:130" ht="30" customHeight="1" x14ac:dyDescent="0.25">
      <c r="A108" s="105" t="str">
        <f>IF('Marks Entry'!A108="","",'Marks Entry'!A108)</f>
        <v/>
      </c>
      <c r="B108" s="105" t="str">
        <f>IF('Marks Entry'!B108="","",'Marks Entry'!B108)</f>
        <v/>
      </c>
      <c r="C108" s="105" t="str">
        <f>IF('Marks Entry'!C108="","",'Marks Entry'!C108)</f>
        <v/>
      </c>
      <c r="D108" s="48" t="str">
        <f>IF('Marks Entry'!D108="","",'Marks Entry'!D108)</f>
        <v/>
      </c>
      <c r="E108" s="48" t="str">
        <f>IF('Marks Entry'!E108="","",'Marks Entry'!E108)</f>
        <v/>
      </c>
      <c r="F108" s="48" t="str">
        <f>IF('Marks Entry'!F108="","",'Marks Entry'!F108)</f>
        <v/>
      </c>
      <c r="G108" s="105" t="str">
        <f>IF('Marks Entry'!G108="","",'Marks Entry'!G108)</f>
        <v/>
      </c>
      <c r="H108" s="49" t="str">
        <f>IF('Marks Entry'!H108="","",'Marks Entry'!H108)</f>
        <v/>
      </c>
      <c r="I108" s="105" t="str">
        <f>IF('Marks Entry'!I108="","",'Marks Entry'!I108)</f>
        <v/>
      </c>
      <c r="J108" s="105" t="str">
        <f>IF('Marks Entry'!K108="","",'Marks Entry'!K108)</f>
        <v/>
      </c>
      <c r="K108" s="105" t="str">
        <f>IF('Marks Entry'!L108="","",'Marks Entry'!L108)</f>
        <v/>
      </c>
      <c r="L108" s="105" t="str">
        <f>IF(AND('Marks Entry'!M108="",'Marks Entry'!N108=""),"",SUM('Marks Entry'!M108:N108))</f>
        <v/>
      </c>
      <c r="M108" s="105" t="str">
        <f>IF(AND('Marks Entry'!O108="",'Marks Entry'!P108=""),"",SUM('Marks Entry'!O108:P108))</f>
        <v/>
      </c>
      <c r="N108" s="105" t="str">
        <f t="shared" si="169"/>
        <v/>
      </c>
      <c r="O108" s="105" t="str">
        <f t="shared" si="132"/>
        <v/>
      </c>
      <c r="P108" s="105" t="str">
        <f t="shared" si="133"/>
        <v/>
      </c>
      <c r="Q108" s="105" t="str">
        <f>IF('Marks Entry'!R108="","",'Marks Entry'!R108)</f>
        <v/>
      </c>
      <c r="R108" s="105" t="str">
        <f>IF('Marks Entry'!S108="","",'Marks Entry'!S108)</f>
        <v/>
      </c>
      <c r="S108" s="105" t="str">
        <f>IF(AND('Marks Entry'!T108="",'Marks Entry'!U108=""),"",SUM('Marks Entry'!T108:U108))</f>
        <v/>
      </c>
      <c r="T108" s="105" t="str">
        <f>IF(AND('Marks Entry'!V108="",'Marks Entry'!W108=""),"",SUM('Marks Entry'!V108:W108))</f>
        <v/>
      </c>
      <c r="U108" s="105" t="str">
        <f t="shared" si="134"/>
        <v/>
      </c>
      <c r="V108" s="105" t="str">
        <f t="shared" si="135"/>
        <v/>
      </c>
      <c r="W108" s="105" t="str">
        <f t="shared" si="136"/>
        <v/>
      </c>
      <c r="X108" s="47" t="str">
        <f>IF(B108="","",IF('Marks Entry'!Y108="",'Marks Entry'!$Y$4,'Marks Entry'!Y108))</f>
        <v/>
      </c>
      <c r="Y108" s="105" t="str">
        <f>IF('Marks Entry'!Z108="","",'Marks Entry'!Z108)</f>
        <v/>
      </c>
      <c r="Z108" s="105" t="str">
        <f>IF('Marks Entry'!AA108="","",'Marks Entry'!AA108)</f>
        <v/>
      </c>
      <c r="AA108" s="105" t="str">
        <f>IF(AND('Marks Entry'!AB108="",'Marks Entry'!AC108=""),"",SUM('Marks Entry'!AB108:AC108))</f>
        <v/>
      </c>
      <c r="AB108" s="105" t="str">
        <f>IF('Marks Entry'!AD108="","",'Marks Entry'!AD108)</f>
        <v/>
      </c>
      <c r="AC108" s="105" t="str">
        <f t="shared" si="137"/>
        <v/>
      </c>
      <c r="AD108" s="105" t="str">
        <f>IF(AND('Marks Entry'!AE108="",'Marks Entry'!AF108=""),"",SUM('Marks Entry'!AE108:AF108))</f>
        <v/>
      </c>
      <c r="AE108" s="105" t="str">
        <f>IF('Marks Entry'!AG108="","",'Marks Entry'!AG108)</f>
        <v/>
      </c>
      <c r="AF108" s="105" t="str">
        <f t="shared" si="138"/>
        <v/>
      </c>
      <c r="AG108" s="105" t="str">
        <f t="shared" si="139"/>
        <v/>
      </c>
      <c r="AH108" s="105" t="str">
        <f t="shared" si="140"/>
        <v/>
      </c>
      <c r="AI108" s="105" t="str">
        <f t="shared" si="141"/>
        <v/>
      </c>
      <c r="AJ108" s="47" t="str">
        <f>IF(B108="","",IF('Marks Entry'!AI108="",'Marks Entry'!$AI$4,'Marks Entry'!AI108))</f>
        <v/>
      </c>
      <c r="AK108" s="105" t="str">
        <f>IF('Marks Entry'!AJ108="","",'Marks Entry'!AJ108)</f>
        <v/>
      </c>
      <c r="AL108" s="105" t="str">
        <f>IF('Marks Entry'!AK108="","",'Marks Entry'!AK108)</f>
        <v/>
      </c>
      <c r="AM108" s="105" t="str">
        <f>IF(AND('Marks Entry'!AL108="",'Marks Entry'!AM108=""),"",SUM('Marks Entry'!AL108:AM108))</f>
        <v/>
      </c>
      <c r="AN108" s="105" t="str">
        <f>IF('Marks Entry'!AN108="","",'Marks Entry'!AN108)</f>
        <v/>
      </c>
      <c r="AO108" s="105" t="str">
        <f t="shared" si="142"/>
        <v/>
      </c>
      <c r="AP108" s="105" t="str">
        <f>IF(AND('Marks Entry'!AO108="",'Marks Entry'!AP108=""),"",SUM('Marks Entry'!AO108:AP108))</f>
        <v/>
      </c>
      <c r="AQ108" s="105" t="str">
        <f>IF('Marks Entry'!AQ108="","",'Marks Entry'!AQ108)</f>
        <v/>
      </c>
      <c r="AR108" s="105" t="str">
        <f t="shared" si="143"/>
        <v/>
      </c>
      <c r="AS108" s="105" t="str">
        <f t="shared" si="144"/>
        <v/>
      </c>
      <c r="AT108" s="105" t="str">
        <f t="shared" si="145"/>
        <v/>
      </c>
      <c r="AU108" s="105" t="str">
        <f t="shared" si="146"/>
        <v/>
      </c>
      <c r="AV108" s="47" t="str">
        <f>IF(B108="","",IF('Marks Entry'!AS108="",'Marks Entry'!$AS$4,'Marks Entry'!AS108))</f>
        <v/>
      </c>
      <c r="AW108" s="105" t="str">
        <f>IF('Marks Entry'!AT108="","",'Marks Entry'!AT108)</f>
        <v/>
      </c>
      <c r="AX108" s="105" t="str">
        <f>IF('Marks Entry'!AU108="","",'Marks Entry'!AU108)</f>
        <v/>
      </c>
      <c r="AY108" s="105" t="str">
        <f>IF(AND('Marks Entry'!AV108="",'Marks Entry'!AW108=""),"",SUM('Marks Entry'!AV108:AW108))</f>
        <v/>
      </c>
      <c r="AZ108" s="105" t="str">
        <f>IF('Marks Entry'!AX108="","",'Marks Entry'!AX108)</f>
        <v/>
      </c>
      <c r="BA108" s="105">
        <f t="shared" si="147"/>
        <v>0</v>
      </c>
      <c r="BB108" s="105" t="str">
        <f>IF(AND('Marks Entry'!AY108="",'Marks Entry'!AZ108=""),"",SUM('Marks Entry'!AY108:AZ108))</f>
        <v/>
      </c>
      <c r="BC108" s="105" t="str">
        <f>IF('Marks Entry'!BA108="","",'Marks Entry'!BA108)</f>
        <v/>
      </c>
      <c r="BD108" s="105">
        <f t="shared" si="148"/>
        <v>0</v>
      </c>
      <c r="BE108" s="105">
        <f t="shared" si="149"/>
        <v>0</v>
      </c>
      <c r="BF108" s="105" t="str">
        <f t="shared" si="150"/>
        <v/>
      </c>
      <c r="BG108" s="105" t="str">
        <f t="shared" si="151"/>
        <v/>
      </c>
      <c r="BH108" s="105" t="str">
        <f t="shared" si="152"/>
        <v/>
      </c>
      <c r="BI108" s="50" t="str">
        <f t="shared" si="170"/>
        <v/>
      </c>
      <c r="BJ108" s="47" t="str">
        <f t="shared" si="103"/>
        <v/>
      </c>
      <c r="BK108" s="105" t="str">
        <f t="shared" si="153"/>
        <v/>
      </c>
      <c r="BL108" s="105" t="str">
        <f t="shared" si="154"/>
        <v/>
      </c>
      <c r="BM108" s="105" t="str">
        <f>IF(OR(B108="",'Marks Entry'!BY108=""),"",'Marks Entry'!BY108)</f>
        <v/>
      </c>
      <c r="BN108" s="105" t="str">
        <f>IF(OR(B108="",'Marks Entry'!BZ108=""),"",'Marks Entry'!BZ108)</f>
        <v/>
      </c>
      <c r="BO108" s="105" t="str">
        <f>IF('Marks Entry'!BC108="","",'Marks Entry'!BC108)</f>
        <v/>
      </c>
      <c r="BP108" s="105" t="str">
        <f>IF('Marks Entry'!BD108="","",'Marks Entry'!BD108)</f>
        <v/>
      </c>
      <c r="BQ108" s="105" t="str">
        <f>IF(AND('Marks Entry'!BE108="",'Marks Entry'!BF108=""),"",SUM('Marks Entry'!BE108:BF108))</f>
        <v/>
      </c>
      <c r="BR108" s="105" t="str">
        <f>IF(AND('Marks Entry'!BG108="",'Marks Entry'!BH108=""),"",SUM('Marks Entry'!BG108:BH108))</f>
        <v/>
      </c>
      <c r="BS108" s="105" t="str">
        <f t="shared" si="155"/>
        <v/>
      </c>
      <c r="BT108" s="105" t="str">
        <f t="shared" si="156"/>
        <v/>
      </c>
      <c r="BU108" s="105" t="str">
        <f t="shared" si="157"/>
        <v/>
      </c>
      <c r="BV108" s="105" t="str">
        <f>IF('Marks Entry'!BJ108="","",'Marks Entry'!BJ108)</f>
        <v/>
      </c>
      <c r="BW108" s="105" t="str">
        <f>IF('Marks Entry'!BK108="","",'Marks Entry'!BK108)</f>
        <v/>
      </c>
      <c r="BX108" s="105" t="str">
        <f>IF(AND('Marks Entry'!BL108="",'Marks Entry'!BM108=""),"",SUM('Marks Entry'!BL108:BM108))</f>
        <v/>
      </c>
      <c r="BY108" s="105" t="str">
        <f>IF(AND('Marks Entry'!BN108="",'Marks Entry'!BO108=""),"",SUM('Marks Entry'!BN108:BO108))</f>
        <v/>
      </c>
      <c r="BZ108" s="105" t="str">
        <f t="shared" si="158"/>
        <v/>
      </c>
      <c r="CA108" s="105" t="str">
        <f t="shared" si="159"/>
        <v/>
      </c>
      <c r="CB108" s="105" t="str">
        <f t="shared" si="160"/>
        <v/>
      </c>
      <c r="CC108" s="105" t="str">
        <f>IF('Marks Entry'!BQ108="","",'Marks Entry'!BQ108)</f>
        <v/>
      </c>
      <c r="CD108" s="105" t="str">
        <f>IF('Marks Entry'!BR108="","",'Marks Entry'!BR108)</f>
        <v/>
      </c>
      <c r="CE108" s="105" t="str">
        <f>IF(AND('Marks Entry'!BS108="",'Marks Entry'!BT108=""),"",SUM('Marks Entry'!BS108:BT108))</f>
        <v/>
      </c>
      <c r="CF108" s="105" t="str">
        <f>IF(AND('Marks Entry'!BU108="",'Marks Entry'!BV108=""),"",SUM('Marks Entry'!BU108:BV108))</f>
        <v/>
      </c>
      <c r="CG108" s="105" t="str">
        <f t="shared" si="161"/>
        <v/>
      </c>
      <c r="CH108" s="105" t="str">
        <f t="shared" si="162"/>
        <v/>
      </c>
      <c r="CI108" s="105" t="str">
        <f t="shared" si="163"/>
        <v/>
      </c>
      <c r="CJ108" s="81"/>
      <c r="CK108" s="50" t="str">
        <f t="shared" si="104"/>
        <v/>
      </c>
      <c r="CM108" s="105" t="str">
        <f t="shared" si="105"/>
        <v/>
      </c>
      <c r="CN108" s="105" t="str">
        <f t="shared" si="106"/>
        <v/>
      </c>
      <c r="CO108" s="105" t="str">
        <f t="shared" si="107"/>
        <v/>
      </c>
      <c r="CP108" s="105" t="str">
        <f t="shared" si="108"/>
        <v/>
      </c>
      <c r="CQ108" s="105" t="str">
        <f t="shared" si="109"/>
        <v/>
      </c>
      <c r="CS108" s="105">
        <f t="shared" si="110"/>
        <v>0</v>
      </c>
      <c r="CT108" s="105">
        <f t="shared" si="111"/>
        <v>0</v>
      </c>
      <c r="CU108" s="105">
        <f t="shared" si="112"/>
        <v>0</v>
      </c>
      <c r="CV108" s="105">
        <f t="shared" si="113"/>
        <v>0</v>
      </c>
      <c r="CW108" s="81"/>
      <c r="CX108" s="105" t="str">
        <f t="shared" si="114"/>
        <v/>
      </c>
      <c r="CY108" s="105" t="str">
        <f t="shared" si="115"/>
        <v/>
      </c>
      <c r="CZ108" s="105" t="str">
        <f t="shared" si="116"/>
        <v/>
      </c>
      <c r="DA108" s="105" t="str">
        <f t="shared" si="117"/>
        <v/>
      </c>
      <c r="DB108" s="105" t="str">
        <f t="shared" si="118"/>
        <v/>
      </c>
      <c r="DD108" s="105" t="str">
        <f t="shared" si="119"/>
        <v/>
      </c>
      <c r="DE108" s="105" t="str">
        <f t="shared" si="171"/>
        <v/>
      </c>
      <c r="DF108" s="105" t="str">
        <f t="shared" si="121"/>
        <v/>
      </c>
      <c r="DG108" s="105" t="str">
        <f t="shared" si="172"/>
        <v/>
      </c>
      <c r="DH108" s="105" t="str">
        <f t="shared" si="123"/>
        <v/>
      </c>
      <c r="DI108" s="105" t="str">
        <f t="shared" si="173"/>
        <v/>
      </c>
      <c r="DJ108" s="105" t="str">
        <f t="shared" si="125"/>
        <v/>
      </c>
      <c r="DK108" s="105" t="str">
        <f t="shared" si="174"/>
        <v/>
      </c>
      <c r="DL108" s="105" t="str">
        <f t="shared" si="127"/>
        <v/>
      </c>
      <c r="DM108" s="105" t="str">
        <f t="shared" si="175"/>
        <v/>
      </c>
      <c r="DN108" s="105" t="str">
        <f t="shared" si="129"/>
        <v/>
      </c>
      <c r="DO108" s="105" t="str">
        <f t="shared" si="130"/>
        <v/>
      </c>
      <c r="DP108" s="105" t="str">
        <f t="shared" si="131"/>
        <v/>
      </c>
      <c r="DR108" s="118" t="str">
        <f t="shared" si="164"/>
        <v xml:space="preserve">    </v>
      </c>
      <c r="DS108" s="75"/>
      <c r="DT108" s="119" t="str">
        <f t="shared" si="165"/>
        <v xml:space="preserve">    </v>
      </c>
      <c r="DU108" s="136"/>
      <c r="DV108" s="119" t="str">
        <f t="shared" si="166"/>
        <v xml:space="preserve">    </v>
      </c>
      <c r="DW108" s="75"/>
      <c r="DX108" s="119" t="str">
        <f t="shared" si="167"/>
        <v xml:space="preserve">     </v>
      </c>
      <c r="DY108" s="75"/>
      <c r="DZ108" s="119" t="str">
        <f t="shared" si="168"/>
        <v xml:space="preserve">    </v>
      </c>
    </row>
    <row r="109" spans="1:130" ht="30" customHeight="1" x14ac:dyDescent="0.25">
      <c r="A109" s="105" t="str">
        <f>IF('Marks Entry'!A109="","",'Marks Entry'!A109)</f>
        <v/>
      </c>
      <c r="B109" s="105" t="str">
        <f>IF('Marks Entry'!B109="","",'Marks Entry'!B109)</f>
        <v/>
      </c>
      <c r="C109" s="105" t="str">
        <f>IF('Marks Entry'!C109="","",'Marks Entry'!C109)</f>
        <v/>
      </c>
      <c r="D109" s="48" t="str">
        <f>IF('Marks Entry'!D109="","",'Marks Entry'!D109)</f>
        <v/>
      </c>
      <c r="E109" s="48" t="str">
        <f>IF('Marks Entry'!E109="","",'Marks Entry'!E109)</f>
        <v/>
      </c>
      <c r="F109" s="48" t="str">
        <f>IF('Marks Entry'!F109="","",'Marks Entry'!F109)</f>
        <v/>
      </c>
      <c r="G109" s="105" t="str">
        <f>IF('Marks Entry'!G109="","",'Marks Entry'!G109)</f>
        <v/>
      </c>
      <c r="H109" s="49" t="str">
        <f>IF('Marks Entry'!H109="","",'Marks Entry'!H109)</f>
        <v/>
      </c>
      <c r="I109" s="105" t="str">
        <f>IF('Marks Entry'!I109="","",'Marks Entry'!I109)</f>
        <v/>
      </c>
      <c r="J109" s="105" t="str">
        <f>IF('Marks Entry'!K109="","",'Marks Entry'!K109)</f>
        <v/>
      </c>
      <c r="K109" s="105" t="str">
        <f>IF('Marks Entry'!L109="","",'Marks Entry'!L109)</f>
        <v/>
      </c>
      <c r="L109" s="105" t="str">
        <f>IF(AND('Marks Entry'!M109="",'Marks Entry'!N109=""),"",SUM('Marks Entry'!M109:N109))</f>
        <v/>
      </c>
      <c r="M109" s="105" t="str">
        <f>IF(AND('Marks Entry'!O109="",'Marks Entry'!P109=""),"",SUM('Marks Entry'!O109:P109))</f>
        <v/>
      </c>
      <c r="N109" s="105" t="str">
        <f t="shared" si="169"/>
        <v/>
      </c>
      <c r="O109" s="105" t="str">
        <f t="shared" si="132"/>
        <v/>
      </c>
      <c r="P109" s="105" t="str">
        <f t="shared" si="133"/>
        <v/>
      </c>
      <c r="Q109" s="105" t="str">
        <f>IF('Marks Entry'!R109="","",'Marks Entry'!R109)</f>
        <v/>
      </c>
      <c r="R109" s="105" t="str">
        <f>IF('Marks Entry'!S109="","",'Marks Entry'!S109)</f>
        <v/>
      </c>
      <c r="S109" s="105" t="str">
        <f>IF(AND('Marks Entry'!T109="",'Marks Entry'!U109=""),"",SUM('Marks Entry'!T109:U109))</f>
        <v/>
      </c>
      <c r="T109" s="105" t="str">
        <f>IF(AND('Marks Entry'!V109="",'Marks Entry'!W109=""),"",SUM('Marks Entry'!V109:W109))</f>
        <v/>
      </c>
      <c r="U109" s="105" t="str">
        <f t="shared" si="134"/>
        <v/>
      </c>
      <c r="V109" s="105" t="str">
        <f t="shared" si="135"/>
        <v/>
      </c>
      <c r="W109" s="105" t="str">
        <f t="shared" si="136"/>
        <v/>
      </c>
      <c r="X109" s="47" t="str">
        <f>IF(B109="","",IF('Marks Entry'!Y109="",'Marks Entry'!$Y$4,'Marks Entry'!Y109))</f>
        <v/>
      </c>
      <c r="Y109" s="105" t="str">
        <f>IF('Marks Entry'!Z109="","",'Marks Entry'!Z109)</f>
        <v/>
      </c>
      <c r="Z109" s="105" t="str">
        <f>IF('Marks Entry'!AA109="","",'Marks Entry'!AA109)</f>
        <v/>
      </c>
      <c r="AA109" s="105" t="str">
        <f>IF(AND('Marks Entry'!AB109="",'Marks Entry'!AC109=""),"",SUM('Marks Entry'!AB109:AC109))</f>
        <v/>
      </c>
      <c r="AB109" s="105" t="str">
        <f>IF('Marks Entry'!AD109="","",'Marks Entry'!AD109)</f>
        <v/>
      </c>
      <c r="AC109" s="105" t="str">
        <f t="shared" si="137"/>
        <v/>
      </c>
      <c r="AD109" s="105" t="str">
        <f>IF(AND('Marks Entry'!AE109="",'Marks Entry'!AF109=""),"",SUM('Marks Entry'!AE109:AF109))</f>
        <v/>
      </c>
      <c r="AE109" s="105" t="str">
        <f>IF('Marks Entry'!AG109="","",'Marks Entry'!AG109)</f>
        <v/>
      </c>
      <c r="AF109" s="105" t="str">
        <f t="shared" si="138"/>
        <v/>
      </c>
      <c r="AG109" s="105" t="str">
        <f t="shared" si="139"/>
        <v/>
      </c>
      <c r="AH109" s="105" t="str">
        <f t="shared" si="140"/>
        <v/>
      </c>
      <c r="AI109" s="105" t="str">
        <f t="shared" si="141"/>
        <v/>
      </c>
      <c r="AJ109" s="47" t="str">
        <f>IF(B109="","",IF('Marks Entry'!AI109="",'Marks Entry'!$AI$4,'Marks Entry'!AI109))</f>
        <v/>
      </c>
      <c r="AK109" s="105" t="str">
        <f>IF('Marks Entry'!AJ109="","",'Marks Entry'!AJ109)</f>
        <v/>
      </c>
      <c r="AL109" s="105" t="str">
        <f>IF('Marks Entry'!AK109="","",'Marks Entry'!AK109)</f>
        <v/>
      </c>
      <c r="AM109" s="105" t="str">
        <f>IF(AND('Marks Entry'!AL109="",'Marks Entry'!AM109=""),"",SUM('Marks Entry'!AL109:AM109))</f>
        <v/>
      </c>
      <c r="AN109" s="105" t="str">
        <f>IF('Marks Entry'!AN109="","",'Marks Entry'!AN109)</f>
        <v/>
      </c>
      <c r="AO109" s="105" t="str">
        <f t="shared" si="142"/>
        <v/>
      </c>
      <c r="AP109" s="105" t="str">
        <f>IF(AND('Marks Entry'!AO109="",'Marks Entry'!AP109=""),"",SUM('Marks Entry'!AO109:AP109))</f>
        <v/>
      </c>
      <c r="AQ109" s="105" t="str">
        <f>IF('Marks Entry'!AQ109="","",'Marks Entry'!AQ109)</f>
        <v/>
      </c>
      <c r="AR109" s="105" t="str">
        <f t="shared" si="143"/>
        <v/>
      </c>
      <c r="AS109" s="105" t="str">
        <f t="shared" si="144"/>
        <v/>
      </c>
      <c r="AT109" s="105" t="str">
        <f t="shared" si="145"/>
        <v/>
      </c>
      <c r="AU109" s="105" t="str">
        <f t="shared" si="146"/>
        <v/>
      </c>
      <c r="AV109" s="47" t="str">
        <f>IF(B109="","",IF('Marks Entry'!AS109="",'Marks Entry'!$AS$4,'Marks Entry'!AS109))</f>
        <v/>
      </c>
      <c r="AW109" s="105" t="str">
        <f>IF('Marks Entry'!AT109="","",'Marks Entry'!AT109)</f>
        <v/>
      </c>
      <c r="AX109" s="105" t="str">
        <f>IF('Marks Entry'!AU109="","",'Marks Entry'!AU109)</f>
        <v/>
      </c>
      <c r="AY109" s="105" t="str">
        <f>IF(AND('Marks Entry'!AV109="",'Marks Entry'!AW109=""),"",SUM('Marks Entry'!AV109:AW109))</f>
        <v/>
      </c>
      <c r="AZ109" s="105" t="str">
        <f>IF('Marks Entry'!AX109="","",'Marks Entry'!AX109)</f>
        <v/>
      </c>
      <c r="BA109" s="105">
        <f t="shared" si="147"/>
        <v>0</v>
      </c>
      <c r="BB109" s="105" t="str">
        <f>IF(AND('Marks Entry'!AY109="",'Marks Entry'!AZ109=""),"",SUM('Marks Entry'!AY109:AZ109))</f>
        <v/>
      </c>
      <c r="BC109" s="105" t="str">
        <f>IF('Marks Entry'!BA109="","",'Marks Entry'!BA109)</f>
        <v/>
      </c>
      <c r="BD109" s="105">
        <f t="shared" si="148"/>
        <v>0</v>
      </c>
      <c r="BE109" s="105">
        <f t="shared" si="149"/>
        <v>0</v>
      </c>
      <c r="BF109" s="105" t="str">
        <f t="shared" si="150"/>
        <v/>
      </c>
      <c r="BG109" s="105" t="str">
        <f t="shared" si="151"/>
        <v/>
      </c>
      <c r="BH109" s="105" t="str">
        <f t="shared" si="152"/>
        <v/>
      </c>
      <c r="BI109" s="50" t="str">
        <f t="shared" si="170"/>
        <v/>
      </c>
      <c r="BJ109" s="47" t="str">
        <f t="shared" si="103"/>
        <v/>
      </c>
      <c r="BK109" s="105" t="str">
        <f t="shared" si="153"/>
        <v/>
      </c>
      <c r="BL109" s="105" t="str">
        <f t="shared" si="154"/>
        <v/>
      </c>
      <c r="BM109" s="105" t="str">
        <f>IF(OR(B109="",'Marks Entry'!BY109=""),"",'Marks Entry'!BY109)</f>
        <v/>
      </c>
      <c r="BN109" s="105" t="str">
        <f>IF(OR(B109="",'Marks Entry'!BZ109=""),"",'Marks Entry'!BZ109)</f>
        <v/>
      </c>
      <c r="BO109" s="105" t="str">
        <f>IF('Marks Entry'!BC109="","",'Marks Entry'!BC109)</f>
        <v/>
      </c>
      <c r="BP109" s="105" t="str">
        <f>IF('Marks Entry'!BD109="","",'Marks Entry'!BD109)</f>
        <v/>
      </c>
      <c r="BQ109" s="105" t="str">
        <f>IF(AND('Marks Entry'!BE109="",'Marks Entry'!BF109=""),"",SUM('Marks Entry'!BE109:BF109))</f>
        <v/>
      </c>
      <c r="BR109" s="105" t="str">
        <f>IF(AND('Marks Entry'!BG109="",'Marks Entry'!BH109=""),"",SUM('Marks Entry'!BG109:BH109))</f>
        <v/>
      </c>
      <c r="BS109" s="105" t="str">
        <f t="shared" si="155"/>
        <v/>
      </c>
      <c r="BT109" s="105" t="str">
        <f t="shared" si="156"/>
        <v/>
      </c>
      <c r="BU109" s="105" t="str">
        <f t="shared" si="157"/>
        <v/>
      </c>
      <c r="BV109" s="105" t="str">
        <f>IF('Marks Entry'!BJ109="","",'Marks Entry'!BJ109)</f>
        <v/>
      </c>
      <c r="BW109" s="105" t="str">
        <f>IF('Marks Entry'!BK109="","",'Marks Entry'!BK109)</f>
        <v/>
      </c>
      <c r="BX109" s="105" t="str">
        <f>IF(AND('Marks Entry'!BL109="",'Marks Entry'!BM109=""),"",SUM('Marks Entry'!BL109:BM109))</f>
        <v/>
      </c>
      <c r="BY109" s="105" t="str">
        <f>IF(AND('Marks Entry'!BN109="",'Marks Entry'!BO109=""),"",SUM('Marks Entry'!BN109:BO109))</f>
        <v/>
      </c>
      <c r="BZ109" s="105" t="str">
        <f t="shared" si="158"/>
        <v/>
      </c>
      <c r="CA109" s="105" t="str">
        <f t="shared" si="159"/>
        <v/>
      </c>
      <c r="CB109" s="105" t="str">
        <f t="shared" si="160"/>
        <v/>
      </c>
      <c r="CC109" s="105" t="str">
        <f>IF('Marks Entry'!BQ109="","",'Marks Entry'!BQ109)</f>
        <v/>
      </c>
      <c r="CD109" s="105" t="str">
        <f>IF('Marks Entry'!BR109="","",'Marks Entry'!BR109)</f>
        <v/>
      </c>
      <c r="CE109" s="105" t="str">
        <f>IF(AND('Marks Entry'!BS109="",'Marks Entry'!BT109=""),"",SUM('Marks Entry'!BS109:BT109))</f>
        <v/>
      </c>
      <c r="CF109" s="105" t="str">
        <f>IF(AND('Marks Entry'!BU109="",'Marks Entry'!BV109=""),"",SUM('Marks Entry'!BU109:BV109))</f>
        <v/>
      </c>
      <c r="CG109" s="105" t="str">
        <f t="shared" si="161"/>
        <v/>
      </c>
      <c r="CH109" s="105" t="str">
        <f t="shared" si="162"/>
        <v/>
      </c>
      <c r="CI109" s="105" t="str">
        <f t="shared" si="163"/>
        <v/>
      </c>
      <c r="CJ109" s="81"/>
      <c r="CK109" s="50" t="str">
        <f t="shared" si="104"/>
        <v/>
      </c>
      <c r="CM109" s="105" t="str">
        <f t="shared" si="105"/>
        <v/>
      </c>
      <c r="CN109" s="105" t="str">
        <f t="shared" si="106"/>
        <v/>
      </c>
      <c r="CO109" s="105" t="str">
        <f t="shared" si="107"/>
        <v/>
      </c>
      <c r="CP109" s="105" t="str">
        <f t="shared" si="108"/>
        <v/>
      </c>
      <c r="CQ109" s="105" t="str">
        <f t="shared" si="109"/>
        <v/>
      </c>
      <c r="CS109" s="105">
        <f t="shared" si="110"/>
        <v>0</v>
      </c>
      <c r="CT109" s="105">
        <f t="shared" si="111"/>
        <v>0</v>
      </c>
      <c r="CU109" s="105">
        <f t="shared" si="112"/>
        <v>0</v>
      </c>
      <c r="CV109" s="105">
        <f t="shared" si="113"/>
        <v>0</v>
      </c>
      <c r="CW109" s="81"/>
      <c r="CX109" s="105" t="str">
        <f t="shared" si="114"/>
        <v/>
      </c>
      <c r="CY109" s="105" t="str">
        <f t="shared" si="115"/>
        <v/>
      </c>
      <c r="CZ109" s="105" t="str">
        <f t="shared" si="116"/>
        <v/>
      </c>
      <c r="DA109" s="105" t="str">
        <f t="shared" si="117"/>
        <v/>
      </c>
      <c r="DB109" s="105" t="str">
        <f t="shared" si="118"/>
        <v/>
      </c>
      <c r="DD109" s="105" t="str">
        <f t="shared" si="119"/>
        <v/>
      </c>
      <c r="DE109" s="105" t="str">
        <f t="shared" si="171"/>
        <v/>
      </c>
      <c r="DF109" s="105" t="str">
        <f t="shared" si="121"/>
        <v/>
      </c>
      <c r="DG109" s="105" t="str">
        <f t="shared" si="172"/>
        <v/>
      </c>
      <c r="DH109" s="105" t="str">
        <f t="shared" si="123"/>
        <v/>
      </c>
      <c r="DI109" s="105" t="str">
        <f t="shared" si="173"/>
        <v/>
      </c>
      <c r="DJ109" s="105" t="str">
        <f t="shared" si="125"/>
        <v/>
      </c>
      <c r="DK109" s="105" t="str">
        <f t="shared" si="174"/>
        <v/>
      </c>
      <c r="DL109" s="105" t="str">
        <f t="shared" si="127"/>
        <v/>
      </c>
      <c r="DM109" s="105" t="str">
        <f t="shared" si="175"/>
        <v/>
      </c>
      <c r="DN109" s="105" t="str">
        <f t="shared" si="129"/>
        <v/>
      </c>
      <c r="DO109" s="105" t="str">
        <f t="shared" si="130"/>
        <v/>
      </c>
      <c r="DP109" s="105" t="str">
        <f t="shared" si="131"/>
        <v/>
      </c>
      <c r="DR109" s="118" t="str">
        <f t="shared" si="164"/>
        <v xml:space="preserve">    </v>
      </c>
      <c r="DS109" s="75"/>
      <c r="DT109" s="119" t="str">
        <f t="shared" si="165"/>
        <v xml:space="preserve">    </v>
      </c>
      <c r="DU109" s="136"/>
      <c r="DV109" s="119" t="str">
        <f t="shared" si="166"/>
        <v xml:space="preserve">    </v>
      </c>
      <c r="DW109" s="75"/>
      <c r="DX109" s="119" t="str">
        <f t="shared" si="167"/>
        <v xml:space="preserve">     </v>
      </c>
      <c r="DY109" s="75"/>
      <c r="DZ109" s="119" t="str">
        <f t="shared" si="168"/>
        <v xml:space="preserve">    </v>
      </c>
    </row>
    <row r="110" spans="1:130" ht="12" customHeight="1" x14ac:dyDescent="0.25"/>
    <row r="111" spans="1:130" ht="30" customHeight="1" x14ac:dyDescent="0.25">
      <c r="A111" s="216" t="str">
        <f>"School's Total "&amp;A2</f>
        <v>School's Total Result For Class 11th B</v>
      </c>
      <c r="B111" s="216"/>
      <c r="C111" s="216"/>
      <c r="D111" s="216"/>
      <c r="E111" s="216"/>
      <c r="F111" s="216"/>
      <c r="G111" s="216"/>
      <c r="H111" s="216"/>
      <c r="I111" s="216"/>
      <c r="J111" s="204" t="str">
        <f>J4</f>
        <v>HINDI Comp.</v>
      </c>
      <c r="K111" s="204"/>
      <c r="L111" s="204"/>
      <c r="M111" s="204"/>
      <c r="N111" s="204"/>
      <c r="O111" s="204"/>
      <c r="P111" s="204"/>
      <c r="Q111" s="204" t="str">
        <f>Q4</f>
        <v>ENGLISH Comp.</v>
      </c>
      <c r="R111" s="204"/>
      <c r="S111" s="204"/>
      <c r="T111" s="204"/>
      <c r="U111" s="204"/>
      <c r="V111" s="204"/>
      <c r="W111" s="204"/>
      <c r="X111" s="44"/>
      <c r="Y111" s="204" t="str">
        <f>X4</f>
        <v>History</v>
      </c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140"/>
      <c r="AK111" s="204" t="str">
        <f>AJ4</f>
        <v>Political Science</v>
      </c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140"/>
      <c r="AW111" s="204" t="str">
        <f>AV4</f>
        <v>Geography</v>
      </c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40"/>
      <c r="BI111" s="241"/>
      <c r="BJ111" s="241"/>
      <c r="BK111" s="241"/>
      <c r="BL111" s="241"/>
      <c r="BM111" s="241"/>
      <c r="BN111" s="242"/>
      <c r="BO111" s="204" t="str">
        <f>BO4</f>
        <v>Jeewan Kaushal</v>
      </c>
      <c r="BP111" s="204"/>
      <c r="BQ111" s="204"/>
      <c r="BR111" s="204"/>
      <c r="BS111" s="204"/>
      <c r="BT111" s="204"/>
      <c r="BU111" s="204"/>
      <c r="BV111" s="204" t="str">
        <f>BV4</f>
        <v>Swarnim Bharat</v>
      </c>
      <c r="BW111" s="204"/>
      <c r="BX111" s="204"/>
      <c r="BY111" s="204"/>
      <c r="BZ111" s="204"/>
      <c r="CA111" s="204"/>
      <c r="CB111" s="204"/>
      <c r="CC111" s="204" t="str">
        <f>CC4</f>
        <v>other2</v>
      </c>
      <c r="CD111" s="204"/>
      <c r="CE111" s="204"/>
      <c r="CF111" s="204"/>
      <c r="CG111" s="204"/>
      <c r="CH111" s="204"/>
      <c r="CI111" s="204"/>
    </row>
    <row r="112" spans="1:130" ht="30" customHeight="1" x14ac:dyDescent="0.25">
      <c r="A112" s="201" t="s">
        <v>3547</v>
      </c>
      <c r="B112" s="201"/>
      <c r="C112" s="201"/>
      <c r="D112" s="102" t="s">
        <v>3548</v>
      </c>
      <c r="E112" s="102" t="s">
        <v>3549</v>
      </c>
      <c r="F112" s="102" t="s">
        <v>3550</v>
      </c>
      <c r="G112" s="201" t="s">
        <v>3551</v>
      </c>
      <c r="H112" s="201"/>
      <c r="I112" s="201"/>
      <c r="J112" s="205" t="str">
        <f>J5</f>
        <v>Mr. AK 123</v>
      </c>
      <c r="K112" s="205"/>
      <c r="L112" s="205"/>
      <c r="M112" s="205"/>
      <c r="N112" s="205"/>
      <c r="O112" s="205"/>
      <c r="P112" s="205"/>
      <c r="Q112" s="205" t="str">
        <f>Q5</f>
        <v>Mr. AK 124</v>
      </c>
      <c r="R112" s="205"/>
      <c r="S112" s="205"/>
      <c r="T112" s="205"/>
      <c r="U112" s="205"/>
      <c r="V112" s="205"/>
      <c r="W112" s="205"/>
      <c r="X112" s="44"/>
      <c r="Y112" s="205" t="str">
        <f>X5</f>
        <v>Mr. AK 125</v>
      </c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141"/>
      <c r="AK112" s="205" t="str">
        <f>AK5</f>
        <v>Mr. AK 125</v>
      </c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141"/>
      <c r="AW112" s="205" t="str">
        <f>AW5</f>
        <v>Mr. AK 127</v>
      </c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43"/>
      <c r="BI112" s="244"/>
      <c r="BJ112" s="244"/>
      <c r="BK112" s="244"/>
      <c r="BL112" s="244"/>
      <c r="BM112" s="244"/>
      <c r="BN112" s="245"/>
      <c r="BO112" s="205" t="str">
        <f>BO5</f>
        <v>Mr. AK 129</v>
      </c>
      <c r="BP112" s="205"/>
      <c r="BQ112" s="205"/>
      <c r="BR112" s="205"/>
      <c r="BS112" s="205"/>
      <c r="BT112" s="205"/>
      <c r="BU112" s="205"/>
      <c r="BV112" s="205" t="str">
        <f>BV5</f>
        <v>Mr. AK 130</v>
      </c>
      <c r="BW112" s="205"/>
      <c r="BX112" s="205"/>
      <c r="BY112" s="205"/>
      <c r="BZ112" s="205"/>
      <c r="CA112" s="205"/>
      <c r="CB112" s="205"/>
      <c r="CC112" s="205" t="str">
        <f>CC5</f>
        <v>Mr. AK 130</v>
      </c>
      <c r="CD112" s="205"/>
      <c r="CE112" s="205"/>
      <c r="CF112" s="205"/>
      <c r="CG112" s="205"/>
      <c r="CH112" s="205"/>
      <c r="CI112" s="205"/>
    </row>
    <row r="113" spans="1:87" ht="30" customHeight="1" x14ac:dyDescent="0.25">
      <c r="A113" s="217">
        <f>SUM(G113,E116,D116)</f>
        <v>17</v>
      </c>
      <c r="B113" s="217"/>
      <c r="C113" s="217"/>
      <c r="D113" s="52">
        <f>COUNTIF($BK$9:$BK$109,"1st")</f>
        <v>2</v>
      </c>
      <c r="E113" s="52">
        <f>COUNTIF($BK$9:$BK$109,"2nd")</f>
        <v>11</v>
      </c>
      <c r="F113" s="52">
        <f>COUNTIF($BK$9:$BK$109,"3rd")</f>
        <v>2</v>
      </c>
      <c r="G113" s="217">
        <f>SUM(D113:F113)</f>
        <v>15</v>
      </c>
      <c r="H113" s="217"/>
      <c r="I113" s="217"/>
      <c r="J113" s="238" t="s">
        <v>3534</v>
      </c>
      <c r="K113" s="238"/>
      <c r="L113" s="206">
        <f>COUNTA(DD9:DD109)-COUNTIF(DD9:DD109,"RE")-COUNTIF(DD9:DD109,"AB")-COUNTIF(DD9:DD109,"")</f>
        <v>17</v>
      </c>
      <c r="M113" s="206"/>
      <c r="N113" s="206"/>
      <c r="O113" s="206"/>
      <c r="P113" s="206"/>
      <c r="Q113" s="220" t="s">
        <v>3534</v>
      </c>
      <c r="R113" s="220"/>
      <c r="S113" s="206">
        <f>COUNTA(DF9:DF109)-COUNTIF(DF9:DF109,"RE")-COUNTIF(DF9:DF109,"AB")-COUNTIF(DF9:DF109,"")</f>
        <v>17</v>
      </c>
      <c r="T113" s="206"/>
      <c r="U113" s="206"/>
      <c r="V113" s="206"/>
      <c r="W113" s="206"/>
      <c r="X113" s="44"/>
      <c r="Y113" s="220" t="s">
        <v>3534</v>
      </c>
      <c r="Z113" s="220"/>
      <c r="AA113" s="206">
        <f>COUNTA(DH9:DH109)-COUNTIF(DH9:DH109,"RE")-COUNTIF(DH9:DH109,"AB")-COUNTIF(DH9:DH109,"")</f>
        <v>17</v>
      </c>
      <c r="AB113" s="206"/>
      <c r="AC113" s="206"/>
      <c r="AD113" s="206"/>
      <c r="AE113" s="206"/>
      <c r="AF113" s="206"/>
      <c r="AG113" s="206"/>
      <c r="AH113" s="206"/>
      <c r="AI113" s="206"/>
      <c r="AJ113" s="44"/>
      <c r="AK113" s="220" t="s">
        <v>3534</v>
      </c>
      <c r="AL113" s="220"/>
      <c r="AM113" s="206">
        <f>COUNTA(DJ9:DJ109)-COUNTIF(DJ9:DJ109,"RE")-COUNTIF(DJ9:DJ109,"AB")-COUNTIF(DJ9:DJ109,"")</f>
        <v>17</v>
      </c>
      <c r="AN113" s="206"/>
      <c r="AO113" s="206"/>
      <c r="AP113" s="206"/>
      <c r="AQ113" s="206"/>
      <c r="AR113" s="206"/>
      <c r="AS113" s="206"/>
      <c r="AT113" s="206"/>
      <c r="AU113" s="206"/>
      <c r="AV113" s="44"/>
      <c r="AW113" s="220" t="s">
        <v>3534</v>
      </c>
      <c r="AX113" s="220"/>
      <c r="AY113" s="206">
        <f>COUNTA(DL9:DL109)-COUNTIF(DL9:DL109,"RE")-COUNTIF(DL9:DL109,"AB")-COUNTIF(DL9:DL109,"")</f>
        <v>17</v>
      </c>
      <c r="AZ113" s="206"/>
      <c r="BA113" s="206"/>
      <c r="BB113" s="206"/>
      <c r="BC113" s="206"/>
      <c r="BD113" s="206"/>
      <c r="BE113" s="206"/>
      <c r="BF113" s="206"/>
      <c r="BG113" s="206"/>
      <c r="BH113" s="243"/>
      <c r="BI113" s="244"/>
      <c r="BJ113" s="244"/>
      <c r="BK113" s="244"/>
      <c r="BL113" s="244"/>
      <c r="BM113" s="244"/>
      <c r="BN113" s="245"/>
      <c r="BO113" s="209" t="s">
        <v>3534</v>
      </c>
      <c r="BP113" s="209"/>
      <c r="BQ113" s="206">
        <f>COUNTA(DN9:DN109)-COUNTIF(DN9:DN109,"RE")-COUNTIF(DN9:DN109,"AB")-COUNTIF(DN9:DN109,"")</f>
        <v>17</v>
      </c>
      <c r="BR113" s="206"/>
      <c r="BS113" s="206"/>
      <c r="BT113" s="206"/>
      <c r="BU113" s="206"/>
      <c r="BV113" s="209" t="s">
        <v>3534</v>
      </c>
      <c r="BW113" s="209"/>
      <c r="BX113" s="206">
        <f>COUNTA(DO9:DO109)-COUNTIF(DO9:DO109,"RE")-COUNTIF(DO9:DO109,"AB")-COUNTIF(DO9:DO109,"")</f>
        <v>17</v>
      </c>
      <c r="BY113" s="206"/>
      <c r="BZ113" s="206"/>
      <c r="CA113" s="206"/>
      <c r="CB113" s="206"/>
      <c r="CC113" s="209" t="s">
        <v>3534</v>
      </c>
      <c r="CD113" s="209"/>
      <c r="CE113" s="206">
        <f>COUNTA(DP9:DP109)-COUNTIF(DP9:DP109,"RE")-COUNTIF(DP9:DP109,"AB")-COUNTIF(DP9:DP109,"")</f>
        <v>0</v>
      </c>
      <c r="CF113" s="206"/>
      <c r="CG113" s="206"/>
      <c r="CH113" s="206"/>
      <c r="CI113" s="206"/>
    </row>
    <row r="114" spans="1:87" ht="30" customHeight="1" x14ac:dyDescent="0.25">
      <c r="G114" s="142"/>
      <c r="J114" s="238" t="s">
        <v>3525</v>
      </c>
      <c r="K114" s="238"/>
      <c r="L114" s="44" t="s">
        <v>2616</v>
      </c>
      <c r="M114" s="44" t="s">
        <v>3543</v>
      </c>
      <c r="N114" s="44" t="s">
        <v>3544</v>
      </c>
      <c r="O114" s="44" t="s">
        <v>3545</v>
      </c>
      <c r="P114" s="44" t="s">
        <v>3538</v>
      </c>
      <c r="Q114" s="220" t="s">
        <v>3525</v>
      </c>
      <c r="R114" s="220"/>
      <c r="S114" s="44" t="s">
        <v>2616</v>
      </c>
      <c r="T114" s="44" t="s">
        <v>3543</v>
      </c>
      <c r="U114" s="44" t="s">
        <v>3544</v>
      </c>
      <c r="V114" s="44" t="s">
        <v>3545</v>
      </c>
      <c r="W114" s="44" t="s">
        <v>3538</v>
      </c>
      <c r="X114" s="44"/>
      <c r="Y114" s="220" t="s">
        <v>3525</v>
      </c>
      <c r="Z114" s="220"/>
      <c r="AA114" s="44" t="s">
        <v>2616</v>
      </c>
      <c r="AB114" s="44"/>
      <c r="AC114" s="44"/>
      <c r="AD114" s="44" t="s">
        <v>3543</v>
      </c>
      <c r="AE114" s="44"/>
      <c r="AF114" s="44"/>
      <c r="AG114" s="44" t="s">
        <v>3544</v>
      </c>
      <c r="AH114" s="44" t="s">
        <v>3545</v>
      </c>
      <c r="AI114" s="44" t="s">
        <v>3538</v>
      </c>
      <c r="AJ114" s="44"/>
      <c r="AK114" s="220" t="s">
        <v>3525</v>
      </c>
      <c r="AL114" s="220"/>
      <c r="AM114" s="44" t="s">
        <v>2616</v>
      </c>
      <c r="AN114" s="44"/>
      <c r="AO114" s="44"/>
      <c r="AP114" s="44" t="s">
        <v>3543</v>
      </c>
      <c r="AQ114" s="44"/>
      <c r="AR114" s="44"/>
      <c r="AS114" s="44" t="s">
        <v>3544</v>
      </c>
      <c r="AT114" s="44" t="s">
        <v>3545</v>
      </c>
      <c r="AU114" s="44" t="s">
        <v>3538</v>
      </c>
      <c r="AV114" s="44"/>
      <c r="AW114" s="220" t="s">
        <v>3525</v>
      </c>
      <c r="AX114" s="220"/>
      <c r="AY114" s="44" t="s">
        <v>2616</v>
      </c>
      <c r="AZ114" s="44"/>
      <c r="BA114" s="44"/>
      <c r="BB114" s="44" t="s">
        <v>3543</v>
      </c>
      <c r="BC114" s="44"/>
      <c r="BD114" s="44"/>
      <c r="BE114" s="44" t="s">
        <v>3544</v>
      </c>
      <c r="BF114" s="44" t="s">
        <v>3545</v>
      </c>
      <c r="BG114" s="44" t="s">
        <v>3538</v>
      </c>
      <c r="BH114" s="243"/>
      <c r="BI114" s="244"/>
      <c r="BJ114" s="244"/>
      <c r="BK114" s="244"/>
      <c r="BL114" s="244"/>
      <c r="BM114" s="244"/>
      <c r="BN114" s="245"/>
      <c r="BO114" s="209" t="s">
        <v>3569</v>
      </c>
      <c r="BP114" s="209"/>
      <c r="BQ114" s="44" t="s">
        <v>37</v>
      </c>
      <c r="BR114" s="44" t="s">
        <v>1108</v>
      </c>
      <c r="BS114" s="44" t="s">
        <v>2265</v>
      </c>
      <c r="BT114" s="44" t="s">
        <v>2616</v>
      </c>
      <c r="BU114" s="44" t="s">
        <v>3538</v>
      </c>
      <c r="BV114" s="209" t="s">
        <v>3569</v>
      </c>
      <c r="BW114" s="209"/>
      <c r="BX114" s="44" t="s">
        <v>37</v>
      </c>
      <c r="BY114" s="44" t="s">
        <v>1108</v>
      </c>
      <c r="BZ114" s="44" t="s">
        <v>2265</v>
      </c>
      <c r="CA114" s="44" t="s">
        <v>2616</v>
      </c>
      <c r="CB114" s="44" t="s">
        <v>3538</v>
      </c>
      <c r="CC114" s="209" t="s">
        <v>3569</v>
      </c>
      <c r="CD114" s="209"/>
      <c r="CE114" s="44" t="s">
        <v>37</v>
      </c>
      <c r="CF114" s="44" t="s">
        <v>1108</v>
      </c>
      <c r="CG114" s="44" t="s">
        <v>2265</v>
      </c>
      <c r="CH114" s="44" t="s">
        <v>2616</v>
      </c>
      <c r="CI114" s="44" t="s">
        <v>3538</v>
      </c>
    </row>
    <row r="115" spans="1:87" ht="30" customHeight="1" x14ac:dyDescent="0.25">
      <c r="A115" s="201" t="s">
        <v>3554</v>
      </c>
      <c r="B115" s="201"/>
      <c r="C115" s="201"/>
      <c r="D115" s="102" t="s">
        <v>3552</v>
      </c>
      <c r="E115" s="102" t="s">
        <v>3553</v>
      </c>
      <c r="F115" s="102" t="s">
        <v>3542</v>
      </c>
      <c r="G115" s="201" t="s">
        <v>3538</v>
      </c>
      <c r="H115" s="201"/>
      <c r="I115" s="201"/>
      <c r="J115" s="238" t="s">
        <v>3535</v>
      </c>
      <c r="K115" s="238"/>
      <c r="L115" s="105">
        <f>COUNTIF($DD$9:$DD$109,L114)</f>
        <v>0</v>
      </c>
      <c r="M115" s="105">
        <f>COUNTIF($DD$9:$DD$109,M114)</f>
        <v>1</v>
      </c>
      <c r="N115" s="105">
        <f>COUNTIF($DD$9:$DD$109,N114)</f>
        <v>10</v>
      </c>
      <c r="O115" s="105">
        <f>COUNTIF($DD$9:$DD$109,O114)</f>
        <v>5</v>
      </c>
      <c r="P115" s="105">
        <f>SUM(L115:O115)</f>
        <v>16</v>
      </c>
      <c r="Q115" s="220" t="s">
        <v>3535</v>
      </c>
      <c r="R115" s="220"/>
      <c r="S115" s="105">
        <f>COUNTIF($DF$9:$DF$109,S114)</f>
        <v>0</v>
      </c>
      <c r="T115" s="105">
        <f>COUNTIF($DF$9:$DF$109,T114)</f>
        <v>1</v>
      </c>
      <c r="U115" s="105">
        <f>COUNTIF($DF$9:$DF$109,U114)</f>
        <v>10</v>
      </c>
      <c r="V115" s="105">
        <f>COUNTIF($DF$9:$DF$109,V114)</f>
        <v>3</v>
      </c>
      <c r="W115" s="105">
        <f>SUM(S115:V115)</f>
        <v>14</v>
      </c>
      <c r="X115" s="44"/>
      <c r="Y115" s="220" t="s">
        <v>3535</v>
      </c>
      <c r="Z115" s="220"/>
      <c r="AA115" s="105">
        <f>COUNTIF($DH$9:$DH$109,AA114)</f>
        <v>2</v>
      </c>
      <c r="AB115" s="44"/>
      <c r="AC115" s="44"/>
      <c r="AD115" s="105">
        <f>COUNTIF($DH$9:$DH$109,AD114)</f>
        <v>2</v>
      </c>
      <c r="AE115" s="44"/>
      <c r="AF115" s="44"/>
      <c r="AG115" s="105">
        <f>COUNTIF($DH$9:$DH$109,AG114)</f>
        <v>9</v>
      </c>
      <c r="AH115" s="105">
        <f>COUNTIF($DH$9:$DH$109,AH114)</f>
        <v>3</v>
      </c>
      <c r="AI115" s="105">
        <f>SUM(AA115:AH115)</f>
        <v>16</v>
      </c>
      <c r="AJ115" s="44"/>
      <c r="AK115" s="220" t="s">
        <v>3535</v>
      </c>
      <c r="AL115" s="220"/>
      <c r="AM115" s="105">
        <f>COUNTIF($DJ$9:$DJ$109,AM114)</f>
        <v>0</v>
      </c>
      <c r="AN115" s="44"/>
      <c r="AO115" s="44"/>
      <c r="AP115" s="105">
        <f>COUNTIF($DJ$9:$DJ$109,AP114)</f>
        <v>9</v>
      </c>
      <c r="AQ115" s="44"/>
      <c r="AR115" s="44"/>
      <c r="AS115" s="105">
        <f>COUNTIF($DJ$9:$DJ$109,AS114)</f>
        <v>3</v>
      </c>
      <c r="AT115" s="105">
        <f>COUNTIF($DJ$9:$DJ$109,AT114)</f>
        <v>4</v>
      </c>
      <c r="AU115" s="105">
        <f>SUM(AM115:AT115)</f>
        <v>16</v>
      </c>
      <c r="AV115" s="44"/>
      <c r="AW115" s="220" t="s">
        <v>3535</v>
      </c>
      <c r="AX115" s="220"/>
      <c r="AY115" s="105">
        <f>COUNTIF($DL$9:$DL$109,AY114)</f>
        <v>0</v>
      </c>
      <c r="AZ115" s="44"/>
      <c r="BA115" s="44"/>
      <c r="BB115" s="105">
        <f>COUNTIF($DL$9:$DL$109,BB114)</f>
        <v>1</v>
      </c>
      <c r="BC115" s="44"/>
      <c r="BD115" s="44"/>
      <c r="BE115" s="105">
        <f>COUNTIF($DL$9:$DL$109,BE114)</f>
        <v>13</v>
      </c>
      <c r="BF115" s="105">
        <f>COUNTIF($DL$9:$DL$109,BF114)</f>
        <v>3</v>
      </c>
      <c r="BG115" s="105">
        <f>SUM(AY115:BF115)</f>
        <v>17</v>
      </c>
      <c r="BH115" s="243"/>
      <c r="BI115" s="244"/>
      <c r="BJ115" s="244"/>
      <c r="BK115" s="244"/>
      <c r="BL115" s="244"/>
      <c r="BM115" s="244"/>
      <c r="BN115" s="245"/>
      <c r="BO115" s="209" t="s">
        <v>3535</v>
      </c>
      <c r="BP115" s="209"/>
      <c r="BQ115" s="105">
        <f>COUNTIF($DN$9:$DN$109,BQ114)</f>
        <v>0</v>
      </c>
      <c r="BR115" s="105">
        <f t="shared" ref="BR115:BT115" si="176">COUNTIF($DN$9:$DN$109,BR114)</f>
        <v>17</v>
      </c>
      <c r="BS115" s="105">
        <f t="shared" si="176"/>
        <v>0</v>
      </c>
      <c r="BT115" s="105">
        <f t="shared" si="176"/>
        <v>0</v>
      </c>
      <c r="BU115" s="105">
        <f>SUM(BQ115:BT115)</f>
        <v>17</v>
      </c>
      <c r="BV115" s="209" t="s">
        <v>3535</v>
      </c>
      <c r="BW115" s="209"/>
      <c r="BX115" s="105">
        <f>COUNTIF($DO$9:$DO$109,BX114)</f>
        <v>0</v>
      </c>
      <c r="BY115" s="105">
        <f t="shared" ref="BY115:CA115" si="177">COUNTIF($DO$9:$DO$109,BY114)</f>
        <v>17</v>
      </c>
      <c r="BZ115" s="105">
        <f t="shared" si="177"/>
        <v>0</v>
      </c>
      <c r="CA115" s="105">
        <f t="shared" si="177"/>
        <v>0</v>
      </c>
      <c r="CB115" s="105">
        <f t="shared" ref="CB115" si="178">SUM(BX115:CA115)</f>
        <v>17</v>
      </c>
      <c r="CC115" s="209" t="s">
        <v>3535</v>
      </c>
      <c r="CD115" s="209"/>
      <c r="CE115" s="105">
        <f>COUNTIF($DP$9:$DP$109,CE114)</f>
        <v>0</v>
      </c>
      <c r="CF115" s="105">
        <f t="shared" ref="CF115:CH115" si="179">COUNTIF($DP$9:$DP$109,CF114)</f>
        <v>0</v>
      </c>
      <c r="CG115" s="105">
        <f t="shared" si="179"/>
        <v>0</v>
      </c>
      <c r="CH115" s="105">
        <f t="shared" si="179"/>
        <v>0</v>
      </c>
      <c r="CI115" s="105">
        <f t="shared" ref="CI115" si="180">SUM(CE115:CH115)</f>
        <v>0</v>
      </c>
    </row>
    <row r="116" spans="1:87" ht="30" customHeight="1" x14ac:dyDescent="0.25">
      <c r="A116" s="210">
        <f>IF(G113="","",G113/A113)</f>
        <v>0.88235294117647056</v>
      </c>
      <c r="B116" s="211"/>
      <c r="C116" s="212"/>
      <c r="D116" s="52">
        <f>COUNTIF($BJ$9:$BJ$109,"Supp.")</f>
        <v>1</v>
      </c>
      <c r="E116" s="52">
        <f>COUNTIF($BJ$9:$BJ$109,"Fail")</f>
        <v>1</v>
      </c>
      <c r="F116" s="52">
        <f>COUNTIF(B9:B109,"*"&amp;"NSO"&amp;"*")</f>
        <v>0</v>
      </c>
      <c r="G116" s="213">
        <f>SUM(G113,F116,E116,D116)</f>
        <v>17</v>
      </c>
      <c r="H116" s="214"/>
      <c r="I116" s="215"/>
      <c r="J116" s="238" t="s">
        <v>3524</v>
      </c>
      <c r="K116" s="238"/>
      <c r="L116" s="221">
        <f>IF(L113=0,0,P115/L113)</f>
        <v>0.94117647058823528</v>
      </c>
      <c r="M116" s="222"/>
      <c r="N116" s="222"/>
      <c r="O116" s="222"/>
      <c r="P116" s="223"/>
      <c r="Q116" s="220" t="s">
        <v>3524</v>
      </c>
      <c r="R116" s="220"/>
      <c r="S116" s="221">
        <f>IF(S113=0,0,W115/S113)</f>
        <v>0.82352941176470584</v>
      </c>
      <c r="T116" s="222"/>
      <c r="U116" s="222"/>
      <c r="V116" s="222"/>
      <c r="W116" s="223"/>
      <c r="X116" s="143"/>
      <c r="Y116" s="220" t="s">
        <v>3524</v>
      </c>
      <c r="Z116" s="220"/>
      <c r="AA116" s="221">
        <f>IF(AA113=0,0,AI115/AA113)</f>
        <v>0.94117647058823528</v>
      </c>
      <c r="AB116" s="222"/>
      <c r="AC116" s="222"/>
      <c r="AD116" s="222"/>
      <c r="AE116" s="222"/>
      <c r="AF116" s="222"/>
      <c r="AG116" s="222"/>
      <c r="AH116" s="222"/>
      <c r="AI116" s="223"/>
      <c r="AJ116" s="143"/>
      <c r="AK116" s="220" t="s">
        <v>3524</v>
      </c>
      <c r="AL116" s="220"/>
      <c r="AM116" s="221">
        <f>IF(AM113=0,0,AU115/AM113)</f>
        <v>0.94117647058823528</v>
      </c>
      <c r="AN116" s="222"/>
      <c r="AO116" s="222"/>
      <c r="AP116" s="222"/>
      <c r="AQ116" s="222"/>
      <c r="AR116" s="222"/>
      <c r="AS116" s="222"/>
      <c r="AT116" s="222"/>
      <c r="AU116" s="223"/>
      <c r="AV116" s="143"/>
      <c r="AW116" s="220" t="s">
        <v>3524</v>
      </c>
      <c r="AX116" s="220"/>
      <c r="AY116" s="221">
        <f>IF(AY113=0,0,BG115/AY113)</f>
        <v>1</v>
      </c>
      <c r="AZ116" s="222"/>
      <c r="BA116" s="222"/>
      <c r="BB116" s="222"/>
      <c r="BC116" s="222"/>
      <c r="BD116" s="222"/>
      <c r="BE116" s="222"/>
      <c r="BF116" s="222"/>
      <c r="BG116" s="223"/>
      <c r="BH116" s="243"/>
      <c r="BI116" s="244"/>
      <c r="BJ116" s="244"/>
      <c r="BK116" s="244"/>
      <c r="BL116" s="244"/>
      <c r="BM116" s="244"/>
      <c r="BN116" s="245"/>
      <c r="BO116" s="209" t="s">
        <v>3524</v>
      </c>
      <c r="BP116" s="209"/>
      <c r="BQ116" s="221">
        <f>IF(BQ113=0,0,BU115/BQ113)</f>
        <v>1</v>
      </c>
      <c r="BR116" s="222"/>
      <c r="BS116" s="222"/>
      <c r="BT116" s="222"/>
      <c r="BU116" s="223"/>
      <c r="BV116" s="209" t="s">
        <v>3524</v>
      </c>
      <c r="BW116" s="209"/>
      <c r="BX116" s="221">
        <f t="shared" ref="BX116" si="181">IF(BX113=0,0,CB115/BX113)</f>
        <v>1</v>
      </c>
      <c r="BY116" s="222"/>
      <c r="BZ116" s="222"/>
      <c r="CA116" s="222"/>
      <c r="CB116" s="223"/>
      <c r="CC116" s="209" t="s">
        <v>3524</v>
      </c>
      <c r="CD116" s="209"/>
      <c r="CE116" s="221">
        <f t="shared" ref="CE116" si="182">IF(CE113=0,0,CI115/CE113)</f>
        <v>0</v>
      </c>
      <c r="CF116" s="222"/>
      <c r="CG116" s="222"/>
      <c r="CH116" s="222"/>
      <c r="CI116" s="223"/>
    </row>
    <row r="117" spans="1:87" ht="30" customHeight="1" x14ac:dyDescent="0.25">
      <c r="A117" s="239"/>
      <c r="B117" s="239"/>
      <c r="C117" s="239"/>
      <c r="D117" s="239"/>
      <c r="E117" s="239"/>
      <c r="F117" s="239"/>
      <c r="G117" s="239"/>
      <c r="H117" s="239"/>
      <c r="I117" s="239"/>
      <c r="J117" s="238" t="s">
        <v>3536</v>
      </c>
      <c r="K117" s="238"/>
      <c r="L117" s="224">
        <f>COUNTIF($DD$9:$DD$109,"S")</f>
        <v>1</v>
      </c>
      <c r="M117" s="225"/>
      <c r="N117" s="225"/>
      <c r="O117" s="225"/>
      <c r="P117" s="226"/>
      <c r="Q117" s="220" t="s">
        <v>3536</v>
      </c>
      <c r="R117" s="220"/>
      <c r="S117" s="224">
        <f>COUNTIF($DF$9:$DF$109,"S")</f>
        <v>1</v>
      </c>
      <c r="T117" s="225"/>
      <c r="U117" s="225"/>
      <c r="V117" s="225"/>
      <c r="W117" s="226"/>
      <c r="X117" s="144"/>
      <c r="Y117" s="220" t="s">
        <v>3536</v>
      </c>
      <c r="Z117" s="220"/>
      <c r="AA117" s="224">
        <f>COUNTIF($DH$9:$DH$109,"S")</f>
        <v>0</v>
      </c>
      <c r="AB117" s="225"/>
      <c r="AC117" s="225"/>
      <c r="AD117" s="225"/>
      <c r="AE117" s="225"/>
      <c r="AF117" s="225"/>
      <c r="AG117" s="225"/>
      <c r="AH117" s="225"/>
      <c r="AI117" s="226"/>
      <c r="AJ117" s="144"/>
      <c r="AK117" s="220" t="s">
        <v>3536</v>
      </c>
      <c r="AL117" s="220"/>
      <c r="AM117" s="224">
        <f>COUNTIF($DJ$9:$DJ$109,"S")</f>
        <v>0</v>
      </c>
      <c r="AN117" s="225"/>
      <c r="AO117" s="225"/>
      <c r="AP117" s="225"/>
      <c r="AQ117" s="225"/>
      <c r="AR117" s="225"/>
      <c r="AS117" s="225"/>
      <c r="AT117" s="225"/>
      <c r="AU117" s="226"/>
      <c r="AV117" s="144"/>
      <c r="AW117" s="220" t="s">
        <v>3536</v>
      </c>
      <c r="AX117" s="220"/>
      <c r="AY117" s="224">
        <f>COUNTIF($DL$9:$DL$109,"S")</f>
        <v>0</v>
      </c>
      <c r="AZ117" s="225"/>
      <c r="BA117" s="225"/>
      <c r="BB117" s="225"/>
      <c r="BC117" s="225"/>
      <c r="BD117" s="225"/>
      <c r="BE117" s="225"/>
      <c r="BF117" s="225"/>
      <c r="BG117" s="226"/>
      <c r="BH117" s="243"/>
      <c r="BI117" s="244"/>
      <c r="BJ117" s="244"/>
      <c r="BK117" s="244"/>
      <c r="BL117" s="244"/>
      <c r="BM117" s="244"/>
      <c r="BN117" s="245"/>
      <c r="BO117" s="209" t="s">
        <v>3536</v>
      </c>
      <c r="BP117" s="209"/>
      <c r="BQ117" s="224">
        <f>COUNTIF($DN$9:$DN$109,"S")</f>
        <v>0</v>
      </c>
      <c r="BR117" s="225"/>
      <c r="BS117" s="225"/>
      <c r="BT117" s="225"/>
      <c r="BU117" s="226"/>
      <c r="BV117" s="209" t="s">
        <v>3536</v>
      </c>
      <c r="BW117" s="209"/>
      <c r="BX117" s="224">
        <f>COUNTIF($DO$9:$DO$109,"S")</f>
        <v>0</v>
      </c>
      <c r="BY117" s="225"/>
      <c r="BZ117" s="225"/>
      <c r="CA117" s="225"/>
      <c r="CB117" s="226"/>
      <c r="CC117" s="209" t="s">
        <v>3536</v>
      </c>
      <c r="CD117" s="209"/>
      <c r="CE117" s="224">
        <f>COUNTIF($DP$9:$DP$109,"S")</f>
        <v>0</v>
      </c>
      <c r="CF117" s="225"/>
      <c r="CG117" s="225"/>
      <c r="CH117" s="225"/>
      <c r="CI117" s="226"/>
    </row>
    <row r="118" spans="1:87" ht="30" customHeight="1" x14ac:dyDescent="0.25">
      <c r="A118" s="239"/>
      <c r="B118" s="239"/>
      <c r="C118" s="239"/>
      <c r="D118" s="239"/>
      <c r="E118" s="239"/>
      <c r="F118" s="239"/>
      <c r="G118" s="239"/>
      <c r="H118" s="239"/>
      <c r="I118" s="239"/>
      <c r="J118" s="238" t="s">
        <v>3537</v>
      </c>
      <c r="K118" s="238"/>
      <c r="L118" s="224">
        <f>COUNTIF($DD$9:$DD$109,"F")</f>
        <v>0</v>
      </c>
      <c r="M118" s="225"/>
      <c r="N118" s="225"/>
      <c r="O118" s="225"/>
      <c r="P118" s="226"/>
      <c r="Q118" s="220" t="s">
        <v>3537</v>
      </c>
      <c r="R118" s="220"/>
      <c r="S118" s="224">
        <f>COUNTIF($DF$9:$DF$109,"F")</f>
        <v>1</v>
      </c>
      <c r="T118" s="225"/>
      <c r="U118" s="225"/>
      <c r="V118" s="225"/>
      <c r="W118" s="226"/>
      <c r="X118" s="144"/>
      <c r="Y118" s="220" t="s">
        <v>3537</v>
      </c>
      <c r="Z118" s="220"/>
      <c r="AA118" s="224">
        <f>COUNTIF($DH$9:$DH$109,"F")</f>
        <v>1</v>
      </c>
      <c r="AB118" s="225"/>
      <c r="AC118" s="225"/>
      <c r="AD118" s="225"/>
      <c r="AE118" s="225"/>
      <c r="AF118" s="225"/>
      <c r="AG118" s="225"/>
      <c r="AH118" s="225"/>
      <c r="AI118" s="226"/>
      <c r="AJ118" s="144"/>
      <c r="AK118" s="220" t="s">
        <v>3537</v>
      </c>
      <c r="AL118" s="220"/>
      <c r="AM118" s="224">
        <f>COUNTIF($DJ$9:$DJ$109,"F")</f>
        <v>1</v>
      </c>
      <c r="AN118" s="225"/>
      <c r="AO118" s="225"/>
      <c r="AP118" s="225"/>
      <c r="AQ118" s="225"/>
      <c r="AR118" s="225"/>
      <c r="AS118" s="225"/>
      <c r="AT118" s="225"/>
      <c r="AU118" s="226"/>
      <c r="AV118" s="144"/>
      <c r="AW118" s="220" t="s">
        <v>3537</v>
      </c>
      <c r="AX118" s="220"/>
      <c r="AY118" s="224">
        <f>COUNTIF($DL$9:$DL$109,"F")</f>
        <v>0</v>
      </c>
      <c r="AZ118" s="225"/>
      <c r="BA118" s="225"/>
      <c r="BB118" s="225"/>
      <c r="BC118" s="225"/>
      <c r="BD118" s="225"/>
      <c r="BE118" s="225"/>
      <c r="BF118" s="225"/>
      <c r="BG118" s="226"/>
      <c r="BH118" s="243"/>
      <c r="BI118" s="244"/>
      <c r="BJ118" s="244"/>
      <c r="BK118" s="244"/>
      <c r="BL118" s="244"/>
      <c r="BM118" s="244"/>
      <c r="BN118" s="245"/>
      <c r="BO118" s="209" t="s">
        <v>3537</v>
      </c>
      <c r="BP118" s="209"/>
      <c r="BQ118" s="224">
        <f>COUNTIF($DN$9:$DN$109,"F")</f>
        <v>0</v>
      </c>
      <c r="BR118" s="225"/>
      <c r="BS118" s="225"/>
      <c r="BT118" s="225"/>
      <c r="BU118" s="226"/>
      <c r="BV118" s="209" t="s">
        <v>3537</v>
      </c>
      <c r="BW118" s="209"/>
      <c r="BX118" s="224">
        <f>COUNTIF($DO$9:$DO$109,"F")</f>
        <v>0</v>
      </c>
      <c r="BY118" s="225"/>
      <c r="BZ118" s="225"/>
      <c r="CA118" s="225"/>
      <c r="CB118" s="226"/>
      <c r="CC118" s="209" t="s">
        <v>3537</v>
      </c>
      <c r="CD118" s="209"/>
      <c r="CE118" s="224">
        <f>COUNTIF($DP$9:$DP$109,"F")</f>
        <v>0</v>
      </c>
      <c r="CF118" s="225"/>
      <c r="CG118" s="225"/>
      <c r="CH118" s="225"/>
      <c r="CI118" s="226"/>
    </row>
    <row r="119" spans="1:87" ht="30" customHeight="1" x14ac:dyDescent="0.25">
      <c r="A119" s="239"/>
      <c r="B119" s="239"/>
      <c r="C119" s="239"/>
      <c r="D119" s="239"/>
      <c r="E119" s="239"/>
      <c r="F119" s="239"/>
      <c r="G119" s="239"/>
      <c r="H119" s="239"/>
      <c r="I119" s="239"/>
      <c r="J119" s="236" t="s">
        <v>3546</v>
      </c>
      <c r="K119" s="237"/>
      <c r="L119" s="224">
        <f>COUNTIF($DD$9:$DD$109,"G")</f>
        <v>0</v>
      </c>
      <c r="M119" s="225"/>
      <c r="N119" s="225"/>
      <c r="O119" s="225"/>
      <c r="P119" s="226"/>
      <c r="Q119" s="220" t="s">
        <v>3546</v>
      </c>
      <c r="R119" s="220"/>
      <c r="S119" s="224">
        <f>COUNTIF($DF$9:$DF$109,"G")</f>
        <v>1</v>
      </c>
      <c r="T119" s="225"/>
      <c r="U119" s="225"/>
      <c r="V119" s="225"/>
      <c r="W119" s="226"/>
      <c r="X119" s="145"/>
      <c r="Y119" s="220" t="s">
        <v>3546</v>
      </c>
      <c r="Z119" s="220"/>
      <c r="AA119" s="224">
        <f>COUNTIF($DH$9:$DH$109,"G")</f>
        <v>0</v>
      </c>
      <c r="AB119" s="225"/>
      <c r="AC119" s="225"/>
      <c r="AD119" s="225"/>
      <c r="AE119" s="225"/>
      <c r="AF119" s="225"/>
      <c r="AG119" s="225"/>
      <c r="AH119" s="225"/>
      <c r="AI119" s="226"/>
      <c r="AJ119" s="144"/>
      <c r="AK119" s="220" t="s">
        <v>3546</v>
      </c>
      <c r="AL119" s="220"/>
      <c r="AM119" s="224">
        <f>COUNTIF($DJ$9:$DJ$109,"G")</f>
        <v>0</v>
      </c>
      <c r="AN119" s="225"/>
      <c r="AO119" s="225"/>
      <c r="AP119" s="225"/>
      <c r="AQ119" s="225"/>
      <c r="AR119" s="225"/>
      <c r="AS119" s="225"/>
      <c r="AT119" s="225"/>
      <c r="AU119" s="226"/>
      <c r="AV119" s="144"/>
      <c r="AW119" s="220" t="s">
        <v>3546</v>
      </c>
      <c r="AX119" s="220"/>
      <c r="AY119" s="224">
        <f>COUNTIF($DL$9:$DL$109,"G")</f>
        <v>0</v>
      </c>
      <c r="AZ119" s="225"/>
      <c r="BA119" s="225"/>
      <c r="BB119" s="225"/>
      <c r="BC119" s="225"/>
      <c r="BD119" s="225"/>
      <c r="BE119" s="225"/>
      <c r="BF119" s="225"/>
      <c r="BG119" s="226"/>
      <c r="BH119" s="246"/>
      <c r="BI119" s="247"/>
      <c r="BJ119" s="247"/>
      <c r="BK119" s="247"/>
      <c r="BL119" s="247"/>
      <c r="BM119" s="247"/>
      <c r="BN119" s="248"/>
      <c r="BO119" s="227" t="s">
        <v>3546</v>
      </c>
      <c r="BP119" s="228"/>
      <c r="BQ119" s="224">
        <f>COUNTIF($DN$9:$DN$109,"g")</f>
        <v>0</v>
      </c>
      <c r="BR119" s="225"/>
      <c r="BS119" s="225"/>
      <c r="BT119" s="225"/>
      <c r="BU119" s="226"/>
      <c r="BV119" s="227" t="s">
        <v>3546</v>
      </c>
      <c r="BW119" s="228"/>
      <c r="BX119" s="224">
        <f>COUNTIF($DO$9:$DO$109,"g")</f>
        <v>0</v>
      </c>
      <c r="BY119" s="225"/>
      <c r="BZ119" s="225"/>
      <c r="CA119" s="225"/>
      <c r="CB119" s="226"/>
      <c r="CC119" s="227" t="s">
        <v>3546</v>
      </c>
      <c r="CD119" s="228"/>
      <c r="CE119" s="224">
        <f>COUNTIF($DP$9:$DP$109,"g")</f>
        <v>0</v>
      </c>
      <c r="CF119" s="225"/>
      <c r="CG119" s="225"/>
      <c r="CH119" s="225"/>
      <c r="CI119" s="226"/>
    </row>
    <row r="120" spans="1:87" ht="10.5" customHeight="1" x14ac:dyDescent="0.25"/>
  </sheetData>
  <sheetProtection password="DB75" sheet="1" objects="1" scenarios="1" formatCells="0" formatColumns="0" formatRows="0"/>
  <mergeCells count="207">
    <mergeCell ref="BV119:BW119"/>
    <mergeCell ref="BX119:CB119"/>
    <mergeCell ref="CC119:CD119"/>
    <mergeCell ref="CE119:CI119"/>
    <mergeCell ref="BV116:BW116"/>
    <mergeCell ref="BX116:CB116"/>
    <mergeCell ref="CC116:CD116"/>
    <mergeCell ref="CE116:CI116"/>
    <mergeCell ref="A117:I119"/>
    <mergeCell ref="BH111:BN119"/>
    <mergeCell ref="BO111:BU111"/>
    <mergeCell ref="BO112:BU112"/>
    <mergeCell ref="BQ113:BU113"/>
    <mergeCell ref="BQ116:BU116"/>
    <mergeCell ref="BQ117:BU117"/>
    <mergeCell ref="BQ118:BU118"/>
    <mergeCell ref="BQ119:BU119"/>
    <mergeCell ref="BV117:BW117"/>
    <mergeCell ref="BX117:CB117"/>
    <mergeCell ref="BV115:BW115"/>
    <mergeCell ref="Y113:Z113"/>
    <mergeCell ref="AY117:BG117"/>
    <mergeCell ref="J119:K119"/>
    <mergeCell ref="L119:P119"/>
    <mergeCell ref="Q113:R113"/>
    <mergeCell ref="Q114:R114"/>
    <mergeCell ref="Q115:R115"/>
    <mergeCell ref="Q116:R116"/>
    <mergeCell ref="Q117:R117"/>
    <mergeCell ref="Q118:R118"/>
    <mergeCell ref="Q119:R119"/>
    <mergeCell ref="J118:K118"/>
    <mergeCell ref="L113:P113"/>
    <mergeCell ref="J113:K113"/>
    <mergeCell ref="J114:K114"/>
    <mergeCell ref="J115:K115"/>
    <mergeCell ref="J116:K116"/>
    <mergeCell ref="J117:K117"/>
    <mergeCell ref="L116:P116"/>
    <mergeCell ref="L117:P117"/>
    <mergeCell ref="DX5:DX7"/>
    <mergeCell ref="DZ5:DZ7"/>
    <mergeCell ref="CK5:CK7"/>
    <mergeCell ref="L118:P118"/>
    <mergeCell ref="CP6:CP7"/>
    <mergeCell ref="CQ6:CQ7"/>
    <mergeCell ref="CM6:CM7"/>
    <mergeCell ref="J111:P111"/>
    <mergeCell ref="J112:P112"/>
    <mergeCell ref="BO118:BP118"/>
    <mergeCell ref="AW111:BG111"/>
    <mergeCell ref="DV5:DV7"/>
    <mergeCell ref="S113:W113"/>
    <mergeCell ref="S116:W116"/>
    <mergeCell ref="S117:W117"/>
    <mergeCell ref="S118:W118"/>
    <mergeCell ref="AK118:AL118"/>
    <mergeCell ref="AW118:AX118"/>
    <mergeCell ref="BO117:BP117"/>
    <mergeCell ref="AM118:AU118"/>
    <mergeCell ref="AY116:BG116"/>
    <mergeCell ref="X5:AI5"/>
    <mergeCell ref="X6:X7"/>
    <mergeCell ref="AJ5:AJ7"/>
    <mergeCell ref="S119:W119"/>
    <mergeCell ref="DD5:DP5"/>
    <mergeCell ref="BV111:CB111"/>
    <mergeCell ref="CC117:CD117"/>
    <mergeCell ref="CE117:CI117"/>
    <mergeCell ref="BV118:BW118"/>
    <mergeCell ref="BX118:CB118"/>
    <mergeCell ref="CC118:CD118"/>
    <mergeCell ref="CE118:CI118"/>
    <mergeCell ref="CC112:CI112"/>
    <mergeCell ref="BV113:BW113"/>
    <mergeCell ref="BX113:CB113"/>
    <mergeCell ref="CC113:CD113"/>
    <mergeCell ref="CE113:CI113"/>
    <mergeCell ref="BV114:BW114"/>
    <mergeCell ref="CC114:CD114"/>
    <mergeCell ref="CV6:CV7"/>
    <mergeCell ref="CS5:CV5"/>
    <mergeCell ref="CM5:CQ5"/>
    <mergeCell ref="CS6:CS7"/>
    <mergeCell ref="CT6:CT7"/>
    <mergeCell ref="CU6:CU7"/>
    <mergeCell ref="CN6:CN7"/>
    <mergeCell ref="CO6:CO7"/>
    <mergeCell ref="G4:G7"/>
    <mergeCell ref="H4:H7"/>
    <mergeCell ref="I4:I7"/>
    <mergeCell ref="J4:P4"/>
    <mergeCell ref="BF6:BF7"/>
    <mergeCell ref="BG6:BG7"/>
    <mergeCell ref="J5:P5"/>
    <mergeCell ref="AW5:BG5"/>
    <mergeCell ref="Q5:W5"/>
    <mergeCell ref="AK5:AU5"/>
    <mergeCell ref="X4:AI4"/>
    <mergeCell ref="AJ4:AU4"/>
    <mergeCell ref="AV5:AV7"/>
    <mergeCell ref="AV4:BG4"/>
    <mergeCell ref="AY119:BG119"/>
    <mergeCell ref="AW113:AX113"/>
    <mergeCell ref="AW114:AX114"/>
    <mergeCell ref="AW115:AX115"/>
    <mergeCell ref="AW116:AX116"/>
    <mergeCell ref="AW117:AX117"/>
    <mergeCell ref="BO119:BP119"/>
    <mergeCell ref="AM119:AU119"/>
    <mergeCell ref="AK113:AL113"/>
    <mergeCell ref="AK114:AL114"/>
    <mergeCell ref="AK115:AL115"/>
    <mergeCell ref="AK116:AL116"/>
    <mergeCell ref="AK117:AL117"/>
    <mergeCell ref="BO113:BP113"/>
    <mergeCell ref="BO114:BP114"/>
    <mergeCell ref="BO115:BP115"/>
    <mergeCell ref="AW119:AX119"/>
    <mergeCell ref="AK119:AL119"/>
    <mergeCell ref="AM113:AU113"/>
    <mergeCell ref="AM116:AU116"/>
    <mergeCell ref="AM117:AU117"/>
    <mergeCell ref="AY118:BG118"/>
    <mergeCell ref="Y119:Z119"/>
    <mergeCell ref="AA113:AI113"/>
    <mergeCell ref="AA116:AI116"/>
    <mergeCell ref="AA117:AI117"/>
    <mergeCell ref="AA118:AI118"/>
    <mergeCell ref="AA119:AI119"/>
    <mergeCell ref="Y114:Z114"/>
    <mergeCell ref="Y115:Z115"/>
    <mergeCell ref="Y116:Z116"/>
    <mergeCell ref="Y117:Z117"/>
    <mergeCell ref="Y118:Z118"/>
    <mergeCell ref="A116:C116"/>
    <mergeCell ref="G116:I116"/>
    <mergeCell ref="A111:I111"/>
    <mergeCell ref="A112:C112"/>
    <mergeCell ref="A113:C113"/>
    <mergeCell ref="G113:I113"/>
    <mergeCell ref="DJ6:DK6"/>
    <mergeCell ref="DL6:DM6"/>
    <mergeCell ref="CY6:CY7"/>
    <mergeCell ref="CZ6:CZ7"/>
    <mergeCell ref="DB6:DB7"/>
    <mergeCell ref="CX6:CX7"/>
    <mergeCell ref="DA6:DA7"/>
    <mergeCell ref="O6:O7"/>
    <mergeCell ref="DD6:DE6"/>
    <mergeCell ref="DF6:DG6"/>
    <mergeCell ref="A4:A7"/>
    <mergeCell ref="B4:B7"/>
    <mergeCell ref="BO116:BP116"/>
    <mergeCell ref="A115:C115"/>
    <mergeCell ref="G112:I112"/>
    <mergeCell ref="D4:D7"/>
    <mergeCell ref="BM4:BN4"/>
    <mergeCell ref="BN5:BN7"/>
    <mergeCell ref="G115:I115"/>
    <mergeCell ref="CX5:DB5"/>
    <mergeCell ref="Q4:W4"/>
    <mergeCell ref="Q111:W111"/>
    <mergeCell ref="Y111:AI111"/>
    <mergeCell ref="AK111:AU111"/>
    <mergeCell ref="DR5:DR7"/>
    <mergeCell ref="DT5:DT7"/>
    <mergeCell ref="CC111:CI111"/>
    <mergeCell ref="BV112:CB112"/>
    <mergeCell ref="AY113:BG113"/>
    <mergeCell ref="Q112:W112"/>
    <mergeCell ref="Y112:AI112"/>
    <mergeCell ref="AK112:AU112"/>
    <mergeCell ref="AW112:BG112"/>
    <mergeCell ref="DH6:DI6"/>
    <mergeCell ref="CC115:CD115"/>
    <mergeCell ref="BM5:BM7"/>
    <mergeCell ref="BH4:BL4"/>
    <mergeCell ref="BH5:BH6"/>
    <mergeCell ref="BI5:BI6"/>
    <mergeCell ref="BJ5:BJ6"/>
    <mergeCell ref="BK5:BK6"/>
    <mergeCell ref="BL5:BL6"/>
    <mergeCell ref="A1:K1"/>
    <mergeCell ref="A2:K2"/>
    <mergeCell ref="BV4:CB4"/>
    <mergeCell ref="CC4:CI4"/>
    <mergeCell ref="BV5:CB5"/>
    <mergeCell ref="CC5:CI5"/>
    <mergeCell ref="CA6:CA7"/>
    <mergeCell ref="CB6:CB7"/>
    <mergeCell ref="CH6:CH7"/>
    <mergeCell ref="CI6:CI7"/>
    <mergeCell ref="BO4:BU4"/>
    <mergeCell ref="BO5:BU5"/>
    <mergeCell ref="BT6:BT7"/>
    <mergeCell ref="BU6:BU7"/>
    <mergeCell ref="P6:P7"/>
    <mergeCell ref="V6:V7"/>
    <mergeCell ref="W6:W7"/>
    <mergeCell ref="AH6:AH7"/>
    <mergeCell ref="AI6:AI7"/>
    <mergeCell ref="AT6:AT7"/>
    <mergeCell ref="AU6:AU7"/>
    <mergeCell ref="C4:C7"/>
    <mergeCell ref="F4:F7"/>
    <mergeCell ref="E4:E7"/>
  </mergeCells>
  <conditionalFormatting sqref="J9:CI109">
    <cfRule type="cellIs" dxfId="7" priority="1" operator="equal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&amp;LResult Program By : Ashwini Kumar</oddFooter>
  </headerFooter>
  <ignoredErrors>
    <ignoredError sqref="S9:S109 BX7:BY7 CE7:CF7 BQ9:BQ109 BX9:BX109 CE9:CE109 BQ7:BR7 S7:T7 L7:M7 L9 L10:L109 M9:M109 T9:T109 BR9:BR109 BY9:BY109 CF9:CF109 AA9:AA109 AM9:AM109 AY9:AY109 BB9:BB10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18"/>
  <sheetViews>
    <sheetView view="pageBreakPreview" zoomScaleNormal="100" zoomScaleSheetLayoutView="100" workbookViewId="0">
      <pane ySplit="5" topLeftCell="A6" activePane="bottomLeft" state="frozen"/>
      <selection pane="bottomLeft" activeCell="H5" sqref="H5"/>
    </sheetView>
  </sheetViews>
  <sheetFormatPr defaultRowHeight="30" customHeight="1" x14ac:dyDescent="0.2"/>
  <cols>
    <col min="1" max="1" width="4.7109375" style="55" customWidth="1"/>
    <col min="2" max="2" width="7.140625" style="55" bestFit="1" customWidth="1"/>
    <col min="3" max="3" width="9.140625" style="55"/>
    <col min="4" max="4" width="25.7109375" style="57" customWidth="1"/>
    <col min="5" max="5" width="5.5703125" style="55" customWidth="1"/>
    <col min="6" max="6" width="5.42578125" style="55" customWidth="1"/>
    <col min="7" max="14" width="4.7109375" style="58" customWidth="1"/>
    <col min="15" max="15" width="11.85546875" style="45" bestFit="1" customWidth="1"/>
    <col min="16" max="16" width="5.28515625" style="58" customWidth="1"/>
    <col min="17" max="17" width="7.85546875" style="58" customWidth="1"/>
    <col min="18" max="18" width="6.7109375" style="55" customWidth="1"/>
    <col min="19" max="16384" width="9.140625" style="55"/>
  </cols>
  <sheetData>
    <row r="1" spans="1:22" ht="24.95" customHeight="1" x14ac:dyDescent="0.2">
      <c r="A1" s="253" t="str">
        <f>'Sch Name'!A1</f>
        <v>Government Senior Secondary School, Deograh (Rajsamand)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22" ht="24.95" customHeight="1" x14ac:dyDescent="0.2">
      <c r="A2" s="253" t="str">
        <f>"Subject-Wise "&amp;'11th Data'!A2</f>
        <v>Subject-Wise Result For Class 11th B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22" ht="14.25" x14ac:dyDescent="0.2">
      <c r="D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22" s="45" customFormat="1" ht="14.25" x14ac:dyDescent="0.25">
      <c r="A4" s="203" t="s">
        <v>3498</v>
      </c>
      <c r="B4" s="203" t="s">
        <v>3505</v>
      </c>
      <c r="C4" s="203" t="s">
        <v>3610</v>
      </c>
      <c r="D4" s="203" t="s">
        <v>3501</v>
      </c>
      <c r="E4" s="252" t="s">
        <v>15</v>
      </c>
      <c r="F4" s="252" t="s">
        <v>21</v>
      </c>
      <c r="G4" s="203" t="s">
        <v>3555</v>
      </c>
      <c r="H4" s="203"/>
      <c r="I4" s="203"/>
      <c r="J4" s="203"/>
      <c r="K4" s="203"/>
      <c r="L4" s="203"/>
      <c r="M4" s="203"/>
      <c r="N4" s="203"/>
      <c r="O4" s="265" t="s">
        <v>3522</v>
      </c>
      <c r="P4" s="252" t="s">
        <v>3525</v>
      </c>
      <c r="Q4" s="252" t="s">
        <v>3524</v>
      </c>
      <c r="R4" s="255" t="s">
        <v>3526</v>
      </c>
    </row>
    <row r="5" spans="1:22" s="45" customFormat="1" ht="82.5" x14ac:dyDescent="0.25">
      <c r="A5" s="203"/>
      <c r="B5" s="203"/>
      <c r="C5" s="203"/>
      <c r="D5" s="203"/>
      <c r="E5" s="252"/>
      <c r="F5" s="252"/>
      <c r="G5" s="60" t="str">
        <f>'Statement of Marks'!J4</f>
        <v>HINDI Comp.</v>
      </c>
      <c r="H5" s="60" t="str">
        <f>'Statement of Marks'!Q4</f>
        <v>ENGLISH Comp.</v>
      </c>
      <c r="I5" s="60" t="str">
        <f>'Statement of Marks'!X4</f>
        <v>History</v>
      </c>
      <c r="J5" s="60" t="str">
        <f>'Statement of Marks'!AJ4</f>
        <v>Political Science</v>
      </c>
      <c r="K5" s="60" t="str">
        <f>'Statement of Marks'!AV4</f>
        <v>Geography</v>
      </c>
      <c r="L5" s="60" t="str">
        <f>'Statement of Marks'!BO4</f>
        <v>Jeewan Kaushal</v>
      </c>
      <c r="M5" s="60" t="str">
        <f>'Statement of Marks'!BV4</f>
        <v>Swarnim Bharat</v>
      </c>
      <c r="N5" s="60" t="str">
        <f>'Statement of Marks'!CC4</f>
        <v>other2</v>
      </c>
      <c r="O5" s="265"/>
      <c r="P5" s="252"/>
      <c r="Q5" s="252"/>
      <c r="R5" s="255"/>
    </row>
    <row r="6" spans="1:22" ht="30" customHeight="1" x14ac:dyDescent="0.2">
      <c r="A6" s="51">
        <f>IF('Statement of Marks'!A9="","",'Statement of Marks'!A9)</f>
        <v>1</v>
      </c>
      <c r="B6" s="51">
        <f>IF('Statement of Marks'!B9="","",'Statement of Marks'!B9)</f>
        <v>906</v>
      </c>
      <c r="C6" s="51">
        <f>IF('Statement of Marks'!C9="","",'Statement of Marks'!C9)</f>
        <v>13204</v>
      </c>
      <c r="D6" s="48" t="str">
        <f>IF('Statement of Marks'!D9="","",'Statement of Marks'!D9)</f>
        <v>ASHOK SINGH</v>
      </c>
      <c r="E6" s="51" t="str">
        <f>IF('Statement of Marks'!G9="","",'Statement of Marks'!G9)</f>
        <v>BOY</v>
      </c>
      <c r="F6" s="51" t="str">
        <f>IF('Statement of Marks'!I9="","",'Statement of Marks'!I9)</f>
        <v>OBC</v>
      </c>
      <c r="G6" s="51" t="str">
        <f>IF('Statement of Marks'!DD9="","",'Statement of Marks'!DD9)</f>
        <v>II</v>
      </c>
      <c r="H6" s="51" t="str">
        <f>IF('Statement of Marks'!DF9="","",'Statement of Marks'!DF9)</f>
        <v>II</v>
      </c>
      <c r="I6" s="51" t="str">
        <f>IF('Statement of Marks'!DH9="","",'Statement of Marks'!DH9)</f>
        <v>I</v>
      </c>
      <c r="J6" s="51" t="str">
        <f>IF('Statement of Marks'!DJ9="","",'Statement of Marks'!DJ9)</f>
        <v>I</v>
      </c>
      <c r="K6" s="51" t="str">
        <f>IF('Statement of Marks'!DL9="","",'Statement of Marks'!DL9)</f>
        <v>II</v>
      </c>
      <c r="L6" s="51" t="str">
        <f>IF('Statement of Marks'!DN9="","",'Statement of Marks'!DN9)</f>
        <v>B</v>
      </c>
      <c r="M6" s="96" t="str">
        <f>IF('Statement of Marks'!DO9="","",'Statement of Marks'!DO9)</f>
        <v>B</v>
      </c>
      <c r="N6" s="96" t="str">
        <f>IF('Statement of Marks'!DP9="","",'Statement of Marks'!DP9)</f>
        <v/>
      </c>
      <c r="O6" s="47" t="str">
        <f>IF('Statement of Marks'!BJ9="","",'Statement of Marks'!BJ9)</f>
        <v>PASS</v>
      </c>
      <c r="P6" s="51" t="str">
        <f>IF('Statement of Marks'!BK9="","",'Statement of Marks'!BK9)</f>
        <v>1st</v>
      </c>
      <c r="Q6" s="50">
        <f>IF('Statement of Marks'!BI9="","",'Statement of Marks'!BI9)</f>
        <v>0.61699999999999999</v>
      </c>
      <c r="R6" s="51">
        <f>IF('Statement of Marks'!BL9="","",'Statement of Marks'!BL9)</f>
        <v>2.0000000000000018</v>
      </c>
      <c r="V6" s="56"/>
    </row>
    <row r="7" spans="1:22" ht="30" customHeight="1" x14ac:dyDescent="0.2">
      <c r="A7" s="51">
        <f>IF('Statement of Marks'!A10="","",'Statement of Marks'!A10)</f>
        <v>2</v>
      </c>
      <c r="B7" s="51">
        <f>IF('Statement of Marks'!B10="","",'Statement of Marks'!B10)</f>
        <v>907</v>
      </c>
      <c r="C7" s="51">
        <f>IF('Statement of Marks'!C10="","",'Statement of Marks'!C10)</f>
        <v>12970</v>
      </c>
      <c r="D7" s="48" t="str">
        <f>IF('Statement of Marks'!D10="","",'Statement of Marks'!D10)</f>
        <v>ASHOK SINGH RAWAT</v>
      </c>
      <c r="E7" s="51" t="str">
        <f>IF('Statement of Marks'!G10="","",'Statement of Marks'!G10)</f>
        <v>BOY</v>
      </c>
      <c r="F7" s="51" t="str">
        <f>IF('Statement of Marks'!I10="","",'Statement of Marks'!I10)</f>
        <v>OBC</v>
      </c>
      <c r="G7" s="51" t="str">
        <f>IF('Statement of Marks'!DD10="","",'Statement of Marks'!DD10)</f>
        <v>III</v>
      </c>
      <c r="H7" s="51" t="str">
        <f>IF('Statement of Marks'!DF10="","",'Statement of Marks'!DF10)</f>
        <v>G</v>
      </c>
      <c r="I7" s="51" t="str">
        <f>IF('Statement of Marks'!DH10="","",'Statement of Marks'!DH10)</f>
        <v>III</v>
      </c>
      <c r="J7" s="96" t="str">
        <f>IF('Statement of Marks'!DJ10="","",'Statement of Marks'!DJ10)</f>
        <v>III</v>
      </c>
      <c r="K7" s="96" t="str">
        <f>IF('Statement of Marks'!DL10="","",'Statement of Marks'!DL10)</f>
        <v>II</v>
      </c>
      <c r="L7" s="96" t="str">
        <f>IF('Statement of Marks'!DN10="","",'Statement of Marks'!DN10)</f>
        <v>B</v>
      </c>
      <c r="M7" s="96" t="str">
        <f>IF('Statement of Marks'!DO10="","",'Statement of Marks'!DO10)</f>
        <v>B</v>
      </c>
      <c r="N7" s="96" t="str">
        <f>IF('Statement of Marks'!DP10="","",'Statement of Marks'!DP10)</f>
        <v/>
      </c>
      <c r="O7" s="47" t="str">
        <f>IF('Statement of Marks'!BJ10="","",'Statement of Marks'!BJ10)</f>
        <v>Passed with Grace</v>
      </c>
      <c r="P7" s="51" t="str">
        <f>IF('Statement of Marks'!BK10="","",'Statement of Marks'!BK10)</f>
        <v>3rd</v>
      </c>
      <c r="Q7" s="50">
        <f>IF('Statement of Marks'!BI10="","",'Statement of Marks'!BI10)</f>
        <v>0.442</v>
      </c>
      <c r="R7" s="51">
        <f>IF('Statement of Marks'!BL10="","",'Statement of Marks'!BL10)</f>
        <v>12.999999999999927</v>
      </c>
    </row>
    <row r="8" spans="1:22" ht="30" customHeight="1" x14ac:dyDescent="0.2">
      <c r="A8" s="51">
        <f>IF('Statement of Marks'!A11="","",'Statement of Marks'!A11)</f>
        <v>3</v>
      </c>
      <c r="B8" s="51">
        <f>IF('Statement of Marks'!B11="","",'Statement of Marks'!B11)</f>
        <v>908</v>
      </c>
      <c r="C8" s="51">
        <f>IF('Statement of Marks'!C11="","",'Statement of Marks'!C11)</f>
        <v>13028</v>
      </c>
      <c r="D8" s="48" t="str">
        <f>IF('Statement of Marks'!D11="","",'Statement of Marks'!D11)</f>
        <v>BHERU LAL</v>
      </c>
      <c r="E8" s="51" t="str">
        <f>IF('Statement of Marks'!G11="","",'Statement of Marks'!G11)</f>
        <v>BOY</v>
      </c>
      <c r="F8" s="51" t="str">
        <f>IF('Statement of Marks'!I11="","",'Statement of Marks'!I11)</f>
        <v>SC</v>
      </c>
      <c r="G8" s="51" t="str">
        <f>IF('Statement of Marks'!DD11="","",'Statement of Marks'!DD11)</f>
        <v>II</v>
      </c>
      <c r="H8" s="51" t="str">
        <f>IF('Statement of Marks'!DF11="","",'Statement of Marks'!DF11)</f>
        <v>III</v>
      </c>
      <c r="I8" s="51" t="str">
        <f>IF('Statement of Marks'!DH11="","",'Statement of Marks'!DH11)</f>
        <v>II</v>
      </c>
      <c r="J8" s="96" t="str">
        <f>IF('Statement of Marks'!DJ11="","",'Statement of Marks'!DJ11)</f>
        <v>II</v>
      </c>
      <c r="K8" s="96" t="str">
        <f>IF('Statement of Marks'!DL11="","",'Statement of Marks'!DL11)</f>
        <v>II</v>
      </c>
      <c r="L8" s="96" t="str">
        <f>IF('Statement of Marks'!DN11="","",'Statement of Marks'!DN11)</f>
        <v>B</v>
      </c>
      <c r="M8" s="96" t="str">
        <f>IF('Statement of Marks'!DO11="","",'Statement of Marks'!DO11)</f>
        <v>B</v>
      </c>
      <c r="N8" s="96" t="str">
        <f>IF('Statement of Marks'!DP11="","",'Statement of Marks'!DP11)</f>
        <v/>
      </c>
      <c r="O8" s="47" t="str">
        <f>IF('Statement of Marks'!BJ11="","",'Statement of Marks'!BJ11)</f>
        <v>PASS</v>
      </c>
      <c r="P8" s="51" t="str">
        <f>IF('Statement of Marks'!BK11="","",'Statement of Marks'!BK11)</f>
        <v>2nd</v>
      </c>
      <c r="Q8" s="50">
        <f>IF('Statement of Marks'!BI11="","",'Statement of Marks'!BI11)</f>
        <v>0.51600000000000001</v>
      </c>
      <c r="R8" s="51">
        <f>IF('Statement of Marks'!BL11="","",'Statement of Marks'!BL11)</f>
        <v>10.999999999999927</v>
      </c>
    </row>
    <row r="9" spans="1:22" ht="30" customHeight="1" x14ac:dyDescent="0.2">
      <c r="A9" s="51">
        <f>IF('Statement of Marks'!A12="","",'Statement of Marks'!A12)</f>
        <v>4</v>
      </c>
      <c r="B9" s="51">
        <f>IF('Statement of Marks'!B12="","",'Statement of Marks'!B12)</f>
        <v>909</v>
      </c>
      <c r="C9" s="51">
        <f>IF('Statement of Marks'!C12="","",'Statement of Marks'!C12)</f>
        <v>13030</v>
      </c>
      <c r="D9" s="48" t="str">
        <f>IF('Statement of Marks'!D12="","",'Statement of Marks'!D12)</f>
        <v>CHANDRA SINGH</v>
      </c>
      <c r="E9" s="51" t="str">
        <f>IF('Statement of Marks'!G12="","",'Statement of Marks'!G12)</f>
        <v>BOY</v>
      </c>
      <c r="F9" s="51" t="str">
        <f>IF('Statement of Marks'!I12="","",'Statement of Marks'!I12)</f>
        <v>OBC</v>
      </c>
      <c r="G9" s="51" t="str">
        <f>IF('Statement of Marks'!DD12="","",'Statement of Marks'!DD12)</f>
        <v>S</v>
      </c>
      <c r="H9" s="51" t="str">
        <f>IF('Statement of Marks'!DF12="","",'Statement of Marks'!DF12)</f>
        <v>S</v>
      </c>
      <c r="I9" s="51" t="str">
        <f>IF('Statement of Marks'!DH12="","",'Statement of Marks'!DH12)</f>
        <v>II</v>
      </c>
      <c r="J9" s="96" t="str">
        <f>IF('Statement of Marks'!DJ12="","",'Statement of Marks'!DJ12)</f>
        <v>II</v>
      </c>
      <c r="K9" s="96" t="str">
        <f>IF('Statement of Marks'!DL12="","",'Statement of Marks'!DL12)</f>
        <v>II</v>
      </c>
      <c r="L9" s="96" t="str">
        <f>IF('Statement of Marks'!DN12="","",'Statement of Marks'!DN12)</f>
        <v>B</v>
      </c>
      <c r="M9" s="96" t="str">
        <f>IF('Statement of Marks'!DO12="","",'Statement of Marks'!DO12)</f>
        <v>B</v>
      </c>
      <c r="N9" s="96" t="str">
        <f>IF('Statement of Marks'!DP12="","",'Statement of Marks'!DP12)</f>
        <v/>
      </c>
      <c r="O9" s="47" t="str">
        <f>IF('Statement of Marks'!BJ12="","",'Statement of Marks'!BJ12)</f>
        <v>SUPP.</v>
      </c>
      <c r="P9" s="51" t="str">
        <f>IF('Statement of Marks'!BK12="","",'Statement of Marks'!BK12)</f>
        <v/>
      </c>
      <c r="Q9" s="50">
        <f>IF('Statement of Marks'!BI12="","",'Statement of Marks'!BI12)</f>
        <v>0.45800000000000002</v>
      </c>
      <c r="R9" s="51" t="str">
        <f>IF('Statement of Marks'!BL12="","",'Statement of Marks'!BL12)</f>
        <v/>
      </c>
    </row>
    <row r="10" spans="1:22" ht="30" customHeight="1" x14ac:dyDescent="0.2">
      <c r="A10" s="51">
        <f>IF('Statement of Marks'!A13="","",'Statement of Marks'!A13)</f>
        <v>5</v>
      </c>
      <c r="B10" s="51">
        <f>IF('Statement of Marks'!B13="","",'Statement of Marks'!B13)</f>
        <v>910</v>
      </c>
      <c r="C10" s="51">
        <f>IF('Statement of Marks'!C13="","",'Statement of Marks'!C13)</f>
        <v>13275</v>
      </c>
      <c r="D10" s="48" t="str">
        <f>IF('Statement of Marks'!D13="","",'Statement of Marks'!D13)</f>
        <v>CHETAN KUMAR GURJAR</v>
      </c>
      <c r="E10" s="51" t="str">
        <f>IF('Statement of Marks'!G13="","",'Statement of Marks'!G13)</f>
        <v>BOY</v>
      </c>
      <c r="F10" s="51" t="str">
        <f>IF('Statement of Marks'!I13="","",'Statement of Marks'!I13)</f>
        <v>SBC</v>
      </c>
      <c r="G10" s="51" t="str">
        <f>IF('Statement of Marks'!DD13="","",'Statement of Marks'!DD13)</f>
        <v>III</v>
      </c>
      <c r="H10" s="51" t="str">
        <f>IF('Statement of Marks'!DF13="","",'Statement of Marks'!DF13)</f>
        <v>II</v>
      </c>
      <c r="I10" s="51" t="str">
        <f>IF('Statement of Marks'!DH13="","",'Statement of Marks'!DH13)</f>
        <v>D</v>
      </c>
      <c r="J10" s="96" t="str">
        <f>IF('Statement of Marks'!DJ13="","",'Statement of Marks'!DJ13)</f>
        <v>III</v>
      </c>
      <c r="K10" s="96" t="str">
        <f>IF('Statement of Marks'!DL13="","",'Statement of Marks'!DL13)</f>
        <v>II</v>
      </c>
      <c r="L10" s="96" t="str">
        <f>IF('Statement of Marks'!DN13="","",'Statement of Marks'!DN13)</f>
        <v>B</v>
      </c>
      <c r="M10" s="96" t="str">
        <f>IF('Statement of Marks'!DO13="","",'Statement of Marks'!DO13)</f>
        <v>B</v>
      </c>
      <c r="N10" s="96" t="str">
        <f>IF('Statement of Marks'!DP13="","",'Statement of Marks'!DP13)</f>
        <v/>
      </c>
      <c r="O10" s="47" t="str">
        <f>IF('Statement of Marks'!BJ13="","",'Statement of Marks'!BJ13)</f>
        <v>PASS</v>
      </c>
      <c r="P10" s="51" t="str">
        <f>IF('Statement of Marks'!BK13="","",'Statement of Marks'!BK13)</f>
        <v>2nd</v>
      </c>
      <c r="Q10" s="50">
        <f>IF('Statement of Marks'!BI13="","",'Statement of Marks'!BI13)</f>
        <v>0.53400000000000003</v>
      </c>
      <c r="R10" s="51">
        <f>IF('Statement of Marks'!BL13="","",'Statement of Marks'!BL13)</f>
        <v>7.0000000000000018</v>
      </c>
    </row>
    <row r="11" spans="1:22" ht="30" customHeight="1" x14ac:dyDescent="0.2">
      <c r="A11" s="51">
        <f>IF('Statement of Marks'!A14="","",'Statement of Marks'!A14)</f>
        <v>6</v>
      </c>
      <c r="B11" s="51">
        <f>IF('Statement of Marks'!B14="","",'Statement of Marks'!B14)</f>
        <v>911</v>
      </c>
      <c r="C11" s="51">
        <f>IF('Statement of Marks'!C14="","",'Statement of Marks'!C14)</f>
        <v>13337</v>
      </c>
      <c r="D11" s="48" t="str">
        <f>IF('Statement of Marks'!D14="","",'Statement of Marks'!D14)</f>
        <v>DHANNA SINGH</v>
      </c>
      <c r="E11" s="51" t="str">
        <f>IF('Statement of Marks'!G14="","",'Statement of Marks'!G14)</f>
        <v>BOY</v>
      </c>
      <c r="F11" s="51" t="str">
        <f>IF('Statement of Marks'!I14="","",'Statement of Marks'!I14)</f>
        <v>OBC</v>
      </c>
      <c r="G11" s="51" t="str">
        <f>IF('Statement of Marks'!DD14="","",'Statement of Marks'!DD14)</f>
        <v>II</v>
      </c>
      <c r="H11" s="51" t="str">
        <f>IF('Statement of Marks'!DF14="","",'Statement of Marks'!DF14)</f>
        <v>II</v>
      </c>
      <c r="I11" s="51" t="str">
        <f>IF('Statement of Marks'!DH14="","",'Statement of Marks'!DH14)</f>
        <v>II</v>
      </c>
      <c r="J11" s="96" t="str">
        <f>IF('Statement of Marks'!DJ14="","",'Statement of Marks'!DJ14)</f>
        <v>I</v>
      </c>
      <c r="K11" s="96" t="str">
        <f>IF('Statement of Marks'!DL14="","",'Statement of Marks'!DL14)</f>
        <v>III</v>
      </c>
      <c r="L11" s="96" t="str">
        <f>IF('Statement of Marks'!DN14="","",'Statement of Marks'!DN14)</f>
        <v>B</v>
      </c>
      <c r="M11" s="96" t="str">
        <f>IF('Statement of Marks'!DO14="","",'Statement of Marks'!DO14)</f>
        <v>B</v>
      </c>
      <c r="N11" s="96" t="str">
        <f>IF('Statement of Marks'!DP14="","",'Statement of Marks'!DP14)</f>
        <v/>
      </c>
      <c r="O11" s="47" t="str">
        <f>IF('Statement of Marks'!BJ14="","",'Statement of Marks'!BJ14)</f>
        <v>PASS</v>
      </c>
      <c r="P11" s="51" t="str">
        <f>IF('Statement of Marks'!BK14="","",'Statement of Marks'!BK14)</f>
        <v>2nd</v>
      </c>
      <c r="Q11" s="50">
        <f>IF('Statement of Marks'!BI14="","",'Statement of Marks'!BI14)</f>
        <v>0.51500000000000001</v>
      </c>
      <c r="R11" s="51">
        <f>IF('Statement of Marks'!BL14="","",'Statement of Marks'!BL14)</f>
        <v>11.999999999999927</v>
      </c>
    </row>
    <row r="12" spans="1:22" ht="30" customHeight="1" x14ac:dyDescent="0.2">
      <c r="A12" s="51">
        <f>IF('Statement of Marks'!A15="","",'Statement of Marks'!A15)</f>
        <v>7</v>
      </c>
      <c r="B12" s="51">
        <f>IF('Statement of Marks'!B15="","",'Statement of Marks'!B15)</f>
        <v>912</v>
      </c>
      <c r="C12" s="51">
        <f>IF('Statement of Marks'!C15="","",'Statement of Marks'!C15)</f>
        <v>13238</v>
      </c>
      <c r="D12" s="48" t="str">
        <f>IF('Statement of Marks'!D15="","",'Statement of Marks'!D15)</f>
        <v>DHEERAJ NATH</v>
      </c>
      <c r="E12" s="51" t="str">
        <f>IF('Statement of Marks'!G15="","",'Statement of Marks'!G15)</f>
        <v>BOY</v>
      </c>
      <c r="F12" s="51" t="str">
        <f>IF('Statement of Marks'!I15="","",'Statement of Marks'!I15)</f>
        <v>OBC</v>
      </c>
      <c r="G12" s="51" t="str">
        <f>IF('Statement of Marks'!DD15="","",'Statement of Marks'!DD15)</f>
        <v>II</v>
      </c>
      <c r="H12" s="51" t="str">
        <f>IF('Statement of Marks'!DF15="","",'Statement of Marks'!DF15)</f>
        <v>II</v>
      </c>
      <c r="I12" s="51" t="str">
        <f>IF('Statement of Marks'!DH15="","",'Statement of Marks'!DH15)</f>
        <v>II</v>
      </c>
      <c r="J12" s="96" t="str">
        <f>IF('Statement of Marks'!DJ15="","",'Statement of Marks'!DJ15)</f>
        <v>I</v>
      </c>
      <c r="K12" s="96" t="str">
        <f>IF('Statement of Marks'!DL15="","",'Statement of Marks'!DL15)</f>
        <v>II</v>
      </c>
      <c r="L12" s="96" t="str">
        <f>IF('Statement of Marks'!DN15="","",'Statement of Marks'!DN15)</f>
        <v>B</v>
      </c>
      <c r="M12" s="96" t="str">
        <f>IF('Statement of Marks'!DO15="","",'Statement of Marks'!DO15)</f>
        <v>B</v>
      </c>
      <c r="N12" s="96" t="str">
        <f>IF('Statement of Marks'!DP15="","",'Statement of Marks'!DP15)</f>
        <v/>
      </c>
      <c r="O12" s="47" t="str">
        <f>IF('Statement of Marks'!BJ15="","",'Statement of Marks'!BJ15)</f>
        <v>PASS</v>
      </c>
      <c r="P12" s="51" t="str">
        <f>IF('Statement of Marks'!BK15="","",'Statement of Marks'!BK15)</f>
        <v>2nd</v>
      </c>
      <c r="Q12" s="50">
        <f>IF('Statement of Marks'!BI15="","",'Statement of Marks'!BI15)</f>
        <v>0.52400000000000002</v>
      </c>
      <c r="R12" s="51">
        <f>IF('Statement of Marks'!BL15="","",'Statement of Marks'!BL15)</f>
        <v>9.9999999999999272</v>
      </c>
    </row>
    <row r="13" spans="1:22" ht="30" customHeight="1" x14ac:dyDescent="0.2">
      <c r="A13" s="51">
        <f>IF('Statement of Marks'!A16="","",'Statement of Marks'!A16)</f>
        <v>8</v>
      </c>
      <c r="B13" s="51">
        <f>IF('Statement of Marks'!B16="","",'Statement of Marks'!B16)</f>
        <v>913</v>
      </c>
      <c r="C13" s="51">
        <f>IF('Statement of Marks'!C16="","",'Statement of Marks'!C16)</f>
        <v>12965</v>
      </c>
      <c r="D13" s="48" t="str">
        <f>IF('Statement of Marks'!D16="","",'Statement of Marks'!D16)</f>
        <v>DINESH GURJAR</v>
      </c>
      <c r="E13" s="51" t="str">
        <f>IF('Statement of Marks'!G16="","",'Statement of Marks'!G16)</f>
        <v>BOY</v>
      </c>
      <c r="F13" s="51" t="str">
        <f>IF('Statement of Marks'!I16="","",'Statement of Marks'!I16)</f>
        <v>SBC</v>
      </c>
      <c r="G13" s="51" t="str">
        <f>IF('Statement of Marks'!DD16="","",'Statement of Marks'!DD16)</f>
        <v>II</v>
      </c>
      <c r="H13" s="51" t="str">
        <f>IF('Statement of Marks'!DF16="","",'Statement of Marks'!DF16)</f>
        <v>II</v>
      </c>
      <c r="I13" s="51" t="str">
        <f>IF('Statement of Marks'!DH16="","",'Statement of Marks'!DH16)</f>
        <v>II</v>
      </c>
      <c r="J13" s="96" t="str">
        <f>IF('Statement of Marks'!DJ16="","",'Statement of Marks'!DJ16)</f>
        <v>I</v>
      </c>
      <c r="K13" s="96" t="str">
        <f>IF('Statement of Marks'!DL16="","",'Statement of Marks'!DL16)</f>
        <v>II</v>
      </c>
      <c r="L13" s="96" t="str">
        <f>IF('Statement of Marks'!DN16="","",'Statement of Marks'!DN16)</f>
        <v>B</v>
      </c>
      <c r="M13" s="96" t="str">
        <f>IF('Statement of Marks'!DO16="","",'Statement of Marks'!DO16)</f>
        <v>B</v>
      </c>
      <c r="N13" s="96" t="str">
        <f>IF('Statement of Marks'!DP16="","",'Statement of Marks'!DP16)</f>
        <v/>
      </c>
      <c r="O13" s="47" t="str">
        <f>IF('Statement of Marks'!BJ16="","",'Statement of Marks'!BJ16)</f>
        <v>PASS</v>
      </c>
      <c r="P13" s="51" t="str">
        <f>IF('Statement of Marks'!BK16="","",'Statement of Marks'!BK16)</f>
        <v>2nd</v>
      </c>
      <c r="Q13" s="50">
        <f>IF('Statement of Marks'!BI16="","",'Statement of Marks'!BI16)</f>
        <v>0.53100000000000003</v>
      </c>
      <c r="R13" s="51">
        <f>IF('Statement of Marks'!BL16="","",'Statement of Marks'!BL16)</f>
        <v>8.0000000000000018</v>
      </c>
    </row>
    <row r="14" spans="1:22" ht="30" customHeight="1" x14ac:dyDescent="0.2">
      <c r="A14" s="51">
        <f>IF('Statement of Marks'!A17="","",'Statement of Marks'!A17)</f>
        <v>9</v>
      </c>
      <c r="B14" s="51">
        <f>IF('Statement of Marks'!B17="","",'Statement of Marks'!B17)</f>
        <v>914</v>
      </c>
      <c r="C14" s="51">
        <f>IF('Statement of Marks'!C17="","",'Statement of Marks'!C17)</f>
        <v>13523</v>
      </c>
      <c r="D14" s="48" t="str">
        <f>IF('Statement of Marks'!D17="","",'Statement of Marks'!D17)</f>
        <v>GOVIND NANGARACHI</v>
      </c>
      <c r="E14" s="51" t="str">
        <f>IF('Statement of Marks'!G17="","",'Statement of Marks'!G17)</f>
        <v>BOY</v>
      </c>
      <c r="F14" s="51" t="str">
        <f>IF('Statement of Marks'!I17="","",'Statement of Marks'!I17)</f>
        <v>SC</v>
      </c>
      <c r="G14" s="51" t="str">
        <f>IF('Statement of Marks'!DD17="","",'Statement of Marks'!DD17)</f>
        <v>II</v>
      </c>
      <c r="H14" s="51" t="str">
        <f>IF('Statement of Marks'!DF17="","",'Statement of Marks'!DF17)</f>
        <v>II</v>
      </c>
      <c r="I14" s="51" t="str">
        <f>IF('Statement of Marks'!DH17="","",'Statement of Marks'!DH17)</f>
        <v>I</v>
      </c>
      <c r="J14" s="96" t="str">
        <f>IF('Statement of Marks'!DJ17="","",'Statement of Marks'!DJ17)</f>
        <v>I</v>
      </c>
      <c r="K14" s="96" t="str">
        <f>IF('Statement of Marks'!DL17="","",'Statement of Marks'!DL17)</f>
        <v>I</v>
      </c>
      <c r="L14" s="96" t="str">
        <f>IF('Statement of Marks'!DN17="","",'Statement of Marks'!DN17)</f>
        <v>B</v>
      </c>
      <c r="M14" s="96" t="str">
        <f>IF('Statement of Marks'!DO17="","",'Statement of Marks'!DO17)</f>
        <v>B</v>
      </c>
      <c r="N14" s="96" t="str">
        <f>IF('Statement of Marks'!DP17="","",'Statement of Marks'!DP17)</f>
        <v/>
      </c>
      <c r="O14" s="47" t="str">
        <f>IF('Statement of Marks'!BJ17="","",'Statement of Marks'!BJ17)</f>
        <v>PASS</v>
      </c>
      <c r="P14" s="51" t="str">
        <f>IF('Statement of Marks'!BK17="","",'Statement of Marks'!BK17)</f>
        <v>1st</v>
      </c>
      <c r="Q14" s="50">
        <f>IF('Statement of Marks'!BI17="","",'Statement of Marks'!BI17)</f>
        <v>0.63100000000000001</v>
      </c>
      <c r="R14" s="51">
        <f>IF('Statement of Marks'!BL17="","",'Statement of Marks'!BL17)</f>
        <v>1.0000000000000011</v>
      </c>
    </row>
    <row r="15" spans="1:22" ht="30" customHeight="1" x14ac:dyDescent="0.2">
      <c r="A15" s="51">
        <f>IF('Statement of Marks'!A18="","",'Statement of Marks'!A18)</f>
        <v>10</v>
      </c>
      <c r="B15" s="51">
        <f>IF('Statement of Marks'!B18="","",'Statement of Marks'!B18)</f>
        <v>915</v>
      </c>
      <c r="C15" s="51">
        <f>IF('Statement of Marks'!C18="","",'Statement of Marks'!C18)</f>
        <v>13319</v>
      </c>
      <c r="D15" s="48" t="str">
        <f>IF('Statement of Marks'!D18="","",'Statement of Marks'!D18)</f>
        <v>INDRA SINGH</v>
      </c>
      <c r="E15" s="51" t="str">
        <f>IF('Statement of Marks'!G18="","",'Statement of Marks'!G18)</f>
        <v>BOY</v>
      </c>
      <c r="F15" s="51" t="str">
        <f>IF('Statement of Marks'!I18="","",'Statement of Marks'!I18)</f>
        <v>GEN</v>
      </c>
      <c r="G15" s="51" t="str">
        <f>IF('Statement of Marks'!DD18="","",'Statement of Marks'!DD18)</f>
        <v>III</v>
      </c>
      <c r="H15" s="51" t="str">
        <f>IF('Statement of Marks'!DF18="","",'Statement of Marks'!DF18)</f>
        <v>III</v>
      </c>
      <c r="I15" s="51" t="str">
        <f>IF('Statement of Marks'!DH18="","",'Statement of Marks'!DH18)</f>
        <v>III</v>
      </c>
      <c r="J15" s="96" t="str">
        <f>IF('Statement of Marks'!DJ18="","",'Statement of Marks'!DJ18)</f>
        <v>III</v>
      </c>
      <c r="K15" s="96" t="str">
        <f>IF('Statement of Marks'!DL18="","",'Statement of Marks'!DL18)</f>
        <v>III</v>
      </c>
      <c r="L15" s="96" t="str">
        <f>IF('Statement of Marks'!DN18="","",'Statement of Marks'!DN18)</f>
        <v>B</v>
      </c>
      <c r="M15" s="96" t="str">
        <f>IF('Statement of Marks'!DO18="","",'Statement of Marks'!DO18)</f>
        <v>B</v>
      </c>
      <c r="N15" s="96" t="str">
        <f>IF('Statement of Marks'!DP18="","",'Statement of Marks'!DP18)</f>
        <v/>
      </c>
      <c r="O15" s="47" t="str">
        <f>IF('Statement of Marks'!BJ18="","",'Statement of Marks'!BJ18)</f>
        <v>PASS</v>
      </c>
      <c r="P15" s="51" t="str">
        <f>IF('Statement of Marks'!BK18="","",'Statement of Marks'!BK18)</f>
        <v>3rd</v>
      </c>
      <c r="Q15" s="50">
        <f>IF('Statement of Marks'!BI18="","",'Statement of Marks'!BI18)</f>
        <v>0.42499999999999999</v>
      </c>
      <c r="R15" s="51">
        <f>IF('Statement of Marks'!BL18="","",'Statement of Marks'!BL18)</f>
        <v>13.999999999999927</v>
      </c>
    </row>
    <row r="16" spans="1:22" ht="30" customHeight="1" x14ac:dyDescent="0.2">
      <c r="A16" s="51">
        <f>IF('Statement of Marks'!A19="","",'Statement of Marks'!A19)</f>
        <v>11</v>
      </c>
      <c r="B16" s="51">
        <f>IF('Statement of Marks'!B19="","",'Statement of Marks'!B19)</f>
        <v>916</v>
      </c>
      <c r="C16" s="51">
        <f>IF('Statement of Marks'!C19="","",'Statement of Marks'!C19)</f>
        <v>13423</v>
      </c>
      <c r="D16" s="48" t="str">
        <f>IF('Statement of Marks'!D19="","",'Statement of Marks'!D19)</f>
        <v>JITENDRA SINGH</v>
      </c>
      <c r="E16" s="51" t="str">
        <f>IF('Statement of Marks'!G19="","",'Statement of Marks'!G19)</f>
        <v>BOY</v>
      </c>
      <c r="F16" s="51" t="str">
        <f>IF('Statement of Marks'!I19="","",'Statement of Marks'!I19)</f>
        <v>OBC</v>
      </c>
      <c r="G16" s="51" t="str">
        <f>IF('Statement of Marks'!DD19="","",'Statement of Marks'!DD19)</f>
        <v>II</v>
      </c>
      <c r="H16" s="51" t="str">
        <f>IF('Statement of Marks'!DF19="","",'Statement of Marks'!DF19)</f>
        <v>III</v>
      </c>
      <c r="I16" s="51" t="str">
        <f>IF('Statement of Marks'!DH19="","",'Statement of Marks'!DH19)</f>
        <v>II</v>
      </c>
      <c r="J16" s="96" t="str">
        <f>IF('Statement of Marks'!DJ19="","",'Statement of Marks'!DJ19)</f>
        <v>I</v>
      </c>
      <c r="K16" s="96" t="str">
        <f>IF('Statement of Marks'!DL19="","",'Statement of Marks'!DL19)</f>
        <v>II</v>
      </c>
      <c r="L16" s="96" t="str">
        <f>IF('Statement of Marks'!DN19="","",'Statement of Marks'!DN19)</f>
        <v>B</v>
      </c>
      <c r="M16" s="96" t="str">
        <f>IF('Statement of Marks'!DO19="","",'Statement of Marks'!DO19)</f>
        <v>B</v>
      </c>
      <c r="N16" s="96" t="str">
        <f>IF('Statement of Marks'!DP19="","",'Statement of Marks'!DP19)</f>
        <v/>
      </c>
      <c r="O16" s="47" t="str">
        <f>IF('Statement of Marks'!BJ19="","",'Statement of Marks'!BJ19)</f>
        <v>PASS</v>
      </c>
      <c r="P16" s="51" t="str">
        <f>IF('Statement of Marks'!BK19="","",'Statement of Marks'!BK19)</f>
        <v>2nd</v>
      </c>
      <c r="Q16" s="50">
        <f>IF('Statement of Marks'!BI19="","",'Statement of Marks'!BI19)</f>
        <v>0.52700000000000002</v>
      </c>
      <c r="R16" s="51">
        <f>IF('Statement of Marks'!BL19="","",'Statement of Marks'!BL19)</f>
        <v>8.9999999999999272</v>
      </c>
    </row>
    <row r="17" spans="1:18" ht="30" customHeight="1" x14ac:dyDescent="0.2">
      <c r="A17" s="51">
        <f>IF('Statement of Marks'!A20="","",'Statement of Marks'!A20)</f>
        <v>12</v>
      </c>
      <c r="B17" s="51">
        <f>IF('Statement of Marks'!B20="","",'Statement of Marks'!B20)</f>
        <v>917</v>
      </c>
      <c r="C17" s="51">
        <f>IF('Statement of Marks'!C20="","",'Statement of Marks'!C20)</f>
        <v>12939</v>
      </c>
      <c r="D17" s="48" t="str">
        <f>IF('Statement of Marks'!D20="","",'Statement of Marks'!D20)</f>
        <v>KOSHLENDRA SINGH BALLA</v>
      </c>
      <c r="E17" s="51" t="str">
        <f>IF('Statement of Marks'!G20="","",'Statement of Marks'!G20)</f>
        <v>BOY</v>
      </c>
      <c r="F17" s="51" t="str">
        <f>IF('Statement of Marks'!I20="","",'Statement of Marks'!I20)</f>
        <v>GEN</v>
      </c>
      <c r="G17" s="51" t="str">
        <f>IF('Statement of Marks'!DD20="","",'Statement of Marks'!DD20)</f>
        <v>III</v>
      </c>
      <c r="H17" s="51" t="str">
        <f>IF('Statement of Marks'!DF20="","",'Statement of Marks'!DF20)</f>
        <v>F</v>
      </c>
      <c r="I17" s="51" t="str">
        <f>IF('Statement of Marks'!DH20="","",'Statement of Marks'!DH20)</f>
        <v>F</v>
      </c>
      <c r="J17" s="96" t="str">
        <f>IF('Statement of Marks'!DJ20="","",'Statement of Marks'!DJ20)</f>
        <v>F</v>
      </c>
      <c r="K17" s="96" t="str">
        <f>IF('Statement of Marks'!DL20="","",'Statement of Marks'!DL20)</f>
        <v>III</v>
      </c>
      <c r="L17" s="96" t="str">
        <f>IF('Statement of Marks'!DN20="","",'Statement of Marks'!DN20)</f>
        <v>B</v>
      </c>
      <c r="M17" s="96" t="str">
        <f>IF('Statement of Marks'!DO20="","",'Statement of Marks'!DO20)</f>
        <v>B</v>
      </c>
      <c r="N17" s="96" t="str">
        <f>IF('Statement of Marks'!DP20="","",'Statement of Marks'!DP20)</f>
        <v/>
      </c>
      <c r="O17" s="47" t="str">
        <f>IF('Statement of Marks'!BJ20="","",'Statement of Marks'!BJ20)</f>
        <v>FAIL</v>
      </c>
      <c r="P17" s="51" t="str">
        <f>IF('Statement of Marks'!BK20="","",'Statement of Marks'!BK20)</f>
        <v/>
      </c>
      <c r="Q17" s="50">
        <f>IF('Statement of Marks'!BI20="","",'Statement of Marks'!BI20)</f>
        <v>0.313</v>
      </c>
      <c r="R17" s="51" t="str">
        <f>IF('Statement of Marks'!BL20="","",'Statement of Marks'!BL20)</f>
        <v/>
      </c>
    </row>
    <row r="18" spans="1:18" ht="30" customHeight="1" x14ac:dyDescent="0.2">
      <c r="A18" s="51">
        <f>IF('Statement of Marks'!A21="","",'Statement of Marks'!A21)</f>
        <v>13</v>
      </c>
      <c r="B18" s="51">
        <f>IF('Statement of Marks'!B21="","",'Statement of Marks'!B21)</f>
        <v>918</v>
      </c>
      <c r="C18" s="51">
        <f>IF('Statement of Marks'!C21="","",'Statement of Marks'!C21)</f>
        <v>13263</v>
      </c>
      <c r="D18" s="48" t="str">
        <f>IF('Statement of Marks'!D21="","",'Statement of Marks'!D21)</f>
        <v>NARAYAN SINGH</v>
      </c>
      <c r="E18" s="51" t="str">
        <f>IF('Statement of Marks'!G21="","",'Statement of Marks'!G21)</f>
        <v>BOY</v>
      </c>
      <c r="F18" s="51" t="str">
        <f>IF('Statement of Marks'!I21="","",'Statement of Marks'!I21)</f>
        <v>GEN</v>
      </c>
      <c r="G18" s="51" t="str">
        <f>IF('Statement of Marks'!DD21="","",'Statement of Marks'!DD21)</f>
        <v>III</v>
      </c>
      <c r="H18" s="51" t="str">
        <f>IF('Statement of Marks'!DF21="","",'Statement of Marks'!DF21)</f>
        <v>II</v>
      </c>
      <c r="I18" s="51" t="str">
        <f>IF('Statement of Marks'!DH21="","",'Statement of Marks'!DH21)</f>
        <v>D</v>
      </c>
      <c r="J18" s="96" t="str">
        <f>IF('Statement of Marks'!DJ21="","",'Statement of Marks'!DJ21)</f>
        <v>III</v>
      </c>
      <c r="K18" s="96" t="str">
        <f>IF('Statement of Marks'!DL21="","",'Statement of Marks'!DL21)</f>
        <v>II</v>
      </c>
      <c r="L18" s="96" t="str">
        <f>IF('Statement of Marks'!DN21="","",'Statement of Marks'!DN21)</f>
        <v>B</v>
      </c>
      <c r="M18" s="96" t="str">
        <f>IF('Statement of Marks'!DO21="","",'Statement of Marks'!DO21)</f>
        <v>B</v>
      </c>
      <c r="N18" s="96" t="str">
        <f>IF('Statement of Marks'!DP21="","",'Statement of Marks'!DP21)</f>
        <v/>
      </c>
      <c r="O18" s="47" t="str">
        <f>IF('Statement of Marks'!BJ21="","",'Statement of Marks'!BJ21)</f>
        <v>PASS</v>
      </c>
      <c r="P18" s="51" t="str">
        <f>IF('Statement of Marks'!BK21="","",'Statement of Marks'!BK21)</f>
        <v>2nd</v>
      </c>
      <c r="Q18" s="50">
        <f>IF('Statement of Marks'!BI21="","",'Statement of Marks'!BI21)</f>
        <v>0.54</v>
      </c>
      <c r="R18" s="51">
        <f>IF('Statement of Marks'!BL21="","",'Statement of Marks'!BL21)</f>
        <v>6.0000000000000018</v>
      </c>
    </row>
    <row r="19" spans="1:18" ht="30" customHeight="1" x14ac:dyDescent="0.2">
      <c r="A19" s="51">
        <f>IF('Statement of Marks'!A22="","",'Statement of Marks'!A22)</f>
        <v>14</v>
      </c>
      <c r="B19" s="51">
        <f>IF('Statement of Marks'!B22="","",'Statement of Marks'!B22)</f>
        <v>919</v>
      </c>
      <c r="C19" s="51">
        <f>IF('Statement of Marks'!C22="","",'Statement of Marks'!C22)</f>
        <v>12336</v>
      </c>
      <c r="D19" s="48" t="str">
        <f>IF('Statement of Marks'!D22="","",'Statement of Marks'!D22)</f>
        <v>NARESH KUMAR REGAR</v>
      </c>
      <c r="E19" s="51" t="str">
        <f>IF('Statement of Marks'!G22="","",'Statement of Marks'!G22)</f>
        <v>BOY</v>
      </c>
      <c r="F19" s="51" t="str">
        <f>IF('Statement of Marks'!I22="","",'Statement of Marks'!I22)</f>
        <v>SC</v>
      </c>
      <c r="G19" s="51" t="str">
        <f>IF('Statement of Marks'!DD22="","",'Statement of Marks'!DD22)</f>
        <v>II</v>
      </c>
      <c r="H19" s="51" t="str">
        <f>IF('Statement of Marks'!DF22="","",'Statement of Marks'!DF22)</f>
        <v>II</v>
      </c>
      <c r="I19" s="51" t="str">
        <f>IF('Statement of Marks'!DH22="","",'Statement of Marks'!DH22)</f>
        <v>II</v>
      </c>
      <c r="J19" s="96" t="str">
        <f>IF('Statement of Marks'!DJ22="","",'Statement of Marks'!DJ22)</f>
        <v>II</v>
      </c>
      <c r="K19" s="96" t="str">
        <f>IF('Statement of Marks'!DL22="","",'Statement of Marks'!DL22)</f>
        <v>II</v>
      </c>
      <c r="L19" s="96" t="str">
        <f>IF('Statement of Marks'!DN22="","",'Statement of Marks'!DN22)</f>
        <v>B</v>
      </c>
      <c r="M19" s="96" t="str">
        <f>IF('Statement of Marks'!DO22="","",'Statement of Marks'!DO22)</f>
        <v>B</v>
      </c>
      <c r="N19" s="96" t="str">
        <f>IF('Statement of Marks'!DP22="","",'Statement of Marks'!DP22)</f>
        <v/>
      </c>
      <c r="O19" s="47" t="str">
        <f>IF('Statement of Marks'!BJ22="","",'Statement of Marks'!BJ22)</f>
        <v>PASS</v>
      </c>
      <c r="P19" s="51" t="str">
        <f>IF('Statement of Marks'!BK22="","",'Statement of Marks'!BK22)</f>
        <v>2nd</v>
      </c>
      <c r="Q19" s="50">
        <f>IF('Statement of Marks'!BI22="","",'Statement of Marks'!BI22)</f>
        <v>0.54</v>
      </c>
      <c r="R19" s="51">
        <f>IF('Statement of Marks'!BL22="","",'Statement of Marks'!BL22)</f>
        <v>6.0000000000000018</v>
      </c>
    </row>
    <row r="20" spans="1:18" ht="30" customHeight="1" x14ac:dyDescent="0.2">
      <c r="A20" s="51">
        <f>IF('Statement of Marks'!A23="","",'Statement of Marks'!A23)</f>
        <v>15</v>
      </c>
      <c r="B20" s="51">
        <f>IF('Statement of Marks'!B23="","",'Statement of Marks'!B23)</f>
        <v>920</v>
      </c>
      <c r="C20" s="51">
        <f>IF('Statement of Marks'!C23="","",'Statement of Marks'!C23)</f>
        <v>12323</v>
      </c>
      <c r="D20" s="48" t="str">
        <f>IF('Statement of Marks'!D23="","",'Statement of Marks'!D23)</f>
        <v>NARESH MALI</v>
      </c>
      <c r="E20" s="51" t="str">
        <f>IF('Statement of Marks'!G23="","",'Statement of Marks'!G23)</f>
        <v>BOY</v>
      </c>
      <c r="F20" s="51" t="str">
        <f>IF('Statement of Marks'!I23="","",'Statement of Marks'!I23)</f>
        <v>OBC</v>
      </c>
      <c r="G20" s="51" t="str">
        <f>IF('Statement of Marks'!DD23="","",'Statement of Marks'!DD23)</f>
        <v>II</v>
      </c>
      <c r="H20" s="51" t="str">
        <f>IF('Statement of Marks'!DF23="","",'Statement of Marks'!DF23)</f>
        <v>II</v>
      </c>
      <c r="I20" s="51" t="str">
        <f>IF('Statement of Marks'!DH23="","",'Statement of Marks'!DH23)</f>
        <v>II</v>
      </c>
      <c r="J20" s="96" t="str">
        <f>IF('Statement of Marks'!DJ23="","",'Statement of Marks'!DJ23)</f>
        <v>I</v>
      </c>
      <c r="K20" s="96" t="str">
        <f>IF('Statement of Marks'!DL23="","",'Statement of Marks'!DL23)</f>
        <v>II</v>
      </c>
      <c r="L20" s="96" t="str">
        <f>IF('Statement of Marks'!DN23="","",'Statement of Marks'!DN23)</f>
        <v>B</v>
      </c>
      <c r="M20" s="96" t="str">
        <f>IF('Statement of Marks'!DO23="","",'Statement of Marks'!DO23)</f>
        <v>B</v>
      </c>
      <c r="N20" s="96" t="str">
        <f>IF('Statement of Marks'!DP23="","",'Statement of Marks'!DP23)</f>
        <v/>
      </c>
      <c r="O20" s="47" t="str">
        <f>IF('Statement of Marks'!BJ23="","",'Statement of Marks'!BJ23)</f>
        <v>PASS</v>
      </c>
      <c r="P20" s="51" t="str">
        <f>IF('Statement of Marks'!BK23="","",'Statement of Marks'!BK23)</f>
        <v>2nd</v>
      </c>
      <c r="Q20" s="50">
        <f>IF('Statement of Marks'!BI23="","",'Statement of Marks'!BI23)</f>
        <v>0.54700000000000004</v>
      </c>
      <c r="R20" s="51">
        <f>IF('Statement of Marks'!BL23="","",'Statement of Marks'!BL23)</f>
        <v>4.0000000000000018</v>
      </c>
    </row>
    <row r="21" spans="1:18" ht="30" customHeight="1" x14ac:dyDescent="0.2">
      <c r="A21" s="51">
        <f>IF('Statement of Marks'!A24="","",'Statement of Marks'!A24)</f>
        <v>16</v>
      </c>
      <c r="B21" s="51">
        <f>IF('Statement of Marks'!B24="","",'Statement of Marks'!B24)</f>
        <v>921</v>
      </c>
      <c r="C21" s="51">
        <f>IF('Statement of Marks'!C24="","",'Statement of Marks'!C24)</f>
        <v>12824</v>
      </c>
      <c r="D21" s="48" t="str">
        <f>IF('Statement of Marks'!D24="","",'Statement of Marks'!D24)</f>
        <v>PRAHLAD LOHAR</v>
      </c>
      <c r="E21" s="51" t="str">
        <f>IF('Statement of Marks'!G24="","",'Statement of Marks'!G24)</f>
        <v>BOY</v>
      </c>
      <c r="F21" s="51" t="str">
        <f>IF('Statement of Marks'!I24="","",'Statement of Marks'!I24)</f>
        <v>OBC</v>
      </c>
      <c r="G21" s="51" t="str">
        <f>IF('Statement of Marks'!DD24="","",'Statement of Marks'!DD24)</f>
        <v>II</v>
      </c>
      <c r="H21" s="51" t="str">
        <f>IF('Statement of Marks'!DF24="","",'Statement of Marks'!DF24)</f>
        <v>II</v>
      </c>
      <c r="I21" s="51" t="str">
        <f>IF('Statement of Marks'!DH24="","",'Statement of Marks'!DH24)</f>
        <v>II</v>
      </c>
      <c r="J21" s="96" t="str">
        <f>IF('Statement of Marks'!DJ24="","",'Statement of Marks'!DJ24)</f>
        <v>I</v>
      </c>
      <c r="K21" s="96" t="str">
        <f>IF('Statement of Marks'!DL24="","",'Statement of Marks'!DL24)</f>
        <v>II</v>
      </c>
      <c r="L21" s="96" t="str">
        <f>IF('Statement of Marks'!DN24="","",'Statement of Marks'!DN24)</f>
        <v>B</v>
      </c>
      <c r="M21" s="96" t="str">
        <f>IF('Statement of Marks'!DO24="","",'Statement of Marks'!DO24)</f>
        <v>B</v>
      </c>
      <c r="N21" s="96" t="str">
        <f>IF('Statement of Marks'!DP24="","",'Statement of Marks'!DP24)</f>
        <v/>
      </c>
      <c r="O21" s="47" t="str">
        <f>IF('Statement of Marks'!BJ24="","",'Statement of Marks'!BJ24)</f>
        <v>PASS</v>
      </c>
      <c r="P21" s="51" t="str">
        <f>IF('Statement of Marks'!BK24="","",'Statement of Marks'!BK24)</f>
        <v>2nd</v>
      </c>
      <c r="Q21" s="50">
        <f>IF('Statement of Marks'!BI24="","",'Statement of Marks'!BI24)</f>
        <v>0.54600000000000004</v>
      </c>
      <c r="R21" s="51">
        <f>IF('Statement of Marks'!BL24="","",'Statement of Marks'!BL24)</f>
        <v>5.0000000000000018</v>
      </c>
    </row>
    <row r="22" spans="1:18" ht="30" customHeight="1" x14ac:dyDescent="0.2">
      <c r="A22" s="51">
        <f>IF('Statement of Marks'!A25="","",'Statement of Marks'!A25)</f>
        <v>17</v>
      </c>
      <c r="B22" s="51">
        <f>IF('Statement of Marks'!B25="","",'Statement of Marks'!B25)</f>
        <v>922</v>
      </c>
      <c r="C22" s="51">
        <f>IF('Statement of Marks'!C25="","",'Statement of Marks'!C25)</f>
        <v>13188</v>
      </c>
      <c r="D22" s="48" t="str">
        <f>IF('Statement of Marks'!D25="","",'Statement of Marks'!D25)</f>
        <v>SHAILENDRA SINGH TANK</v>
      </c>
      <c r="E22" s="51" t="str">
        <f>IF('Statement of Marks'!G25="","",'Statement of Marks'!G25)</f>
        <v>BOY</v>
      </c>
      <c r="F22" s="51" t="str">
        <f>IF('Statement of Marks'!I25="","",'Statement of Marks'!I25)</f>
        <v>OBC</v>
      </c>
      <c r="G22" s="51" t="str">
        <f>IF('Statement of Marks'!DD25="","",'Statement of Marks'!DD25)</f>
        <v>I</v>
      </c>
      <c r="H22" s="51" t="str">
        <f>IF('Statement of Marks'!DF25="","",'Statement of Marks'!DF25)</f>
        <v>I</v>
      </c>
      <c r="I22" s="51" t="str">
        <f>IF('Statement of Marks'!DH25="","",'Statement of Marks'!DH25)</f>
        <v>III</v>
      </c>
      <c r="J22" s="96" t="str">
        <f>IF('Statement of Marks'!DJ25="","",'Statement of Marks'!DJ25)</f>
        <v>I</v>
      </c>
      <c r="K22" s="96" t="str">
        <f>IF('Statement of Marks'!DL25="","",'Statement of Marks'!DL25)</f>
        <v>II</v>
      </c>
      <c r="L22" s="96" t="str">
        <f>IF('Statement of Marks'!DN25="","",'Statement of Marks'!DN25)</f>
        <v>B</v>
      </c>
      <c r="M22" s="96" t="str">
        <f>IF('Statement of Marks'!DO25="","",'Statement of Marks'!DO25)</f>
        <v>B</v>
      </c>
      <c r="N22" s="96" t="str">
        <f>IF('Statement of Marks'!DP25="","",'Statement of Marks'!DP25)</f>
        <v/>
      </c>
      <c r="O22" s="47" t="str">
        <f>IF('Statement of Marks'!BJ25="","",'Statement of Marks'!BJ25)</f>
        <v>PASS</v>
      </c>
      <c r="P22" s="51" t="str">
        <f>IF('Statement of Marks'!BK25="","",'Statement of Marks'!BK25)</f>
        <v>2nd</v>
      </c>
      <c r="Q22" s="50">
        <f>IF('Statement of Marks'!BI25="","",'Statement of Marks'!BI25)</f>
        <v>0.58399999999999996</v>
      </c>
      <c r="R22" s="51">
        <f>IF('Statement of Marks'!BL25="","",'Statement of Marks'!BL25)</f>
        <v>3.0000000000000018</v>
      </c>
    </row>
    <row r="23" spans="1:18" ht="30" customHeight="1" x14ac:dyDescent="0.2">
      <c r="A23" s="51" t="str">
        <f>IF('Statement of Marks'!A26="","",'Statement of Marks'!A26)</f>
        <v/>
      </c>
      <c r="B23" s="51" t="str">
        <f>IF('Statement of Marks'!B26="","",'Statement of Marks'!B26)</f>
        <v/>
      </c>
      <c r="C23" s="51" t="str">
        <f>IF('Statement of Marks'!C26="","",'Statement of Marks'!C26)</f>
        <v/>
      </c>
      <c r="D23" s="48" t="str">
        <f>IF('Statement of Marks'!D26="","",'Statement of Marks'!D26)</f>
        <v/>
      </c>
      <c r="E23" s="51" t="str">
        <f>IF('Statement of Marks'!G26="","",'Statement of Marks'!G26)</f>
        <v/>
      </c>
      <c r="F23" s="51" t="str">
        <f>IF('Statement of Marks'!I26="","",'Statement of Marks'!I26)</f>
        <v/>
      </c>
      <c r="G23" s="51" t="str">
        <f>IF('Statement of Marks'!DD26="","",'Statement of Marks'!DD26)</f>
        <v/>
      </c>
      <c r="H23" s="51" t="str">
        <f>IF('Statement of Marks'!DF26="","",'Statement of Marks'!DF26)</f>
        <v/>
      </c>
      <c r="I23" s="51" t="str">
        <f>IF('Statement of Marks'!DH26="","",'Statement of Marks'!DH26)</f>
        <v/>
      </c>
      <c r="J23" s="96" t="str">
        <f>IF('Statement of Marks'!DJ26="","",'Statement of Marks'!DJ26)</f>
        <v/>
      </c>
      <c r="K23" s="96" t="str">
        <f>IF('Statement of Marks'!DL26="","",'Statement of Marks'!DL26)</f>
        <v/>
      </c>
      <c r="L23" s="96" t="str">
        <f>IF('Statement of Marks'!DN26="","",'Statement of Marks'!DN26)</f>
        <v/>
      </c>
      <c r="M23" s="96" t="str">
        <f>IF('Statement of Marks'!DO26="","",'Statement of Marks'!DO26)</f>
        <v/>
      </c>
      <c r="N23" s="96" t="str">
        <f>IF('Statement of Marks'!DP26="","",'Statement of Marks'!DP26)</f>
        <v/>
      </c>
      <c r="O23" s="47" t="str">
        <f>IF('Statement of Marks'!BJ26="","",'Statement of Marks'!BJ26)</f>
        <v/>
      </c>
      <c r="P23" s="51" t="str">
        <f>IF('Statement of Marks'!BK26="","",'Statement of Marks'!BK26)</f>
        <v/>
      </c>
      <c r="Q23" s="50" t="str">
        <f>IF('Statement of Marks'!BI26="","",'Statement of Marks'!BI26)</f>
        <v/>
      </c>
      <c r="R23" s="51" t="str">
        <f>IF('Statement of Marks'!BL26="","",'Statement of Marks'!BL26)</f>
        <v/>
      </c>
    </row>
    <row r="24" spans="1:18" ht="30" customHeight="1" x14ac:dyDescent="0.2">
      <c r="A24" s="51" t="str">
        <f>IF('Statement of Marks'!A27="","",'Statement of Marks'!A27)</f>
        <v/>
      </c>
      <c r="B24" s="51" t="str">
        <f>IF('Statement of Marks'!B27="","",'Statement of Marks'!B27)</f>
        <v/>
      </c>
      <c r="C24" s="51" t="str">
        <f>IF('Statement of Marks'!C27="","",'Statement of Marks'!C27)</f>
        <v/>
      </c>
      <c r="D24" s="48" t="str">
        <f>IF('Statement of Marks'!D27="","",'Statement of Marks'!D27)</f>
        <v/>
      </c>
      <c r="E24" s="51" t="str">
        <f>IF('Statement of Marks'!G27="","",'Statement of Marks'!G27)</f>
        <v/>
      </c>
      <c r="F24" s="51" t="str">
        <f>IF('Statement of Marks'!I27="","",'Statement of Marks'!I27)</f>
        <v/>
      </c>
      <c r="G24" s="51" t="str">
        <f>IF('Statement of Marks'!DD27="","",'Statement of Marks'!DD27)</f>
        <v/>
      </c>
      <c r="H24" s="51" t="str">
        <f>IF('Statement of Marks'!DF27="","",'Statement of Marks'!DF27)</f>
        <v/>
      </c>
      <c r="I24" s="51" t="str">
        <f>IF('Statement of Marks'!DH27="","",'Statement of Marks'!DH27)</f>
        <v/>
      </c>
      <c r="J24" s="96" t="str">
        <f>IF('Statement of Marks'!DJ27="","",'Statement of Marks'!DJ27)</f>
        <v/>
      </c>
      <c r="K24" s="96" t="str">
        <f>IF('Statement of Marks'!DL27="","",'Statement of Marks'!DL27)</f>
        <v/>
      </c>
      <c r="L24" s="96" t="str">
        <f>IF('Statement of Marks'!DN27="","",'Statement of Marks'!DN27)</f>
        <v/>
      </c>
      <c r="M24" s="96" t="str">
        <f>IF('Statement of Marks'!DO27="","",'Statement of Marks'!DO27)</f>
        <v/>
      </c>
      <c r="N24" s="96" t="str">
        <f>IF('Statement of Marks'!DP27="","",'Statement of Marks'!DP27)</f>
        <v/>
      </c>
      <c r="O24" s="47" t="str">
        <f>IF('Statement of Marks'!BJ27="","",'Statement of Marks'!BJ27)</f>
        <v/>
      </c>
      <c r="P24" s="51" t="str">
        <f>IF('Statement of Marks'!BK27="","",'Statement of Marks'!BK27)</f>
        <v/>
      </c>
      <c r="Q24" s="50" t="str">
        <f>IF('Statement of Marks'!BI27="","",'Statement of Marks'!BI27)</f>
        <v/>
      </c>
      <c r="R24" s="51" t="str">
        <f>IF('Statement of Marks'!BL27="","",'Statement of Marks'!BL27)</f>
        <v/>
      </c>
    </row>
    <row r="25" spans="1:18" ht="30" customHeight="1" x14ac:dyDescent="0.2">
      <c r="A25" s="51" t="str">
        <f>IF('Statement of Marks'!A28="","",'Statement of Marks'!A28)</f>
        <v/>
      </c>
      <c r="B25" s="51" t="str">
        <f>IF('Statement of Marks'!B28="","",'Statement of Marks'!B28)</f>
        <v/>
      </c>
      <c r="C25" s="51" t="str">
        <f>IF('Statement of Marks'!C28="","",'Statement of Marks'!C28)</f>
        <v/>
      </c>
      <c r="D25" s="48" t="str">
        <f>IF('Statement of Marks'!D28="","",'Statement of Marks'!D28)</f>
        <v/>
      </c>
      <c r="E25" s="51" t="str">
        <f>IF('Statement of Marks'!G28="","",'Statement of Marks'!G28)</f>
        <v/>
      </c>
      <c r="F25" s="51" t="str">
        <f>IF('Statement of Marks'!I28="","",'Statement of Marks'!I28)</f>
        <v/>
      </c>
      <c r="G25" s="51" t="str">
        <f>IF('Statement of Marks'!DD28="","",'Statement of Marks'!DD28)</f>
        <v/>
      </c>
      <c r="H25" s="51" t="str">
        <f>IF('Statement of Marks'!DF28="","",'Statement of Marks'!DF28)</f>
        <v/>
      </c>
      <c r="I25" s="51" t="str">
        <f>IF('Statement of Marks'!DH28="","",'Statement of Marks'!DH28)</f>
        <v/>
      </c>
      <c r="J25" s="96" t="str">
        <f>IF('Statement of Marks'!DJ28="","",'Statement of Marks'!DJ28)</f>
        <v/>
      </c>
      <c r="K25" s="96" t="str">
        <f>IF('Statement of Marks'!DL28="","",'Statement of Marks'!DL28)</f>
        <v/>
      </c>
      <c r="L25" s="96" t="str">
        <f>IF('Statement of Marks'!DN28="","",'Statement of Marks'!DN28)</f>
        <v/>
      </c>
      <c r="M25" s="96" t="str">
        <f>IF('Statement of Marks'!DO28="","",'Statement of Marks'!DO28)</f>
        <v/>
      </c>
      <c r="N25" s="96" t="str">
        <f>IF('Statement of Marks'!DP28="","",'Statement of Marks'!DP28)</f>
        <v/>
      </c>
      <c r="O25" s="47" t="str">
        <f>IF('Statement of Marks'!BJ28="","",'Statement of Marks'!BJ28)</f>
        <v/>
      </c>
      <c r="P25" s="51" t="str">
        <f>IF('Statement of Marks'!BK28="","",'Statement of Marks'!BK28)</f>
        <v/>
      </c>
      <c r="Q25" s="50" t="str">
        <f>IF('Statement of Marks'!BI28="","",'Statement of Marks'!BI28)</f>
        <v/>
      </c>
      <c r="R25" s="51" t="str">
        <f>IF('Statement of Marks'!BL28="","",'Statement of Marks'!BL28)</f>
        <v/>
      </c>
    </row>
    <row r="26" spans="1:18" ht="30" customHeight="1" x14ac:dyDescent="0.2">
      <c r="A26" s="51" t="str">
        <f>IF('Statement of Marks'!A29="","",'Statement of Marks'!A29)</f>
        <v/>
      </c>
      <c r="B26" s="51" t="str">
        <f>IF('Statement of Marks'!B29="","",'Statement of Marks'!B29)</f>
        <v/>
      </c>
      <c r="C26" s="51" t="str">
        <f>IF('Statement of Marks'!C29="","",'Statement of Marks'!C29)</f>
        <v/>
      </c>
      <c r="D26" s="48" t="str">
        <f>IF('Statement of Marks'!D29="","",'Statement of Marks'!D29)</f>
        <v/>
      </c>
      <c r="E26" s="51" t="str">
        <f>IF('Statement of Marks'!G29="","",'Statement of Marks'!G29)</f>
        <v/>
      </c>
      <c r="F26" s="51" t="str">
        <f>IF('Statement of Marks'!I29="","",'Statement of Marks'!I29)</f>
        <v/>
      </c>
      <c r="G26" s="51" t="str">
        <f>IF('Statement of Marks'!DD29="","",'Statement of Marks'!DD29)</f>
        <v/>
      </c>
      <c r="H26" s="51" t="str">
        <f>IF('Statement of Marks'!DF29="","",'Statement of Marks'!DF29)</f>
        <v/>
      </c>
      <c r="I26" s="51" t="str">
        <f>IF('Statement of Marks'!DH29="","",'Statement of Marks'!DH29)</f>
        <v/>
      </c>
      <c r="J26" s="96" t="str">
        <f>IF('Statement of Marks'!DJ29="","",'Statement of Marks'!DJ29)</f>
        <v/>
      </c>
      <c r="K26" s="96" t="str">
        <f>IF('Statement of Marks'!DL29="","",'Statement of Marks'!DL29)</f>
        <v/>
      </c>
      <c r="L26" s="96" t="str">
        <f>IF('Statement of Marks'!DN29="","",'Statement of Marks'!DN29)</f>
        <v/>
      </c>
      <c r="M26" s="96" t="str">
        <f>IF('Statement of Marks'!DO29="","",'Statement of Marks'!DO29)</f>
        <v/>
      </c>
      <c r="N26" s="96" t="str">
        <f>IF('Statement of Marks'!DP29="","",'Statement of Marks'!DP29)</f>
        <v/>
      </c>
      <c r="O26" s="47" t="str">
        <f>IF('Statement of Marks'!BJ29="","",'Statement of Marks'!BJ29)</f>
        <v/>
      </c>
      <c r="P26" s="51" t="str">
        <f>IF('Statement of Marks'!BK29="","",'Statement of Marks'!BK29)</f>
        <v/>
      </c>
      <c r="Q26" s="50" t="str">
        <f>IF('Statement of Marks'!BI29="","",'Statement of Marks'!BI29)</f>
        <v/>
      </c>
      <c r="R26" s="51" t="str">
        <f>IF('Statement of Marks'!BL29="","",'Statement of Marks'!BL29)</f>
        <v/>
      </c>
    </row>
    <row r="27" spans="1:18" ht="30" customHeight="1" x14ac:dyDescent="0.2">
      <c r="A27" s="51" t="str">
        <f>IF('Statement of Marks'!A30="","",'Statement of Marks'!A30)</f>
        <v/>
      </c>
      <c r="B27" s="51" t="str">
        <f>IF('Statement of Marks'!B30="","",'Statement of Marks'!B30)</f>
        <v/>
      </c>
      <c r="C27" s="51" t="str">
        <f>IF('Statement of Marks'!C30="","",'Statement of Marks'!C30)</f>
        <v/>
      </c>
      <c r="D27" s="48" t="str">
        <f>IF('Statement of Marks'!D30="","",'Statement of Marks'!D30)</f>
        <v/>
      </c>
      <c r="E27" s="51" t="str">
        <f>IF('Statement of Marks'!G30="","",'Statement of Marks'!G30)</f>
        <v/>
      </c>
      <c r="F27" s="51" t="str">
        <f>IF('Statement of Marks'!I30="","",'Statement of Marks'!I30)</f>
        <v/>
      </c>
      <c r="G27" s="51" t="str">
        <f>IF('Statement of Marks'!DD30="","",'Statement of Marks'!DD30)</f>
        <v/>
      </c>
      <c r="H27" s="51" t="str">
        <f>IF('Statement of Marks'!DF30="","",'Statement of Marks'!DF30)</f>
        <v/>
      </c>
      <c r="I27" s="51" t="str">
        <f>IF('Statement of Marks'!DH30="","",'Statement of Marks'!DH30)</f>
        <v/>
      </c>
      <c r="J27" s="96" t="str">
        <f>IF('Statement of Marks'!DJ30="","",'Statement of Marks'!DJ30)</f>
        <v/>
      </c>
      <c r="K27" s="96" t="str">
        <f>IF('Statement of Marks'!DL30="","",'Statement of Marks'!DL30)</f>
        <v/>
      </c>
      <c r="L27" s="96" t="str">
        <f>IF('Statement of Marks'!DN30="","",'Statement of Marks'!DN30)</f>
        <v/>
      </c>
      <c r="M27" s="96" t="str">
        <f>IF('Statement of Marks'!DO30="","",'Statement of Marks'!DO30)</f>
        <v/>
      </c>
      <c r="N27" s="96" t="str">
        <f>IF('Statement of Marks'!DP30="","",'Statement of Marks'!DP30)</f>
        <v/>
      </c>
      <c r="O27" s="47" t="str">
        <f>IF('Statement of Marks'!BJ30="","",'Statement of Marks'!BJ30)</f>
        <v/>
      </c>
      <c r="P27" s="51" t="str">
        <f>IF('Statement of Marks'!BK30="","",'Statement of Marks'!BK30)</f>
        <v/>
      </c>
      <c r="Q27" s="50" t="str">
        <f>IF('Statement of Marks'!BI30="","",'Statement of Marks'!BI30)</f>
        <v/>
      </c>
      <c r="R27" s="51" t="str">
        <f>IF('Statement of Marks'!BL30="","",'Statement of Marks'!BL30)</f>
        <v/>
      </c>
    </row>
    <row r="28" spans="1:18" ht="30" customHeight="1" x14ac:dyDescent="0.2">
      <c r="A28" s="51" t="str">
        <f>IF('Statement of Marks'!A31="","",'Statement of Marks'!A31)</f>
        <v/>
      </c>
      <c r="B28" s="51" t="str">
        <f>IF('Statement of Marks'!B31="","",'Statement of Marks'!B31)</f>
        <v/>
      </c>
      <c r="C28" s="51" t="str">
        <f>IF('Statement of Marks'!C31="","",'Statement of Marks'!C31)</f>
        <v/>
      </c>
      <c r="D28" s="48" t="str">
        <f>IF('Statement of Marks'!D31="","",'Statement of Marks'!D31)</f>
        <v/>
      </c>
      <c r="E28" s="51" t="str">
        <f>IF('Statement of Marks'!G31="","",'Statement of Marks'!G31)</f>
        <v/>
      </c>
      <c r="F28" s="51" t="str">
        <f>IF('Statement of Marks'!I31="","",'Statement of Marks'!I31)</f>
        <v/>
      </c>
      <c r="G28" s="51" t="str">
        <f>IF('Statement of Marks'!DD31="","",'Statement of Marks'!DD31)</f>
        <v/>
      </c>
      <c r="H28" s="51" t="str">
        <f>IF('Statement of Marks'!DF31="","",'Statement of Marks'!DF31)</f>
        <v/>
      </c>
      <c r="I28" s="51" t="str">
        <f>IF('Statement of Marks'!DH31="","",'Statement of Marks'!DH31)</f>
        <v/>
      </c>
      <c r="J28" s="96" t="str">
        <f>IF('Statement of Marks'!DJ31="","",'Statement of Marks'!DJ31)</f>
        <v/>
      </c>
      <c r="K28" s="96" t="str">
        <f>IF('Statement of Marks'!DL31="","",'Statement of Marks'!DL31)</f>
        <v/>
      </c>
      <c r="L28" s="96" t="str">
        <f>IF('Statement of Marks'!DN31="","",'Statement of Marks'!DN31)</f>
        <v/>
      </c>
      <c r="M28" s="96" t="str">
        <f>IF('Statement of Marks'!DO31="","",'Statement of Marks'!DO31)</f>
        <v/>
      </c>
      <c r="N28" s="96" t="str">
        <f>IF('Statement of Marks'!DP31="","",'Statement of Marks'!DP31)</f>
        <v/>
      </c>
      <c r="O28" s="47" t="str">
        <f>IF('Statement of Marks'!BJ31="","",'Statement of Marks'!BJ31)</f>
        <v/>
      </c>
      <c r="P28" s="51" t="str">
        <f>IF('Statement of Marks'!BK31="","",'Statement of Marks'!BK31)</f>
        <v/>
      </c>
      <c r="Q28" s="50" t="str">
        <f>IF('Statement of Marks'!BI31="","",'Statement of Marks'!BI31)</f>
        <v/>
      </c>
      <c r="R28" s="51" t="str">
        <f>IF('Statement of Marks'!BL31="","",'Statement of Marks'!BL31)</f>
        <v/>
      </c>
    </row>
    <row r="29" spans="1:18" ht="30" customHeight="1" x14ac:dyDescent="0.2">
      <c r="A29" s="51" t="str">
        <f>IF('Statement of Marks'!A32="","",'Statement of Marks'!A32)</f>
        <v/>
      </c>
      <c r="B29" s="51" t="str">
        <f>IF('Statement of Marks'!B32="","",'Statement of Marks'!B32)</f>
        <v/>
      </c>
      <c r="C29" s="51" t="str">
        <f>IF('Statement of Marks'!C32="","",'Statement of Marks'!C32)</f>
        <v/>
      </c>
      <c r="D29" s="48" t="str">
        <f>IF('Statement of Marks'!D32="","",'Statement of Marks'!D32)</f>
        <v/>
      </c>
      <c r="E29" s="51" t="str">
        <f>IF('Statement of Marks'!G32="","",'Statement of Marks'!G32)</f>
        <v/>
      </c>
      <c r="F29" s="51" t="str">
        <f>IF('Statement of Marks'!I32="","",'Statement of Marks'!I32)</f>
        <v/>
      </c>
      <c r="G29" s="51" t="str">
        <f>IF('Statement of Marks'!DD32="","",'Statement of Marks'!DD32)</f>
        <v/>
      </c>
      <c r="H29" s="51" t="str">
        <f>IF('Statement of Marks'!DF32="","",'Statement of Marks'!DF32)</f>
        <v/>
      </c>
      <c r="I29" s="51" t="str">
        <f>IF('Statement of Marks'!DH32="","",'Statement of Marks'!DH32)</f>
        <v/>
      </c>
      <c r="J29" s="96" t="str">
        <f>IF('Statement of Marks'!DJ32="","",'Statement of Marks'!DJ32)</f>
        <v/>
      </c>
      <c r="K29" s="96" t="str">
        <f>IF('Statement of Marks'!DL32="","",'Statement of Marks'!DL32)</f>
        <v/>
      </c>
      <c r="L29" s="96" t="str">
        <f>IF('Statement of Marks'!DN32="","",'Statement of Marks'!DN32)</f>
        <v/>
      </c>
      <c r="M29" s="96" t="str">
        <f>IF('Statement of Marks'!DO32="","",'Statement of Marks'!DO32)</f>
        <v/>
      </c>
      <c r="N29" s="96" t="str">
        <f>IF('Statement of Marks'!DP32="","",'Statement of Marks'!DP32)</f>
        <v/>
      </c>
      <c r="O29" s="47" t="str">
        <f>IF('Statement of Marks'!BJ32="","",'Statement of Marks'!BJ32)</f>
        <v/>
      </c>
      <c r="P29" s="51" t="str">
        <f>IF('Statement of Marks'!BK32="","",'Statement of Marks'!BK32)</f>
        <v/>
      </c>
      <c r="Q29" s="50" t="str">
        <f>IF('Statement of Marks'!BI32="","",'Statement of Marks'!BI32)</f>
        <v/>
      </c>
      <c r="R29" s="51" t="str">
        <f>IF('Statement of Marks'!BL32="","",'Statement of Marks'!BL32)</f>
        <v/>
      </c>
    </row>
    <row r="30" spans="1:18" ht="30" customHeight="1" x14ac:dyDescent="0.2">
      <c r="A30" s="51" t="str">
        <f>IF('Statement of Marks'!A33="","",'Statement of Marks'!A33)</f>
        <v/>
      </c>
      <c r="B30" s="51" t="str">
        <f>IF('Statement of Marks'!B33="","",'Statement of Marks'!B33)</f>
        <v/>
      </c>
      <c r="C30" s="51" t="str">
        <f>IF('Statement of Marks'!C33="","",'Statement of Marks'!C33)</f>
        <v/>
      </c>
      <c r="D30" s="48" t="str">
        <f>IF('Statement of Marks'!D33="","",'Statement of Marks'!D33)</f>
        <v/>
      </c>
      <c r="E30" s="51" t="str">
        <f>IF('Statement of Marks'!G33="","",'Statement of Marks'!G33)</f>
        <v/>
      </c>
      <c r="F30" s="51" t="str">
        <f>IF('Statement of Marks'!I33="","",'Statement of Marks'!I33)</f>
        <v/>
      </c>
      <c r="G30" s="51" t="str">
        <f>IF('Statement of Marks'!DD33="","",'Statement of Marks'!DD33)</f>
        <v/>
      </c>
      <c r="H30" s="51" t="str">
        <f>IF('Statement of Marks'!DF33="","",'Statement of Marks'!DF33)</f>
        <v/>
      </c>
      <c r="I30" s="51" t="str">
        <f>IF('Statement of Marks'!DH33="","",'Statement of Marks'!DH33)</f>
        <v/>
      </c>
      <c r="J30" s="96" t="str">
        <f>IF('Statement of Marks'!DJ33="","",'Statement of Marks'!DJ33)</f>
        <v/>
      </c>
      <c r="K30" s="96" t="str">
        <f>IF('Statement of Marks'!DL33="","",'Statement of Marks'!DL33)</f>
        <v/>
      </c>
      <c r="L30" s="96" t="str">
        <f>IF('Statement of Marks'!DN33="","",'Statement of Marks'!DN33)</f>
        <v/>
      </c>
      <c r="M30" s="96" t="str">
        <f>IF('Statement of Marks'!DO33="","",'Statement of Marks'!DO33)</f>
        <v/>
      </c>
      <c r="N30" s="96" t="str">
        <f>IF('Statement of Marks'!DP33="","",'Statement of Marks'!DP33)</f>
        <v/>
      </c>
      <c r="O30" s="47" t="str">
        <f>IF('Statement of Marks'!BJ33="","",'Statement of Marks'!BJ33)</f>
        <v/>
      </c>
      <c r="P30" s="51" t="str">
        <f>IF('Statement of Marks'!BK33="","",'Statement of Marks'!BK33)</f>
        <v/>
      </c>
      <c r="Q30" s="50" t="str">
        <f>IF('Statement of Marks'!BI33="","",'Statement of Marks'!BI33)</f>
        <v/>
      </c>
      <c r="R30" s="51" t="str">
        <f>IF('Statement of Marks'!BL33="","",'Statement of Marks'!BL33)</f>
        <v/>
      </c>
    </row>
    <row r="31" spans="1:18" ht="30" customHeight="1" x14ac:dyDescent="0.2">
      <c r="A31" s="51" t="str">
        <f>IF('Statement of Marks'!A34="","",'Statement of Marks'!A34)</f>
        <v/>
      </c>
      <c r="B31" s="51" t="str">
        <f>IF('Statement of Marks'!B34="","",'Statement of Marks'!B34)</f>
        <v/>
      </c>
      <c r="C31" s="51" t="str">
        <f>IF('Statement of Marks'!C34="","",'Statement of Marks'!C34)</f>
        <v/>
      </c>
      <c r="D31" s="48" t="str">
        <f>IF('Statement of Marks'!D34="","",'Statement of Marks'!D34)</f>
        <v/>
      </c>
      <c r="E31" s="51" t="str">
        <f>IF('Statement of Marks'!G34="","",'Statement of Marks'!G34)</f>
        <v/>
      </c>
      <c r="F31" s="51" t="str">
        <f>IF('Statement of Marks'!I34="","",'Statement of Marks'!I34)</f>
        <v/>
      </c>
      <c r="G31" s="51" t="str">
        <f>IF('Statement of Marks'!DD34="","",'Statement of Marks'!DD34)</f>
        <v/>
      </c>
      <c r="H31" s="51" t="str">
        <f>IF('Statement of Marks'!DF34="","",'Statement of Marks'!DF34)</f>
        <v/>
      </c>
      <c r="I31" s="51" t="str">
        <f>IF('Statement of Marks'!DH34="","",'Statement of Marks'!DH34)</f>
        <v/>
      </c>
      <c r="J31" s="96" t="str">
        <f>IF('Statement of Marks'!DJ34="","",'Statement of Marks'!DJ34)</f>
        <v/>
      </c>
      <c r="K31" s="96" t="str">
        <f>IF('Statement of Marks'!DL34="","",'Statement of Marks'!DL34)</f>
        <v/>
      </c>
      <c r="L31" s="96" t="str">
        <f>IF('Statement of Marks'!DN34="","",'Statement of Marks'!DN34)</f>
        <v/>
      </c>
      <c r="M31" s="96" t="str">
        <f>IF('Statement of Marks'!DO34="","",'Statement of Marks'!DO34)</f>
        <v/>
      </c>
      <c r="N31" s="96" t="str">
        <f>IF('Statement of Marks'!DP34="","",'Statement of Marks'!DP34)</f>
        <v/>
      </c>
      <c r="O31" s="47" t="str">
        <f>IF('Statement of Marks'!BJ34="","",'Statement of Marks'!BJ34)</f>
        <v/>
      </c>
      <c r="P31" s="51" t="str">
        <f>IF('Statement of Marks'!BK34="","",'Statement of Marks'!BK34)</f>
        <v/>
      </c>
      <c r="Q31" s="50" t="str">
        <f>IF('Statement of Marks'!BI34="","",'Statement of Marks'!BI34)</f>
        <v/>
      </c>
      <c r="R31" s="51" t="str">
        <f>IF('Statement of Marks'!BL34="","",'Statement of Marks'!BL34)</f>
        <v/>
      </c>
    </row>
    <row r="32" spans="1:18" ht="30" customHeight="1" x14ac:dyDescent="0.2">
      <c r="A32" s="51" t="str">
        <f>IF('Statement of Marks'!A35="","",'Statement of Marks'!A35)</f>
        <v/>
      </c>
      <c r="B32" s="51" t="str">
        <f>IF('Statement of Marks'!B35="","",'Statement of Marks'!B35)</f>
        <v/>
      </c>
      <c r="C32" s="51" t="str">
        <f>IF('Statement of Marks'!C35="","",'Statement of Marks'!C35)</f>
        <v/>
      </c>
      <c r="D32" s="48" t="str">
        <f>IF('Statement of Marks'!D35="","",'Statement of Marks'!D35)</f>
        <v/>
      </c>
      <c r="E32" s="51" t="str">
        <f>IF('Statement of Marks'!G35="","",'Statement of Marks'!G35)</f>
        <v/>
      </c>
      <c r="F32" s="51" t="str">
        <f>IF('Statement of Marks'!I35="","",'Statement of Marks'!I35)</f>
        <v/>
      </c>
      <c r="G32" s="51" t="str">
        <f>IF('Statement of Marks'!DD35="","",'Statement of Marks'!DD35)</f>
        <v/>
      </c>
      <c r="H32" s="51" t="str">
        <f>IF('Statement of Marks'!DF35="","",'Statement of Marks'!DF35)</f>
        <v/>
      </c>
      <c r="I32" s="51" t="str">
        <f>IF('Statement of Marks'!DH35="","",'Statement of Marks'!DH35)</f>
        <v/>
      </c>
      <c r="J32" s="96" t="str">
        <f>IF('Statement of Marks'!DJ35="","",'Statement of Marks'!DJ35)</f>
        <v/>
      </c>
      <c r="K32" s="96" t="str">
        <f>IF('Statement of Marks'!DL35="","",'Statement of Marks'!DL35)</f>
        <v/>
      </c>
      <c r="L32" s="96" t="str">
        <f>IF('Statement of Marks'!DN35="","",'Statement of Marks'!DN35)</f>
        <v/>
      </c>
      <c r="M32" s="96" t="str">
        <f>IF('Statement of Marks'!DO35="","",'Statement of Marks'!DO35)</f>
        <v/>
      </c>
      <c r="N32" s="96" t="str">
        <f>IF('Statement of Marks'!DP35="","",'Statement of Marks'!DP35)</f>
        <v/>
      </c>
      <c r="O32" s="47" t="str">
        <f>IF('Statement of Marks'!BJ35="","",'Statement of Marks'!BJ35)</f>
        <v/>
      </c>
      <c r="P32" s="51" t="str">
        <f>IF('Statement of Marks'!BK35="","",'Statement of Marks'!BK35)</f>
        <v/>
      </c>
      <c r="Q32" s="50" t="str">
        <f>IF('Statement of Marks'!BI35="","",'Statement of Marks'!BI35)</f>
        <v/>
      </c>
      <c r="R32" s="51" t="str">
        <f>IF('Statement of Marks'!BL35="","",'Statement of Marks'!BL35)</f>
        <v/>
      </c>
    </row>
    <row r="33" spans="1:18" ht="30" customHeight="1" x14ac:dyDescent="0.2">
      <c r="A33" s="51" t="str">
        <f>IF('Statement of Marks'!A36="","",'Statement of Marks'!A36)</f>
        <v/>
      </c>
      <c r="B33" s="51" t="str">
        <f>IF('Statement of Marks'!B36="","",'Statement of Marks'!B36)</f>
        <v/>
      </c>
      <c r="C33" s="51" t="str">
        <f>IF('Statement of Marks'!C36="","",'Statement of Marks'!C36)</f>
        <v/>
      </c>
      <c r="D33" s="48" t="str">
        <f>IF('Statement of Marks'!D36="","",'Statement of Marks'!D36)</f>
        <v/>
      </c>
      <c r="E33" s="51" t="str">
        <f>IF('Statement of Marks'!G36="","",'Statement of Marks'!G36)</f>
        <v/>
      </c>
      <c r="F33" s="51" t="str">
        <f>IF('Statement of Marks'!I36="","",'Statement of Marks'!I36)</f>
        <v/>
      </c>
      <c r="G33" s="51" t="str">
        <f>IF('Statement of Marks'!DD36="","",'Statement of Marks'!DD36)</f>
        <v/>
      </c>
      <c r="H33" s="51" t="str">
        <f>IF('Statement of Marks'!DF36="","",'Statement of Marks'!DF36)</f>
        <v/>
      </c>
      <c r="I33" s="51" t="str">
        <f>IF('Statement of Marks'!DH36="","",'Statement of Marks'!DH36)</f>
        <v/>
      </c>
      <c r="J33" s="96" t="str">
        <f>IF('Statement of Marks'!DJ36="","",'Statement of Marks'!DJ36)</f>
        <v/>
      </c>
      <c r="K33" s="96" t="str">
        <f>IF('Statement of Marks'!DL36="","",'Statement of Marks'!DL36)</f>
        <v/>
      </c>
      <c r="L33" s="96" t="str">
        <f>IF('Statement of Marks'!DN36="","",'Statement of Marks'!DN36)</f>
        <v/>
      </c>
      <c r="M33" s="96" t="str">
        <f>IF('Statement of Marks'!DO36="","",'Statement of Marks'!DO36)</f>
        <v/>
      </c>
      <c r="N33" s="96" t="str">
        <f>IF('Statement of Marks'!DP36="","",'Statement of Marks'!DP36)</f>
        <v/>
      </c>
      <c r="O33" s="47" t="str">
        <f>IF('Statement of Marks'!BJ36="","",'Statement of Marks'!BJ36)</f>
        <v/>
      </c>
      <c r="P33" s="51" t="str">
        <f>IF('Statement of Marks'!BK36="","",'Statement of Marks'!BK36)</f>
        <v/>
      </c>
      <c r="Q33" s="50" t="str">
        <f>IF('Statement of Marks'!BI36="","",'Statement of Marks'!BI36)</f>
        <v/>
      </c>
      <c r="R33" s="51" t="str">
        <f>IF('Statement of Marks'!BL36="","",'Statement of Marks'!BL36)</f>
        <v/>
      </c>
    </row>
    <row r="34" spans="1:18" ht="30" customHeight="1" x14ac:dyDescent="0.2">
      <c r="A34" s="51" t="str">
        <f>IF('Statement of Marks'!A37="","",'Statement of Marks'!A37)</f>
        <v/>
      </c>
      <c r="B34" s="51" t="str">
        <f>IF('Statement of Marks'!B37="","",'Statement of Marks'!B37)</f>
        <v/>
      </c>
      <c r="C34" s="51" t="str">
        <f>IF('Statement of Marks'!C37="","",'Statement of Marks'!C37)</f>
        <v/>
      </c>
      <c r="D34" s="48" t="str">
        <f>IF('Statement of Marks'!D37="","",'Statement of Marks'!D37)</f>
        <v/>
      </c>
      <c r="E34" s="51" t="str">
        <f>IF('Statement of Marks'!G37="","",'Statement of Marks'!G37)</f>
        <v/>
      </c>
      <c r="F34" s="51" t="str">
        <f>IF('Statement of Marks'!I37="","",'Statement of Marks'!I37)</f>
        <v/>
      </c>
      <c r="G34" s="51" t="str">
        <f>IF('Statement of Marks'!DD37="","",'Statement of Marks'!DD37)</f>
        <v/>
      </c>
      <c r="H34" s="51" t="str">
        <f>IF('Statement of Marks'!DF37="","",'Statement of Marks'!DF37)</f>
        <v/>
      </c>
      <c r="I34" s="51" t="str">
        <f>IF('Statement of Marks'!DH37="","",'Statement of Marks'!DH37)</f>
        <v/>
      </c>
      <c r="J34" s="96" t="str">
        <f>IF('Statement of Marks'!DJ37="","",'Statement of Marks'!DJ37)</f>
        <v/>
      </c>
      <c r="K34" s="96" t="str">
        <f>IF('Statement of Marks'!DL37="","",'Statement of Marks'!DL37)</f>
        <v/>
      </c>
      <c r="L34" s="96" t="str">
        <f>IF('Statement of Marks'!DN37="","",'Statement of Marks'!DN37)</f>
        <v/>
      </c>
      <c r="M34" s="96" t="str">
        <f>IF('Statement of Marks'!DO37="","",'Statement of Marks'!DO37)</f>
        <v/>
      </c>
      <c r="N34" s="96" t="str">
        <f>IF('Statement of Marks'!DP37="","",'Statement of Marks'!DP37)</f>
        <v/>
      </c>
      <c r="O34" s="47" t="str">
        <f>IF('Statement of Marks'!BJ37="","",'Statement of Marks'!BJ37)</f>
        <v/>
      </c>
      <c r="P34" s="51" t="str">
        <f>IF('Statement of Marks'!BK37="","",'Statement of Marks'!BK37)</f>
        <v/>
      </c>
      <c r="Q34" s="50" t="str">
        <f>IF('Statement of Marks'!BI37="","",'Statement of Marks'!BI37)</f>
        <v/>
      </c>
      <c r="R34" s="51" t="str">
        <f>IF('Statement of Marks'!BL37="","",'Statement of Marks'!BL37)</f>
        <v/>
      </c>
    </row>
    <row r="35" spans="1:18" ht="30" customHeight="1" x14ac:dyDescent="0.2">
      <c r="A35" s="51" t="str">
        <f>IF('Statement of Marks'!A38="","",'Statement of Marks'!A38)</f>
        <v/>
      </c>
      <c r="B35" s="51" t="str">
        <f>IF('Statement of Marks'!B38="","",'Statement of Marks'!B38)</f>
        <v/>
      </c>
      <c r="C35" s="51" t="str">
        <f>IF('Statement of Marks'!C38="","",'Statement of Marks'!C38)</f>
        <v/>
      </c>
      <c r="D35" s="48" t="str">
        <f>IF('Statement of Marks'!D38="","",'Statement of Marks'!D38)</f>
        <v/>
      </c>
      <c r="E35" s="51" t="str">
        <f>IF('Statement of Marks'!G38="","",'Statement of Marks'!G38)</f>
        <v/>
      </c>
      <c r="F35" s="51" t="str">
        <f>IF('Statement of Marks'!I38="","",'Statement of Marks'!I38)</f>
        <v/>
      </c>
      <c r="G35" s="51" t="str">
        <f>IF('Statement of Marks'!DD38="","",'Statement of Marks'!DD38)</f>
        <v/>
      </c>
      <c r="H35" s="51" t="str">
        <f>IF('Statement of Marks'!DF38="","",'Statement of Marks'!DF38)</f>
        <v/>
      </c>
      <c r="I35" s="51" t="str">
        <f>IF('Statement of Marks'!DH38="","",'Statement of Marks'!DH38)</f>
        <v/>
      </c>
      <c r="J35" s="96" t="str">
        <f>IF('Statement of Marks'!DJ38="","",'Statement of Marks'!DJ38)</f>
        <v/>
      </c>
      <c r="K35" s="96" t="str">
        <f>IF('Statement of Marks'!DL38="","",'Statement of Marks'!DL38)</f>
        <v/>
      </c>
      <c r="L35" s="96" t="str">
        <f>IF('Statement of Marks'!DN38="","",'Statement of Marks'!DN38)</f>
        <v/>
      </c>
      <c r="M35" s="96" t="str">
        <f>IF('Statement of Marks'!DO38="","",'Statement of Marks'!DO38)</f>
        <v/>
      </c>
      <c r="N35" s="96" t="str">
        <f>IF('Statement of Marks'!DP38="","",'Statement of Marks'!DP38)</f>
        <v/>
      </c>
      <c r="O35" s="47" t="str">
        <f>IF('Statement of Marks'!BJ38="","",'Statement of Marks'!BJ38)</f>
        <v/>
      </c>
      <c r="P35" s="51" t="str">
        <f>IF('Statement of Marks'!BK38="","",'Statement of Marks'!BK38)</f>
        <v/>
      </c>
      <c r="Q35" s="50" t="str">
        <f>IF('Statement of Marks'!BI38="","",'Statement of Marks'!BI38)</f>
        <v/>
      </c>
      <c r="R35" s="51" t="str">
        <f>IF('Statement of Marks'!BL38="","",'Statement of Marks'!BL38)</f>
        <v/>
      </c>
    </row>
    <row r="36" spans="1:18" ht="30" customHeight="1" x14ac:dyDescent="0.2">
      <c r="A36" s="51" t="str">
        <f>IF('Statement of Marks'!A39="","",'Statement of Marks'!A39)</f>
        <v/>
      </c>
      <c r="B36" s="51" t="str">
        <f>IF('Statement of Marks'!B39="","",'Statement of Marks'!B39)</f>
        <v/>
      </c>
      <c r="C36" s="51" t="str">
        <f>IF('Statement of Marks'!C39="","",'Statement of Marks'!C39)</f>
        <v/>
      </c>
      <c r="D36" s="48" t="str">
        <f>IF('Statement of Marks'!D39="","",'Statement of Marks'!D39)</f>
        <v/>
      </c>
      <c r="E36" s="51" t="str">
        <f>IF('Statement of Marks'!G39="","",'Statement of Marks'!G39)</f>
        <v/>
      </c>
      <c r="F36" s="51" t="str">
        <f>IF('Statement of Marks'!I39="","",'Statement of Marks'!I39)</f>
        <v/>
      </c>
      <c r="G36" s="51" t="str">
        <f>IF('Statement of Marks'!DD39="","",'Statement of Marks'!DD39)</f>
        <v/>
      </c>
      <c r="H36" s="51" t="str">
        <f>IF('Statement of Marks'!DF39="","",'Statement of Marks'!DF39)</f>
        <v/>
      </c>
      <c r="I36" s="51" t="str">
        <f>IF('Statement of Marks'!DH39="","",'Statement of Marks'!DH39)</f>
        <v/>
      </c>
      <c r="J36" s="96" t="str">
        <f>IF('Statement of Marks'!DJ39="","",'Statement of Marks'!DJ39)</f>
        <v/>
      </c>
      <c r="K36" s="96" t="str">
        <f>IF('Statement of Marks'!DL39="","",'Statement of Marks'!DL39)</f>
        <v/>
      </c>
      <c r="L36" s="96" t="str">
        <f>IF('Statement of Marks'!DN39="","",'Statement of Marks'!DN39)</f>
        <v/>
      </c>
      <c r="M36" s="96" t="str">
        <f>IF('Statement of Marks'!DO39="","",'Statement of Marks'!DO39)</f>
        <v/>
      </c>
      <c r="N36" s="96" t="str">
        <f>IF('Statement of Marks'!DP39="","",'Statement of Marks'!DP39)</f>
        <v/>
      </c>
      <c r="O36" s="47" t="str">
        <f>IF('Statement of Marks'!BJ39="","",'Statement of Marks'!BJ39)</f>
        <v/>
      </c>
      <c r="P36" s="51" t="str">
        <f>IF('Statement of Marks'!BK39="","",'Statement of Marks'!BK39)</f>
        <v/>
      </c>
      <c r="Q36" s="50" t="str">
        <f>IF('Statement of Marks'!BI39="","",'Statement of Marks'!BI39)</f>
        <v/>
      </c>
      <c r="R36" s="51" t="str">
        <f>IF('Statement of Marks'!BL39="","",'Statement of Marks'!BL39)</f>
        <v/>
      </c>
    </row>
    <row r="37" spans="1:18" ht="30" customHeight="1" x14ac:dyDescent="0.2">
      <c r="A37" s="51" t="str">
        <f>IF('Statement of Marks'!A40="","",'Statement of Marks'!A40)</f>
        <v/>
      </c>
      <c r="B37" s="51" t="str">
        <f>IF('Statement of Marks'!B40="","",'Statement of Marks'!B40)</f>
        <v/>
      </c>
      <c r="C37" s="51" t="str">
        <f>IF('Statement of Marks'!C40="","",'Statement of Marks'!C40)</f>
        <v/>
      </c>
      <c r="D37" s="48" t="str">
        <f>IF('Statement of Marks'!D40="","",'Statement of Marks'!D40)</f>
        <v/>
      </c>
      <c r="E37" s="51" t="str">
        <f>IF('Statement of Marks'!G40="","",'Statement of Marks'!G40)</f>
        <v/>
      </c>
      <c r="F37" s="51" t="str">
        <f>IF('Statement of Marks'!I40="","",'Statement of Marks'!I40)</f>
        <v/>
      </c>
      <c r="G37" s="51" t="str">
        <f>IF('Statement of Marks'!DD40="","",'Statement of Marks'!DD40)</f>
        <v/>
      </c>
      <c r="H37" s="51" t="str">
        <f>IF('Statement of Marks'!DF40="","",'Statement of Marks'!DF40)</f>
        <v/>
      </c>
      <c r="I37" s="51" t="str">
        <f>IF('Statement of Marks'!DH40="","",'Statement of Marks'!DH40)</f>
        <v/>
      </c>
      <c r="J37" s="96" t="str">
        <f>IF('Statement of Marks'!DJ40="","",'Statement of Marks'!DJ40)</f>
        <v/>
      </c>
      <c r="K37" s="96" t="str">
        <f>IF('Statement of Marks'!DL40="","",'Statement of Marks'!DL40)</f>
        <v/>
      </c>
      <c r="L37" s="96" t="str">
        <f>IF('Statement of Marks'!DN40="","",'Statement of Marks'!DN40)</f>
        <v/>
      </c>
      <c r="M37" s="96" t="str">
        <f>IF('Statement of Marks'!DO40="","",'Statement of Marks'!DO40)</f>
        <v/>
      </c>
      <c r="N37" s="96" t="str">
        <f>IF('Statement of Marks'!DP40="","",'Statement of Marks'!DP40)</f>
        <v/>
      </c>
      <c r="O37" s="47" t="str">
        <f>IF('Statement of Marks'!BJ40="","",'Statement of Marks'!BJ40)</f>
        <v/>
      </c>
      <c r="P37" s="51" t="str">
        <f>IF('Statement of Marks'!BK40="","",'Statement of Marks'!BK40)</f>
        <v/>
      </c>
      <c r="Q37" s="50" t="str">
        <f>IF('Statement of Marks'!BI40="","",'Statement of Marks'!BI40)</f>
        <v/>
      </c>
      <c r="R37" s="51" t="str">
        <f>IF('Statement of Marks'!BL40="","",'Statement of Marks'!BL40)</f>
        <v/>
      </c>
    </row>
    <row r="38" spans="1:18" ht="30" customHeight="1" x14ac:dyDescent="0.2">
      <c r="A38" s="51" t="str">
        <f>IF('Statement of Marks'!A41="","",'Statement of Marks'!A41)</f>
        <v/>
      </c>
      <c r="B38" s="51" t="str">
        <f>IF('Statement of Marks'!B41="","",'Statement of Marks'!B41)</f>
        <v/>
      </c>
      <c r="C38" s="51" t="str">
        <f>IF('Statement of Marks'!C41="","",'Statement of Marks'!C41)</f>
        <v/>
      </c>
      <c r="D38" s="48" t="str">
        <f>IF('Statement of Marks'!D41="","",'Statement of Marks'!D41)</f>
        <v/>
      </c>
      <c r="E38" s="51" t="str">
        <f>IF('Statement of Marks'!G41="","",'Statement of Marks'!G41)</f>
        <v/>
      </c>
      <c r="F38" s="51" t="str">
        <f>IF('Statement of Marks'!I41="","",'Statement of Marks'!I41)</f>
        <v/>
      </c>
      <c r="G38" s="51" t="str">
        <f>IF('Statement of Marks'!DD41="","",'Statement of Marks'!DD41)</f>
        <v/>
      </c>
      <c r="H38" s="51" t="str">
        <f>IF('Statement of Marks'!DF41="","",'Statement of Marks'!DF41)</f>
        <v/>
      </c>
      <c r="I38" s="51" t="str">
        <f>IF('Statement of Marks'!DH41="","",'Statement of Marks'!DH41)</f>
        <v/>
      </c>
      <c r="J38" s="96" t="str">
        <f>IF('Statement of Marks'!DJ41="","",'Statement of Marks'!DJ41)</f>
        <v/>
      </c>
      <c r="K38" s="96" t="str">
        <f>IF('Statement of Marks'!DL41="","",'Statement of Marks'!DL41)</f>
        <v/>
      </c>
      <c r="L38" s="96" t="str">
        <f>IF('Statement of Marks'!DN41="","",'Statement of Marks'!DN41)</f>
        <v/>
      </c>
      <c r="M38" s="96" t="str">
        <f>IF('Statement of Marks'!DO41="","",'Statement of Marks'!DO41)</f>
        <v/>
      </c>
      <c r="N38" s="96" t="str">
        <f>IF('Statement of Marks'!DP41="","",'Statement of Marks'!DP41)</f>
        <v/>
      </c>
      <c r="O38" s="47" t="str">
        <f>IF('Statement of Marks'!BJ41="","",'Statement of Marks'!BJ41)</f>
        <v/>
      </c>
      <c r="P38" s="51" t="str">
        <f>IF('Statement of Marks'!BK41="","",'Statement of Marks'!BK41)</f>
        <v/>
      </c>
      <c r="Q38" s="50" t="str">
        <f>IF('Statement of Marks'!BI41="","",'Statement of Marks'!BI41)</f>
        <v/>
      </c>
      <c r="R38" s="51" t="str">
        <f>IF('Statement of Marks'!BL41="","",'Statement of Marks'!BL41)</f>
        <v/>
      </c>
    </row>
    <row r="39" spans="1:18" ht="30" customHeight="1" x14ac:dyDescent="0.2">
      <c r="A39" s="51" t="str">
        <f>IF('Statement of Marks'!A42="","",'Statement of Marks'!A42)</f>
        <v/>
      </c>
      <c r="B39" s="51" t="str">
        <f>IF('Statement of Marks'!B42="","",'Statement of Marks'!B42)</f>
        <v/>
      </c>
      <c r="C39" s="51" t="str">
        <f>IF('Statement of Marks'!C42="","",'Statement of Marks'!C42)</f>
        <v/>
      </c>
      <c r="D39" s="48" t="str">
        <f>IF('Statement of Marks'!D42="","",'Statement of Marks'!D42)</f>
        <v/>
      </c>
      <c r="E39" s="51" t="str">
        <f>IF('Statement of Marks'!G42="","",'Statement of Marks'!G42)</f>
        <v/>
      </c>
      <c r="F39" s="51" t="str">
        <f>IF('Statement of Marks'!I42="","",'Statement of Marks'!I42)</f>
        <v/>
      </c>
      <c r="G39" s="51" t="str">
        <f>IF('Statement of Marks'!DD42="","",'Statement of Marks'!DD42)</f>
        <v/>
      </c>
      <c r="H39" s="51" t="str">
        <f>IF('Statement of Marks'!DF42="","",'Statement of Marks'!DF42)</f>
        <v/>
      </c>
      <c r="I39" s="51" t="str">
        <f>IF('Statement of Marks'!DH42="","",'Statement of Marks'!DH42)</f>
        <v/>
      </c>
      <c r="J39" s="96" t="str">
        <f>IF('Statement of Marks'!DJ42="","",'Statement of Marks'!DJ42)</f>
        <v/>
      </c>
      <c r="K39" s="96" t="str">
        <f>IF('Statement of Marks'!DL42="","",'Statement of Marks'!DL42)</f>
        <v/>
      </c>
      <c r="L39" s="96" t="str">
        <f>IF('Statement of Marks'!DN42="","",'Statement of Marks'!DN42)</f>
        <v/>
      </c>
      <c r="M39" s="96" t="str">
        <f>IF('Statement of Marks'!DO42="","",'Statement of Marks'!DO42)</f>
        <v/>
      </c>
      <c r="N39" s="96" t="str">
        <f>IF('Statement of Marks'!DP42="","",'Statement of Marks'!DP42)</f>
        <v/>
      </c>
      <c r="O39" s="47" t="str">
        <f>IF('Statement of Marks'!BJ42="","",'Statement of Marks'!BJ42)</f>
        <v/>
      </c>
      <c r="P39" s="51" t="str">
        <f>IF('Statement of Marks'!BK42="","",'Statement of Marks'!BK42)</f>
        <v/>
      </c>
      <c r="Q39" s="50" t="str">
        <f>IF('Statement of Marks'!BI42="","",'Statement of Marks'!BI42)</f>
        <v/>
      </c>
      <c r="R39" s="51" t="str">
        <f>IF('Statement of Marks'!BL42="","",'Statement of Marks'!BL42)</f>
        <v/>
      </c>
    </row>
    <row r="40" spans="1:18" ht="30" customHeight="1" x14ac:dyDescent="0.2">
      <c r="A40" s="51" t="str">
        <f>IF('Statement of Marks'!A43="","",'Statement of Marks'!A43)</f>
        <v/>
      </c>
      <c r="B40" s="51" t="str">
        <f>IF('Statement of Marks'!B43="","",'Statement of Marks'!B43)</f>
        <v/>
      </c>
      <c r="C40" s="51" t="str">
        <f>IF('Statement of Marks'!C43="","",'Statement of Marks'!C43)</f>
        <v/>
      </c>
      <c r="D40" s="48" t="str">
        <f>IF('Statement of Marks'!D43="","",'Statement of Marks'!D43)</f>
        <v/>
      </c>
      <c r="E40" s="51" t="str">
        <f>IF('Statement of Marks'!G43="","",'Statement of Marks'!G43)</f>
        <v/>
      </c>
      <c r="F40" s="51" t="str">
        <f>IF('Statement of Marks'!I43="","",'Statement of Marks'!I43)</f>
        <v/>
      </c>
      <c r="G40" s="51" t="str">
        <f>IF('Statement of Marks'!DD43="","",'Statement of Marks'!DD43)</f>
        <v/>
      </c>
      <c r="H40" s="51" t="str">
        <f>IF('Statement of Marks'!DF43="","",'Statement of Marks'!DF43)</f>
        <v/>
      </c>
      <c r="I40" s="51" t="str">
        <f>IF('Statement of Marks'!DH43="","",'Statement of Marks'!DH43)</f>
        <v/>
      </c>
      <c r="J40" s="96" t="str">
        <f>IF('Statement of Marks'!DJ43="","",'Statement of Marks'!DJ43)</f>
        <v/>
      </c>
      <c r="K40" s="96" t="str">
        <f>IF('Statement of Marks'!DL43="","",'Statement of Marks'!DL43)</f>
        <v/>
      </c>
      <c r="L40" s="96" t="str">
        <f>IF('Statement of Marks'!DN43="","",'Statement of Marks'!DN43)</f>
        <v/>
      </c>
      <c r="M40" s="96" t="str">
        <f>IF('Statement of Marks'!DO43="","",'Statement of Marks'!DO43)</f>
        <v/>
      </c>
      <c r="N40" s="96" t="str">
        <f>IF('Statement of Marks'!DP43="","",'Statement of Marks'!DP43)</f>
        <v/>
      </c>
      <c r="O40" s="47" t="str">
        <f>IF('Statement of Marks'!BJ43="","",'Statement of Marks'!BJ43)</f>
        <v/>
      </c>
      <c r="P40" s="51" t="str">
        <f>IF('Statement of Marks'!BK43="","",'Statement of Marks'!BK43)</f>
        <v/>
      </c>
      <c r="Q40" s="50" t="str">
        <f>IF('Statement of Marks'!BI43="","",'Statement of Marks'!BI43)</f>
        <v/>
      </c>
      <c r="R40" s="51" t="str">
        <f>IF('Statement of Marks'!BL43="","",'Statement of Marks'!BL43)</f>
        <v/>
      </c>
    </row>
    <row r="41" spans="1:18" ht="30" customHeight="1" x14ac:dyDescent="0.2">
      <c r="A41" s="51" t="str">
        <f>IF('Statement of Marks'!A44="","",'Statement of Marks'!A44)</f>
        <v/>
      </c>
      <c r="B41" s="51" t="str">
        <f>IF('Statement of Marks'!B44="","",'Statement of Marks'!B44)</f>
        <v/>
      </c>
      <c r="C41" s="51" t="str">
        <f>IF('Statement of Marks'!C44="","",'Statement of Marks'!C44)</f>
        <v/>
      </c>
      <c r="D41" s="48" t="str">
        <f>IF('Statement of Marks'!D44="","",'Statement of Marks'!D44)</f>
        <v/>
      </c>
      <c r="E41" s="51" t="str">
        <f>IF('Statement of Marks'!G44="","",'Statement of Marks'!G44)</f>
        <v/>
      </c>
      <c r="F41" s="51" t="str">
        <f>IF('Statement of Marks'!I44="","",'Statement of Marks'!I44)</f>
        <v/>
      </c>
      <c r="G41" s="51" t="str">
        <f>IF('Statement of Marks'!DD44="","",'Statement of Marks'!DD44)</f>
        <v/>
      </c>
      <c r="H41" s="51" t="str">
        <f>IF('Statement of Marks'!DF44="","",'Statement of Marks'!DF44)</f>
        <v/>
      </c>
      <c r="I41" s="51" t="str">
        <f>IF('Statement of Marks'!DH44="","",'Statement of Marks'!DH44)</f>
        <v/>
      </c>
      <c r="J41" s="96" t="str">
        <f>IF('Statement of Marks'!DJ44="","",'Statement of Marks'!DJ44)</f>
        <v/>
      </c>
      <c r="K41" s="96" t="str">
        <f>IF('Statement of Marks'!DL44="","",'Statement of Marks'!DL44)</f>
        <v/>
      </c>
      <c r="L41" s="96" t="str">
        <f>IF('Statement of Marks'!DN44="","",'Statement of Marks'!DN44)</f>
        <v/>
      </c>
      <c r="M41" s="96" t="str">
        <f>IF('Statement of Marks'!DO44="","",'Statement of Marks'!DO44)</f>
        <v/>
      </c>
      <c r="N41" s="96" t="str">
        <f>IF('Statement of Marks'!DP44="","",'Statement of Marks'!DP44)</f>
        <v/>
      </c>
      <c r="O41" s="47" t="str">
        <f>IF('Statement of Marks'!BJ44="","",'Statement of Marks'!BJ44)</f>
        <v/>
      </c>
      <c r="P41" s="51" t="str">
        <f>IF('Statement of Marks'!BK44="","",'Statement of Marks'!BK44)</f>
        <v/>
      </c>
      <c r="Q41" s="50" t="str">
        <f>IF('Statement of Marks'!BI44="","",'Statement of Marks'!BI44)</f>
        <v/>
      </c>
      <c r="R41" s="51" t="str">
        <f>IF('Statement of Marks'!BL44="","",'Statement of Marks'!BL44)</f>
        <v/>
      </c>
    </row>
    <row r="42" spans="1:18" ht="30" customHeight="1" x14ac:dyDescent="0.2">
      <c r="A42" s="51" t="str">
        <f>IF('Statement of Marks'!A45="","",'Statement of Marks'!A45)</f>
        <v/>
      </c>
      <c r="B42" s="51" t="str">
        <f>IF('Statement of Marks'!B45="","",'Statement of Marks'!B45)</f>
        <v/>
      </c>
      <c r="C42" s="51" t="str">
        <f>IF('Statement of Marks'!C45="","",'Statement of Marks'!C45)</f>
        <v/>
      </c>
      <c r="D42" s="48" t="str">
        <f>IF('Statement of Marks'!D45="","",'Statement of Marks'!D45)</f>
        <v/>
      </c>
      <c r="E42" s="51" t="str">
        <f>IF('Statement of Marks'!G45="","",'Statement of Marks'!G45)</f>
        <v/>
      </c>
      <c r="F42" s="51" t="str">
        <f>IF('Statement of Marks'!I45="","",'Statement of Marks'!I45)</f>
        <v/>
      </c>
      <c r="G42" s="51" t="str">
        <f>IF('Statement of Marks'!DD45="","",'Statement of Marks'!DD45)</f>
        <v/>
      </c>
      <c r="H42" s="51" t="str">
        <f>IF('Statement of Marks'!DF45="","",'Statement of Marks'!DF45)</f>
        <v/>
      </c>
      <c r="I42" s="51" t="str">
        <f>IF('Statement of Marks'!DH45="","",'Statement of Marks'!DH45)</f>
        <v/>
      </c>
      <c r="J42" s="96" t="str">
        <f>IF('Statement of Marks'!DJ45="","",'Statement of Marks'!DJ45)</f>
        <v/>
      </c>
      <c r="K42" s="96" t="str">
        <f>IF('Statement of Marks'!DL45="","",'Statement of Marks'!DL45)</f>
        <v/>
      </c>
      <c r="L42" s="96" t="str">
        <f>IF('Statement of Marks'!DN45="","",'Statement of Marks'!DN45)</f>
        <v/>
      </c>
      <c r="M42" s="96" t="str">
        <f>IF('Statement of Marks'!DO45="","",'Statement of Marks'!DO45)</f>
        <v/>
      </c>
      <c r="N42" s="96" t="str">
        <f>IF('Statement of Marks'!DP45="","",'Statement of Marks'!DP45)</f>
        <v/>
      </c>
      <c r="O42" s="47" t="str">
        <f>IF('Statement of Marks'!BJ45="","",'Statement of Marks'!BJ45)</f>
        <v/>
      </c>
      <c r="P42" s="51" t="str">
        <f>IF('Statement of Marks'!BK45="","",'Statement of Marks'!BK45)</f>
        <v/>
      </c>
      <c r="Q42" s="50" t="str">
        <f>IF('Statement of Marks'!BI45="","",'Statement of Marks'!BI45)</f>
        <v/>
      </c>
      <c r="R42" s="51" t="str">
        <f>IF('Statement of Marks'!BL45="","",'Statement of Marks'!BL45)</f>
        <v/>
      </c>
    </row>
    <row r="43" spans="1:18" ht="30" customHeight="1" x14ac:dyDescent="0.2">
      <c r="A43" s="51" t="str">
        <f>IF('Statement of Marks'!A46="","",'Statement of Marks'!A46)</f>
        <v/>
      </c>
      <c r="B43" s="51" t="str">
        <f>IF('Statement of Marks'!B46="","",'Statement of Marks'!B46)</f>
        <v/>
      </c>
      <c r="C43" s="51" t="str">
        <f>IF('Statement of Marks'!C46="","",'Statement of Marks'!C46)</f>
        <v/>
      </c>
      <c r="D43" s="48" t="str">
        <f>IF('Statement of Marks'!D46="","",'Statement of Marks'!D46)</f>
        <v/>
      </c>
      <c r="E43" s="51" t="str">
        <f>IF('Statement of Marks'!G46="","",'Statement of Marks'!G46)</f>
        <v/>
      </c>
      <c r="F43" s="51" t="str">
        <f>IF('Statement of Marks'!I46="","",'Statement of Marks'!I46)</f>
        <v/>
      </c>
      <c r="G43" s="51" t="str">
        <f>IF('Statement of Marks'!DD46="","",'Statement of Marks'!DD46)</f>
        <v/>
      </c>
      <c r="H43" s="51" t="str">
        <f>IF('Statement of Marks'!DF46="","",'Statement of Marks'!DF46)</f>
        <v/>
      </c>
      <c r="I43" s="51" t="str">
        <f>IF('Statement of Marks'!DH46="","",'Statement of Marks'!DH46)</f>
        <v/>
      </c>
      <c r="J43" s="96" t="str">
        <f>IF('Statement of Marks'!DJ46="","",'Statement of Marks'!DJ46)</f>
        <v/>
      </c>
      <c r="K43" s="96" t="str">
        <f>IF('Statement of Marks'!DL46="","",'Statement of Marks'!DL46)</f>
        <v/>
      </c>
      <c r="L43" s="96" t="str">
        <f>IF('Statement of Marks'!DN46="","",'Statement of Marks'!DN46)</f>
        <v/>
      </c>
      <c r="M43" s="96" t="str">
        <f>IF('Statement of Marks'!DO46="","",'Statement of Marks'!DO46)</f>
        <v/>
      </c>
      <c r="N43" s="96" t="str">
        <f>IF('Statement of Marks'!DP46="","",'Statement of Marks'!DP46)</f>
        <v/>
      </c>
      <c r="O43" s="47" t="str">
        <f>IF('Statement of Marks'!BJ46="","",'Statement of Marks'!BJ46)</f>
        <v/>
      </c>
      <c r="P43" s="51" t="str">
        <f>IF('Statement of Marks'!BK46="","",'Statement of Marks'!BK46)</f>
        <v/>
      </c>
      <c r="Q43" s="50" t="str">
        <f>IF('Statement of Marks'!BI46="","",'Statement of Marks'!BI46)</f>
        <v/>
      </c>
      <c r="R43" s="51" t="str">
        <f>IF('Statement of Marks'!BL46="","",'Statement of Marks'!BL46)</f>
        <v/>
      </c>
    </row>
    <row r="44" spans="1:18" ht="30" customHeight="1" x14ac:dyDescent="0.2">
      <c r="A44" s="51" t="str">
        <f>IF('Statement of Marks'!A47="","",'Statement of Marks'!A47)</f>
        <v/>
      </c>
      <c r="B44" s="51" t="str">
        <f>IF('Statement of Marks'!B47="","",'Statement of Marks'!B47)</f>
        <v/>
      </c>
      <c r="C44" s="51" t="str">
        <f>IF('Statement of Marks'!C47="","",'Statement of Marks'!C47)</f>
        <v/>
      </c>
      <c r="D44" s="48" t="str">
        <f>IF('Statement of Marks'!D47="","",'Statement of Marks'!D47)</f>
        <v/>
      </c>
      <c r="E44" s="51" t="str">
        <f>IF('Statement of Marks'!G47="","",'Statement of Marks'!G47)</f>
        <v/>
      </c>
      <c r="F44" s="51" t="str">
        <f>IF('Statement of Marks'!I47="","",'Statement of Marks'!I47)</f>
        <v/>
      </c>
      <c r="G44" s="51" t="str">
        <f>IF('Statement of Marks'!DD47="","",'Statement of Marks'!DD47)</f>
        <v/>
      </c>
      <c r="H44" s="51" t="str">
        <f>IF('Statement of Marks'!DF47="","",'Statement of Marks'!DF47)</f>
        <v/>
      </c>
      <c r="I44" s="51" t="str">
        <f>IF('Statement of Marks'!DH47="","",'Statement of Marks'!DH47)</f>
        <v/>
      </c>
      <c r="J44" s="96" t="str">
        <f>IF('Statement of Marks'!DJ47="","",'Statement of Marks'!DJ47)</f>
        <v/>
      </c>
      <c r="K44" s="96" t="str">
        <f>IF('Statement of Marks'!DL47="","",'Statement of Marks'!DL47)</f>
        <v/>
      </c>
      <c r="L44" s="96" t="str">
        <f>IF('Statement of Marks'!DN47="","",'Statement of Marks'!DN47)</f>
        <v/>
      </c>
      <c r="M44" s="96" t="str">
        <f>IF('Statement of Marks'!DO47="","",'Statement of Marks'!DO47)</f>
        <v/>
      </c>
      <c r="N44" s="96" t="str">
        <f>IF('Statement of Marks'!DP47="","",'Statement of Marks'!DP47)</f>
        <v/>
      </c>
      <c r="O44" s="47" t="str">
        <f>IF('Statement of Marks'!BJ47="","",'Statement of Marks'!BJ47)</f>
        <v/>
      </c>
      <c r="P44" s="51" t="str">
        <f>IF('Statement of Marks'!BK47="","",'Statement of Marks'!BK47)</f>
        <v/>
      </c>
      <c r="Q44" s="50" t="str">
        <f>IF('Statement of Marks'!BI47="","",'Statement of Marks'!BI47)</f>
        <v/>
      </c>
      <c r="R44" s="51" t="str">
        <f>IF('Statement of Marks'!BL47="","",'Statement of Marks'!BL47)</f>
        <v/>
      </c>
    </row>
    <row r="45" spans="1:18" ht="30" customHeight="1" x14ac:dyDescent="0.2">
      <c r="A45" s="51" t="str">
        <f>IF('Statement of Marks'!A48="","",'Statement of Marks'!A48)</f>
        <v/>
      </c>
      <c r="B45" s="51" t="str">
        <f>IF('Statement of Marks'!B48="","",'Statement of Marks'!B48)</f>
        <v/>
      </c>
      <c r="C45" s="51" t="str">
        <f>IF('Statement of Marks'!C48="","",'Statement of Marks'!C48)</f>
        <v/>
      </c>
      <c r="D45" s="48" t="str">
        <f>IF('Statement of Marks'!D48="","",'Statement of Marks'!D48)</f>
        <v/>
      </c>
      <c r="E45" s="51" t="str">
        <f>IF('Statement of Marks'!G48="","",'Statement of Marks'!G48)</f>
        <v/>
      </c>
      <c r="F45" s="51" t="str">
        <f>IF('Statement of Marks'!I48="","",'Statement of Marks'!I48)</f>
        <v/>
      </c>
      <c r="G45" s="51" t="str">
        <f>IF('Statement of Marks'!DD48="","",'Statement of Marks'!DD48)</f>
        <v/>
      </c>
      <c r="H45" s="51" t="str">
        <f>IF('Statement of Marks'!DF48="","",'Statement of Marks'!DF48)</f>
        <v/>
      </c>
      <c r="I45" s="51" t="str">
        <f>IF('Statement of Marks'!DH48="","",'Statement of Marks'!DH48)</f>
        <v/>
      </c>
      <c r="J45" s="96" t="str">
        <f>IF('Statement of Marks'!DJ48="","",'Statement of Marks'!DJ48)</f>
        <v/>
      </c>
      <c r="K45" s="96" t="str">
        <f>IF('Statement of Marks'!DL48="","",'Statement of Marks'!DL48)</f>
        <v/>
      </c>
      <c r="L45" s="96" t="str">
        <f>IF('Statement of Marks'!DN48="","",'Statement of Marks'!DN48)</f>
        <v/>
      </c>
      <c r="M45" s="96" t="str">
        <f>IF('Statement of Marks'!DO48="","",'Statement of Marks'!DO48)</f>
        <v/>
      </c>
      <c r="N45" s="96" t="str">
        <f>IF('Statement of Marks'!DP48="","",'Statement of Marks'!DP48)</f>
        <v/>
      </c>
      <c r="O45" s="47" t="str">
        <f>IF('Statement of Marks'!BJ48="","",'Statement of Marks'!BJ48)</f>
        <v/>
      </c>
      <c r="P45" s="51" t="str">
        <f>IF('Statement of Marks'!BK48="","",'Statement of Marks'!BK48)</f>
        <v/>
      </c>
      <c r="Q45" s="50" t="str">
        <f>IF('Statement of Marks'!BI48="","",'Statement of Marks'!BI48)</f>
        <v/>
      </c>
      <c r="R45" s="51" t="str">
        <f>IF('Statement of Marks'!BL48="","",'Statement of Marks'!BL48)</f>
        <v/>
      </c>
    </row>
    <row r="46" spans="1:18" ht="30" customHeight="1" x14ac:dyDescent="0.2">
      <c r="A46" s="51" t="str">
        <f>IF('Statement of Marks'!A49="","",'Statement of Marks'!A49)</f>
        <v/>
      </c>
      <c r="B46" s="51" t="str">
        <f>IF('Statement of Marks'!B49="","",'Statement of Marks'!B49)</f>
        <v/>
      </c>
      <c r="C46" s="51" t="str">
        <f>IF('Statement of Marks'!C49="","",'Statement of Marks'!C49)</f>
        <v/>
      </c>
      <c r="D46" s="48" t="str">
        <f>IF('Statement of Marks'!D49="","",'Statement of Marks'!D49)</f>
        <v/>
      </c>
      <c r="E46" s="51" t="str">
        <f>IF('Statement of Marks'!G49="","",'Statement of Marks'!G49)</f>
        <v/>
      </c>
      <c r="F46" s="51" t="str">
        <f>IF('Statement of Marks'!I49="","",'Statement of Marks'!I49)</f>
        <v/>
      </c>
      <c r="G46" s="51" t="str">
        <f>IF('Statement of Marks'!DD49="","",'Statement of Marks'!DD49)</f>
        <v/>
      </c>
      <c r="H46" s="51" t="str">
        <f>IF('Statement of Marks'!DF49="","",'Statement of Marks'!DF49)</f>
        <v/>
      </c>
      <c r="I46" s="51" t="str">
        <f>IF('Statement of Marks'!DH49="","",'Statement of Marks'!DH49)</f>
        <v/>
      </c>
      <c r="J46" s="96" t="str">
        <f>IF('Statement of Marks'!DJ49="","",'Statement of Marks'!DJ49)</f>
        <v/>
      </c>
      <c r="K46" s="96" t="str">
        <f>IF('Statement of Marks'!DL49="","",'Statement of Marks'!DL49)</f>
        <v/>
      </c>
      <c r="L46" s="96" t="str">
        <f>IF('Statement of Marks'!DN49="","",'Statement of Marks'!DN49)</f>
        <v/>
      </c>
      <c r="M46" s="96" t="str">
        <f>IF('Statement of Marks'!DO49="","",'Statement of Marks'!DO49)</f>
        <v/>
      </c>
      <c r="N46" s="96" t="str">
        <f>IF('Statement of Marks'!DP49="","",'Statement of Marks'!DP49)</f>
        <v/>
      </c>
      <c r="O46" s="47" t="str">
        <f>IF('Statement of Marks'!BJ49="","",'Statement of Marks'!BJ49)</f>
        <v/>
      </c>
      <c r="P46" s="51" t="str">
        <f>IF('Statement of Marks'!BK49="","",'Statement of Marks'!BK49)</f>
        <v/>
      </c>
      <c r="Q46" s="50" t="str">
        <f>IF('Statement of Marks'!BI49="","",'Statement of Marks'!BI49)</f>
        <v/>
      </c>
      <c r="R46" s="51" t="str">
        <f>IF('Statement of Marks'!BL49="","",'Statement of Marks'!BL49)</f>
        <v/>
      </c>
    </row>
    <row r="47" spans="1:18" ht="30" customHeight="1" x14ac:dyDescent="0.2">
      <c r="A47" s="51" t="str">
        <f>IF('Statement of Marks'!A50="","",'Statement of Marks'!A50)</f>
        <v/>
      </c>
      <c r="B47" s="51" t="str">
        <f>IF('Statement of Marks'!B50="","",'Statement of Marks'!B50)</f>
        <v/>
      </c>
      <c r="C47" s="51" t="str">
        <f>IF('Statement of Marks'!C50="","",'Statement of Marks'!C50)</f>
        <v/>
      </c>
      <c r="D47" s="48" t="str">
        <f>IF('Statement of Marks'!D50="","",'Statement of Marks'!D50)</f>
        <v/>
      </c>
      <c r="E47" s="51" t="str">
        <f>IF('Statement of Marks'!G50="","",'Statement of Marks'!G50)</f>
        <v/>
      </c>
      <c r="F47" s="51" t="str">
        <f>IF('Statement of Marks'!I50="","",'Statement of Marks'!I50)</f>
        <v/>
      </c>
      <c r="G47" s="51" t="str">
        <f>IF('Statement of Marks'!DD50="","",'Statement of Marks'!DD50)</f>
        <v/>
      </c>
      <c r="H47" s="51" t="str">
        <f>IF('Statement of Marks'!DF50="","",'Statement of Marks'!DF50)</f>
        <v/>
      </c>
      <c r="I47" s="51" t="str">
        <f>IF('Statement of Marks'!DH50="","",'Statement of Marks'!DH50)</f>
        <v/>
      </c>
      <c r="J47" s="96" t="str">
        <f>IF('Statement of Marks'!DJ50="","",'Statement of Marks'!DJ50)</f>
        <v/>
      </c>
      <c r="K47" s="96" t="str">
        <f>IF('Statement of Marks'!DL50="","",'Statement of Marks'!DL50)</f>
        <v/>
      </c>
      <c r="L47" s="96" t="str">
        <f>IF('Statement of Marks'!DN50="","",'Statement of Marks'!DN50)</f>
        <v/>
      </c>
      <c r="M47" s="96" t="str">
        <f>IF('Statement of Marks'!DO50="","",'Statement of Marks'!DO50)</f>
        <v/>
      </c>
      <c r="N47" s="96" t="str">
        <f>IF('Statement of Marks'!DP50="","",'Statement of Marks'!DP50)</f>
        <v/>
      </c>
      <c r="O47" s="47" t="str">
        <f>IF('Statement of Marks'!BJ50="","",'Statement of Marks'!BJ50)</f>
        <v/>
      </c>
      <c r="P47" s="51" t="str">
        <f>IF('Statement of Marks'!BK50="","",'Statement of Marks'!BK50)</f>
        <v/>
      </c>
      <c r="Q47" s="50" t="str">
        <f>IF('Statement of Marks'!BI50="","",'Statement of Marks'!BI50)</f>
        <v/>
      </c>
      <c r="R47" s="51" t="str">
        <f>IF('Statement of Marks'!BL50="","",'Statement of Marks'!BL50)</f>
        <v/>
      </c>
    </row>
    <row r="48" spans="1:18" ht="30" customHeight="1" x14ac:dyDescent="0.2">
      <c r="A48" s="51" t="str">
        <f>IF('Statement of Marks'!A51="","",'Statement of Marks'!A51)</f>
        <v/>
      </c>
      <c r="B48" s="51" t="str">
        <f>IF('Statement of Marks'!B51="","",'Statement of Marks'!B51)</f>
        <v/>
      </c>
      <c r="C48" s="51" t="str">
        <f>IF('Statement of Marks'!C51="","",'Statement of Marks'!C51)</f>
        <v/>
      </c>
      <c r="D48" s="48" t="str">
        <f>IF('Statement of Marks'!D51="","",'Statement of Marks'!D51)</f>
        <v/>
      </c>
      <c r="E48" s="51" t="str">
        <f>IF('Statement of Marks'!G51="","",'Statement of Marks'!G51)</f>
        <v/>
      </c>
      <c r="F48" s="51" t="str">
        <f>IF('Statement of Marks'!I51="","",'Statement of Marks'!I51)</f>
        <v/>
      </c>
      <c r="G48" s="51" t="str">
        <f>IF('Statement of Marks'!DD51="","",'Statement of Marks'!DD51)</f>
        <v/>
      </c>
      <c r="H48" s="51" t="str">
        <f>IF('Statement of Marks'!DF51="","",'Statement of Marks'!DF51)</f>
        <v/>
      </c>
      <c r="I48" s="51" t="str">
        <f>IF('Statement of Marks'!DH51="","",'Statement of Marks'!DH51)</f>
        <v/>
      </c>
      <c r="J48" s="96" t="str">
        <f>IF('Statement of Marks'!DJ51="","",'Statement of Marks'!DJ51)</f>
        <v/>
      </c>
      <c r="K48" s="96" t="str">
        <f>IF('Statement of Marks'!DL51="","",'Statement of Marks'!DL51)</f>
        <v/>
      </c>
      <c r="L48" s="96" t="str">
        <f>IF('Statement of Marks'!DN51="","",'Statement of Marks'!DN51)</f>
        <v/>
      </c>
      <c r="M48" s="96" t="str">
        <f>IF('Statement of Marks'!DO51="","",'Statement of Marks'!DO51)</f>
        <v/>
      </c>
      <c r="N48" s="96" t="str">
        <f>IF('Statement of Marks'!DP51="","",'Statement of Marks'!DP51)</f>
        <v/>
      </c>
      <c r="O48" s="47" t="str">
        <f>IF('Statement of Marks'!BJ51="","",'Statement of Marks'!BJ51)</f>
        <v/>
      </c>
      <c r="P48" s="51" t="str">
        <f>IF('Statement of Marks'!BK51="","",'Statement of Marks'!BK51)</f>
        <v/>
      </c>
      <c r="Q48" s="50" t="str">
        <f>IF('Statement of Marks'!BI51="","",'Statement of Marks'!BI51)</f>
        <v/>
      </c>
      <c r="R48" s="51" t="str">
        <f>IF('Statement of Marks'!BL51="","",'Statement of Marks'!BL51)</f>
        <v/>
      </c>
    </row>
    <row r="49" spans="1:18" ht="30" customHeight="1" x14ac:dyDescent="0.2">
      <c r="A49" s="51" t="str">
        <f>IF('Statement of Marks'!A52="","",'Statement of Marks'!A52)</f>
        <v/>
      </c>
      <c r="B49" s="51" t="str">
        <f>IF('Statement of Marks'!B52="","",'Statement of Marks'!B52)</f>
        <v/>
      </c>
      <c r="C49" s="51" t="str">
        <f>IF('Statement of Marks'!C52="","",'Statement of Marks'!C52)</f>
        <v/>
      </c>
      <c r="D49" s="48" t="str">
        <f>IF('Statement of Marks'!D52="","",'Statement of Marks'!D52)</f>
        <v/>
      </c>
      <c r="E49" s="51" t="str">
        <f>IF('Statement of Marks'!G52="","",'Statement of Marks'!G52)</f>
        <v/>
      </c>
      <c r="F49" s="51" t="str">
        <f>IF('Statement of Marks'!I52="","",'Statement of Marks'!I52)</f>
        <v/>
      </c>
      <c r="G49" s="51" t="str">
        <f>IF('Statement of Marks'!DD52="","",'Statement of Marks'!DD52)</f>
        <v/>
      </c>
      <c r="H49" s="51" t="str">
        <f>IF('Statement of Marks'!DF52="","",'Statement of Marks'!DF52)</f>
        <v/>
      </c>
      <c r="I49" s="51" t="str">
        <f>IF('Statement of Marks'!DH52="","",'Statement of Marks'!DH52)</f>
        <v/>
      </c>
      <c r="J49" s="96" t="str">
        <f>IF('Statement of Marks'!DJ52="","",'Statement of Marks'!DJ52)</f>
        <v/>
      </c>
      <c r="K49" s="96" t="str">
        <f>IF('Statement of Marks'!DL52="","",'Statement of Marks'!DL52)</f>
        <v/>
      </c>
      <c r="L49" s="96" t="str">
        <f>IF('Statement of Marks'!DN52="","",'Statement of Marks'!DN52)</f>
        <v/>
      </c>
      <c r="M49" s="96" t="str">
        <f>IF('Statement of Marks'!DO52="","",'Statement of Marks'!DO52)</f>
        <v/>
      </c>
      <c r="N49" s="96" t="str">
        <f>IF('Statement of Marks'!DP52="","",'Statement of Marks'!DP52)</f>
        <v/>
      </c>
      <c r="O49" s="47" t="str">
        <f>IF('Statement of Marks'!BJ52="","",'Statement of Marks'!BJ52)</f>
        <v/>
      </c>
      <c r="P49" s="51" t="str">
        <f>IF('Statement of Marks'!BK52="","",'Statement of Marks'!BK52)</f>
        <v/>
      </c>
      <c r="Q49" s="50" t="str">
        <f>IF('Statement of Marks'!BI52="","",'Statement of Marks'!BI52)</f>
        <v/>
      </c>
      <c r="R49" s="51" t="str">
        <f>IF('Statement of Marks'!BL52="","",'Statement of Marks'!BL52)</f>
        <v/>
      </c>
    </row>
    <row r="50" spans="1:18" ht="30" customHeight="1" x14ac:dyDescent="0.2">
      <c r="A50" s="51" t="str">
        <f>IF('Statement of Marks'!A53="","",'Statement of Marks'!A53)</f>
        <v/>
      </c>
      <c r="B50" s="51" t="str">
        <f>IF('Statement of Marks'!B53="","",'Statement of Marks'!B53)</f>
        <v/>
      </c>
      <c r="C50" s="51" t="str">
        <f>IF('Statement of Marks'!C53="","",'Statement of Marks'!C53)</f>
        <v/>
      </c>
      <c r="D50" s="48" t="str">
        <f>IF('Statement of Marks'!D53="","",'Statement of Marks'!D53)</f>
        <v/>
      </c>
      <c r="E50" s="51" t="str">
        <f>IF('Statement of Marks'!G53="","",'Statement of Marks'!G53)</f>
        <v/>
      </c>
      <c r="F50" s="51" t="str">
        <f>IF('Statement of Marks'!I53="","",'Statement of Marks'!I53)</f>
        <v/>
      </c>
      <c r="G50" s="51" t="str">
        <f>IF('Statement of Marks'!DD53="","",'Statement of Marks'!DD53)</f>
        <v/>
      </c>
      <c r="H50" s="51" t="str">
        <f>IF('Statement of Marks'!DF53="","",'Statement of Marks'!DF53)</f>
        <v/>
      </c>
      <c r="I50" s="51" t="str">
        <f>IF('Statement of Marks'!DH53="","",'Statement of Marks'!DH53)</f>
        <v/>
      </c>
      <c r="J50" s="96" t="str">
        <f>IF('Statement of Marks'!DJ53="","",'Statement of Marks'!DJ53)</f>
        <v/>
      </c>
      <c r="K50" s="96" t="str">
        <f>IF('Statement of Marks'!DL53="","",'Statement of Marks'!DL53)</f>
        <v/>
      </c>
      <c r="L50" s="96" t="str">
        <f>IF('Statement of Marks'!DN53="","",'Statement of Marks'!DN53)</f>
        <v/>
      </c>
      <c r="M50" s="96" t="str">
        <f>IF('Statement of Marks'!DO53="","",'Statement of Marks'!DO53)</f>
        <v/>
      </c>
      <c r="N50" s="96" t="str">
        <f>IF('Statement of Marks'!DP53="","",'Statement of Marks'!DP53)</f>
        <v/>
      </c>
      <c r="O50" s="47" t="str">
        <f>IF('Statement of Marks'!BJ53="","",'Statement of Marks'!BJ53)</f>
        <v/>
      </c>
      <c r="P50" s="51" t="str">
        <f>IF('Statement of Marks'!BK53="","",'Statement of Marks'!BK53)</f>
        <v/>
      </c>
      <c r="Q50" s="50" t="str">
        <f>IF('Statement of Marks'!BI53="","",'Statement of Marks'!BI53)</f>
        <v/>
      </c>
      <c r="R50" s="51" t="str">
        <f>IF('Statement of Marks'!BL53="","",'Statement of Marks'!BL53)</f>
        <v/>
      </c>
    </row>
    <row r="51" spans="1:18" ht="30" customHeight="1" x14ac:dyDescent="0.2">
      <c r="A51" s="51" t="str">
        <f>IF('Statement of Marks'!A54="","",'Statement of Marks'!A54)</f>
        <v/>
      </c>
      <c r="B51" s="51" t="str">
        <f>IF('Statement of Marks'!B54="","",'Statement of Marks'!B54)</f>
        <v/>
      </c>
      <c r="C51" s="51" t="str">
        <f>IF('Statement of Marks'!C54="","",'Statement of Marks'!C54)</f>
        <v/>
      </c>
      <c r="D51" s="48" t="str">
        <f>IF('Statement of Marks'!D54="","",'Statement of Marks'!D54)</f>
        <v/>
      </c>
      <c r="E51" s="51" t="str">
        <f>IF('Statement of Marks'!G54="","",'Statement of Marks'!G54)</f>
        <v/>
      </c>
      <c r="F51" s="51" t="str">
        <f>IF('Statement of Marks'!I54="","",'Statement of Marks'!I54)</f>
        <v/>
      </c>
      <c r="G51" s="51" t="str">
        <f>IF('Statement of Marks'!DD54="","",'Statement of Marks'!DD54)</f>
        <v/>
      </c>
      <c r="H51" s="51" t="str">
        <f>IF('Statement of Marks'!DF54="","",'Statement of Marks'!DF54)</f>
        <v/>
      </c>
      <c r="I51" s="51" t="str">
        <f>IF('Statement of Marks'!DH54="","",'Statement of Marks'!DH54)</f>
        <v/>
      </c>
      <c r="J51" s="96" t="str">
        <f>IF('Statement of Marks'!DJ54="","",'Statement of Marks'!DJ54)</f>
        <v/>
      </c>
      <c r="K51" s="96" t="str">
        <f>IF('Statement of Marks'!DL54="","",'Statement of Marks'!DL54)</f>
        <v/>
      </c>
      <c r="L51" s="96" t="str">
        <f>IF('Statement of Marks'!DN54="","",'Statement of Marks'!DN54)</f>
        <v/>
      </c>
      <c r="M51" s="96" t="str">
        <f>IF('Statement of Marks'!DO54="","",'Statement of Marks'!DO54)</f>
        <v/>
      </c>
      <c r="N51" s="96" t="str">
        <f>IF('Statement of Marks'!DP54="","",'Statement of Marks'!DP54)</f>
        <v/>
      </c>
      <c r="O51" s="47" t="str">
        <f>IF('Statement of Marks'!BJ54="","",'Statement of Marks'!BJ54)</f>
        <v/>
      </c>
      <c r="P51" s="51" t="str">
        <f>IF('Statement of Marks'!BK54="","",'Statement of Marks'!BK54)</f>
        <v/>
      </c>
      <c r="Q51" s="50" t="str">
        <f>IF('Statement of Marks'!BI54="","",'Statement of Marks'!BI54)</f>
        <v/>
      </c>
      <c r="R51" s="51" t="str">
        <f>IF('Statement of Marks'!BL54="","",'Statement of Marks'!BL54)</f>
        <v/>
      </c>
    </row>
    <row r="52" spans="1:18" ht="30" customHeight="1" x14ac:dyDescent="0.2">
      <c r="A52" s="51" t="str">
        <f>IF('Statement of Marks'!A55="","",'Statement of Marks'!A55)</f>
        <v/>
      </c>
      <c r="B52" s="51" t="str">
        <f>IF('Statement of Marks'!B55="","",'Statement of Marks'!B55)</f>
        <v/>
      </c>
      <c r="C52" s="51" t="str">
        <f>IF('Statement of Marks'!C55="","",'Statement of Marks'!C55)</f>
        <v/>
      </c>
      <c r="D52" s="48" t="str">
        <f>IF('Statement of Marks'!D55="","",'Statement of Marks'!D55)</f>
        <v/>
      </c>
      <c r="E52" s="51" t="str">
        <f>IF('Statement of Marks'!G55="","",'Statement of Marks'!G55)</f>
        <v/>
      </c>
      <c r="F52" s="51" t="str">
        <f>IF('Statement of Marks'!I55="","",'Statement of Marks'!I55)</f>
        <v/>
      </c>
      <c r="G52" s="51" t="str">
        <f>IF('Statement of Marks'!DD55="","",'Statement of Marks'!DD55)</f>
        <v/>
      </c>
      <c r="H52" s="51" t="str">
        <f>IF('Statement of Marks'!DF55="","",'Statement of Marks'!DF55)</f>
        <v/>
      </c>
      <c r="I52" s="51" t="str">
        <f>IF('Statement of Marks'!DH55="","",'Statement of Marks'!DH55)</f>
        <v/>
      </c>
      <c r="J52" s="96" t="str">
        <f>IF('Statement of Marks'!DJ55="","",'Statement of Marks'!DJ55)</f>
        <v/>
      </c>
      <c r="K52" s="96" t="str">
        <f>IF('Statement of Marks'!DL55="","",'Statement of Marks'!DL55)</f>
        <v/>
      </c>
      <c r="L52" s="96" t="str">
        <f>IF('Statement of Marks'!DN55="","",'Statement of Marks'!DN55)</f>
        <v/>
      </c>
      <c r="M52" s="96" t="str">
        <f>IF('Statement of Marks'!DO55="","",'Statement of Marks'!DO55)</f>
        <v/>
      </c>
      <c r="N52" s="96" t="str">
        <f>IF('Statement of Marks'!DP55="","",'Statement of Marks'!DP55)</f>
        <v/>
      </c>
      <c r="O52" s="47" t="str">
        <f>IF('Statement of Marks'!BJ55="","",'Statement of Marks'!BJ55)</f>
        <v/>
      </c>
      <c r="P52" s="51" t="str">
        <f>IF('Statement of Marks'!BK55="","",'Statement of Marks'!BK55)</f>
        <v/>
      </c>
      <c r="Q52" s="50" t="str">
        <f>IF('Statement of Marks'!BI55="","",'Statement of Marks'!BI55)</f>
        <v/>
      </c>
      <c r="R52" s="51" t="str">
        <f>IF('Statement of Marks'!BL55="","",'Statement of Marks'!BL55)</f>
        <v/>
      </c>
    </row>
    <row r="53" spans="1:18" ht="30" customHeight="1" x14ac:dyDescent="0.2">
      <c r="A53" s="51" t="str">
        <f>IF('Statement of Marks'!A56="","",'Statement of Marks'!A56)</f>
        <v/>
      </c>
      <c r="B53" s="51" t="str">
        <f>IF('Statement of Marks'!B56="","",'Statement of Marks'!B56)</f>
        <v/>
      </c>
      <c r="C53" s="51" t="str">
        <f>IF('Statement of Marks'!C56="","",'Statement of Marks'!C56)</f>
        <v/>
      </c>
      <c r="D53" s="48" t="str">
        <f>IF('Statement of Marks'!D56="","",'Statement of Marks'!D56)</f>
        <v/>
      </c>
      <c r="E53" s="51" t="str">
        <f>IF('Statement of Marks'!G56="","",'Statement of Marks'!G56)</f>
        <v/>
      </c>
      <c r="F53" s="51" t="str">
        <f>IF('Statement of Marks'!I56="","",'Statement of Marks'!I56)</f>
        <v/>
      </c>
      <c r="G53" s="51" t="str">
        <f>IF('Statement of Marks'!DD56="","",'Statement of Marks'!DD56)</f>
        <v/>
      </c>
      <c r="H53" s="51" t="str">
        <f>IF('Statement of Marks'!DF56="","",'Statement of Marks'!DF56)</f>
        <v/>
      </c>
      <c r="I53" s="51" t="str">
        <f>IF('Statement of Marks'!DH56="","",'Statement of Marks'!DH56)</f>
        <v/>
      </c>
      <c r="J53" s="96" t="str">
        <f>IF('Statement of Marks'!DJ56="","",'Statement of Marks'!DJ56)</f>
        <v/>
      </c>
      <c r="K53" s="96" t="str">
        <f>IF('Statement of Marks'!DL56="","",'Statement of Marks'!DL56)</f>
        <v/>
      </c>
      <c r="L53" s="96" t="str">
        <f>IF('Statement of Marks'!DN56="","",'Statement of Marks'!DN56)</f>
        <v/>
      </c>
      <c r="M53" s="96" t="str">
        <f>IF('Statement of Marks'!DO56="","",'Statement of Marks'!DO56)</f>
        <v/>
      </c>
      <c r="N53" s="96" t="str">
        <f>IF('Statement of Marks'!DP56="","",'Statement of Marks'!DP56)</f>
        <v/>
      </c>
      <c r="O53" s="47" t="str">
        <f>IF('Statement of Marks'!BJ56="","",'Statement of Marks'!BJ56)</f>
        <v/>
      </c>
      <c r="P53" s="51" t="str">
        <f>IF('Statement of Marks'!BK56="","",'Statement of Marks'!BK56)</f>
        <v/>
      </c>
      <c r="Q53" s="50" t="str">
        <f>IF('Statement of Marks'!BI56="","",'Statement of Marks'!BI56)</f>
        <v/>
      </c>
      <c r="R53" s="51" t="str">
        <f>IF('Statement of Marks'!BL56="","",'Statement of Marks'!BL56)</f>
        <v/>
      </c>
    </row>
    <row r="54" spans="1:18" ht="30" customHeight="1" x14ac:dyDescent="0.2">
      <c r="A54" s="51" t="str">
        <f>IF('Statement of Marks'!A57="","",'Statement of Marks'!A57)</f>
        <v/>
      </c>
      <c r="B54" s="51" t="str">
        <f>IF('Statement of Marks'!B57="","",'Statement of Marks'!B57)</f>
        <v/>
      </c>
      <c r="C54" s="51" t="str">
        <f>IF('Statement of Marks'!C57="","",'Statement of Marks'!C57)</f>
        <v/>
      </c>
      <c r="D54" s="48" t="str">
        <f>IF('Statement of Marks'!D57="","",'Statement of Marks'!D57)</f>
        <v/>
      </c>
      <c r="E54" s="51" t="str">
        <f>IF('Statement of Marks'!G57="","",'Statement of Marks'!G57)</f>
        <v/>
      </c>
      <c r="F54" s="51" t="str">
        <f>IF('Statement of Marks'!I57="","",'Statement of Marks'!I57)</f>
        <v/>
      </c>
      <c r="G54" s="51" t="str">
        <f>IF('Statement of Marks'!DD57="","",'Statement of Marks'!DD57)</f>
        <v/>
      </c>
      <c r="H54" s="51" t="str">
        <f>IF('Statement of Marks'!DF57="","",'Statement of Marks'!DF57)</f>
        <v/>
      </c>
      <c r="I54" s="51" t="str">
        <f>IF('Statement of Marks'!DH57="","",'Statement of Marks'!DH57)</f>
        <v/>
      </c>
      <c r="J54" s="96" t="str">
        <f>IF('Statement of Marks'!DJ57="","",'Statement of Marks'!DJ57)</f>
        <v/>
      </c>
      <c r="K54" s="96" t="str">
        <f>IF('Statement of Marks'!DL57="","",'Statement of Marks'!DL57)</f>
        <v/>
      </c>
      <c r="L54" s="96" t="str">
        <f>IF('Statement of Marks'!DN57="","",'Statement of Marks'!DN57)</f>
        <v/>
      </c>
      <c r="M54" s="96" t="str">
        <f>IF('Statement of Marks'!DO57="","",'Statement of Marks'!DO57)</f>
        <v/>
      </c>
      <c r="N54" s="96" t="str">
        <f>IF('Statement of Marks'!DP57="","",'Statement of Marks'!DP57)</f>
        <v/>
      </c>
      <c r="O54" s="47" t="str">
        <f>IF('Statement of Marks'!BJ57="","",'Statement of Marks'!BJ57)</f>
        <v/>
      </c>
      <c r="P54" s="51" t="str">
        <f>IF('Statement of Marks'!BK57="","",'Statement of Marks'!BK57)</f>
        <v/>
      </c>
      <c r="Q54" s="50" t="str">
        <f>IF('Statement of Marks'!BI57="","",'Statement of Marks'!BI57)</f>
        <v/>
      </c>
      <c r="R54" s="51" t="str">
        <f>IF('Statement of Marks'!BL57="","",'Statement of Marks'!BL57)</f>
        <v/>
      </c>
    </row>
    <row r="55" spans="1:18" ht="30" customHeight="1" x14ac:dyDescent="0.2">
      <c r="A55" s="51" t="str">
        <f>IF('Statement of Marks'!A58="","",'Statement of Marks'!A58)</f>
        <v/>
      </c>
      <c r="B55" s="51" t="str">
        <f>IF('Statement of Marks'!B58="","",'Statement of Marks'!B58)</f>
        <v/>
      </c>
      <c r="C55" s="51" t="str">
        <f>IF('Statement of Marks'!C58="","",'Statement of Marks'!C58)</f>
        <v/>
      </c>
      <c r="D55" s="48" t="str">
        <f>IF('Statement of Marks'!D58="","",'Statement of Marks'!D58)</f>
        <v/>
      </c>
      <c r="E55" s="51" t="str">
        <f>IF('Statement of Marks'!G58="","",'Statement of Marks'!G58)</f>
        <v/>
      </c>
      <c r="F55" s="51" t="str">
        <f>IF('Statement of Marks'!I58="","",'Statement of Marks'!I58)</f>
        <v/>
      </c>
      <c r="G55" s="51" t="str">
        <f>IF('Statement of Marks'!DD58="","",'Statement of Marks'!DD58)</f>
        <v/>
      </c>
      <c r="H55" s="51" t="str">
        <f>IF('Statement of Marks'!DF58="","",'Statement of Marks'!DF58)</f>
        <v/>
      </c>
      <c r="I55" s="51" t="str">
        <f>IF('Statement of Marks'!DH58="","",'Statement of Marks'!DH58)</f>
        <v/>
      </c>
      <c r="J55" s="96" t="str">
        <f>IF('Statement of Marks'!DJ58="","",'Statement of Marks'!DJ58)</f>
        <v/>
      </c>
      <c r="K55" s="96" t="str">
        <f>IF('Statement of Marks'!DL58="","",'Statement of Marks'!DL58)</f>
        <v/>
      </c>
      <c r="L55" s="96" t="str">
        <f>IF('Statement of Marks'!DN58="","",'Statement of Marks'!DN58)</f>
        <v/>
      </c>
      <c r="M55" s="96" t="str">
        <f>IF('Statement of Marks'!DO58="","",'Statement of Marks'!DO58)</f>
        <v/>
      </c>
      <c r="N55" s="96" t="str">
        <f>IF('Statement of Marks'!DP58="","",'Statement of Marks'!DP58)</f>
        <v/>
      </c>
      <c r="O55" s="47" t="str">
        <f>IF('Statement of Marks'!BJ58="","",'Statement of Marks'!BJ58)</f>
        <v/>
      </c>
      <c r="P55" s="51" t="str">
        <f>IF('Statement of Marks'!BK58="","",'Statement of Marks'!BK58)</f>
        <v/>
      </c>
      <c r="Q55" s="50" t="str">
        <f>IF('Statement of Marks'!BI58="","",'Statement of Marks'!BI58)</f>
        <v/>
      </c>
      <c r="R55" s="51" t="str">
        <f>IF('Statement of Marks'!BL58="","",'Statement of Marks'!BL58)</f>
        <v/>
      </c>
    </row>
    <row r="56" spans="1:18" ht="30" customHeight="1" x14ac:dyDescent="0.2">
      <c r="A56" s="51" t="str">
        <f>IF('Statement of Marks'!A59="","",'Statement of Marks'!A59)</f>
        <v/>
      </c>
      <c r="B56" s="51" t="str">
        <f>IF('Statement of Marks'!B59="","",'Statement of Marks'!B59)</f>
        <v/>
      </c>
      <c r="C56" s="51" t="str">
        <f>IF('Statement of Marks'!C59="","",'Statement of Marks'!C59)</f>
        <v/>
      </c>
      <c r="D56" s="48" t="str">
        <f>IF('Statement of Marks'!D59="","",'Statement of Marks'!D59)</f>
        <v/>
      </c>
      <c r="E56" s="51" t="str">
        <f>IF('Statement of Marks'!G59="","",'Statement of Marks'!G59)</f>
        <v/>
      </c>
      <c r="F56" s="51" t="str">
        <f>IF('Statement of Marks'!I59="","",'Statement of Marks'!I59)</f>
        <v/>
      </c>
      <c r="G56" s="51" t="str">
        <f>IF('Statement of Marks'!DD59="","",'Statement of Marks'!DD59)</f>
        <v/>
      </c>
      <c r="H56" s="51" t="str">
        <f>IF('Statement of Marks'!DF59="","",'Statement of Marks'!DF59)</f>
        <v/>
      </c>
      <c r="I56" s="51" t="str">
        <f>IF('Statement of Marks'!DH59="","",'Statement of Marks'!DH59)</f>
        <v/>
      </c>
      <c r="J56" s="96" t="str">
        <f>IF('Statement of Marks'!DJ59="","",'Statement of Marks'!DJ59)</f>
        <v/>
      </c>
      <c r="K56" s="96" t="str">
        <f>IF('Statement of Marks'!DL59="","",'Statement of Marks'!DL59)</f>
        <v/>
      </c>
      <c r="L56" s="96" t="str">
        <f>IF('Statement of Marks'!DN59="","",'Statement of Marks'!DN59)</f>
        <v/>
      </c>
      <c r="M56" s="96" t="str">
        <f>IF('Statement of Marks'!DO59="","",'Statement of Marks'!DO59)</f>
        <v/>
      </c>
      <c r="N56" s="96" t="str">
        <f>IF('Statement of Marks'!DP59="","",'Statement of Marks'!DP59)</f>
        <v/>
      </c>
      <c r="O56" s="47" t="str">
        <f>IF('Statement of Marks'!BJ59="","",'Statement of Marks'!BJ59)</f>
        <v/>
      </c>
      <c r="P56" s="51" t="str">
        <f>IF('Statement of Marks'!BK59="","",'Statement of Marks'!BK59)</f>
        <v/>
      </c>
      <c r="Q56" s="50" t="str">
        <f>IF('Statement of Marks'!BI59="","",'Statement of Marks'!BI59)</f>
        <v/>
      </c>
      <c r="R56" s="51" t="str">
        <f>IF('Statement of Marks'!BL59="","",'Statement of Marks'!BL59)</f>
        <v/>
      </c>
    </row>
    <row r="57" spans="1:18" ht="30" customHeight="1" x14ac:dyDescent="0.2">
      <c r="A57" s="51" t="str">
        <f>IF('Statement of Marks'!A60="","",'Statement of Marks'!A60)</f>
        <v/>
      </c>
      <c r="B57" s="51" t="str">
        <f>IF('Statement of Marks'!B60="","",'Statement of Marks'!B60)</f>
        <v/>
      </c>
      <c r="C57" s="51" t="str">
        <f>IF('Statement of Marks'!C60="","",'Statement of Marks'!C60)</f>
        <v/>
      </c>
      <c r="D57" s="48" t="str">
        <f>IF('Statement of Marks'!D60="","",'Statement of Marks'!D60)</f>
        <v/>
      </c>
      <c r="E57" s="51" t="str">
        <f>IF('Statement of Marks'!G60="","",'Statement of Marks'!G60)</f>
        <v/>
      </c>
      <c r="F57" s="51" t="str">
        <f>IF('Statement of Marks'!I60="","",'Statement of Marks'!I60)</f>
        <v/>
      </c>
      <c r="G57" s="51" t="str">
        <f>IF('Statement of Marks'!DD60="","",'Statement of Marks'!DD60)</f>
        <v/>
      </c>
      <c r="H57" s="51" t="str">
        <f>IF('Statement of Marks'!DF60="","",'Statement of Marks'!DF60)</f>
        <v/>
      </c>
      <c r="I57" s="51" t="str">
        <f>IF('Statement of Marks'!DH60="","",'Statement of Marks'!DH60)</f>
        <v/>
      </c>
      <c r="J57" s="96" t="str">
        <f>IF('Statement of Marks'!DJ60="","",'Statement of Marks'!DJ60)</f>
        <v/>
      </c>
      <c r="K57" s="96" t="str">
        <f>IF('Statement of Marks'!DL60="","",'Statement of Marks'!DL60)</f>
        <v/>
      </c>
      <c r="L57" s="96" t="str">
        <f>IF('Statement of Marks'!DN60="","",'Statement of Marks'!DN60)</f>
        <v/>
      </c>
      <c r="M57" s="96" t="str">
        <f>IF('Statement of Marks'!DO60="","",'Statement of Marks'!DO60)</f>
        <v/>
      </c>
      <c r="N57" s="96" t="str">
        <f>IF('Statement of Marks'!DP60="","",'Statement of Marks'!DP60)</f>
        <v/>
      </c>
      <c r="O57" s="47" t="str">
        <f>IF('Statement of Marks'!BJ60="","",'Statement of Marks'!BJ60)</f>
        <v/>
      </c>
      <c r="P57" s="51" t="str">
        <f>IF('Statement of Marks'!BK60="","",'Statement of Marks'!BK60)</f>
        <v/>
      </c>
      <c r="Q57" s="50" t="str">
        <f>IF('Statement of Marks'!BI60="","",'Statement of Marks'!BI60)</f>
        <v/>
      </c>
      <c r="R57" s="51" t="str">
        <f>IF('Statement of Marks'!BL60="","",'Statement of Marks'!BL60)</f>
        <v/>
      </c>
    </row>
    <row r="58" spans="1:18" ht="30" customHeight="1" x14ac:dyDescent="0.2">
      <c r="A58" s="51" t="str">
        <f>IF('Statement of Marks'!A61="","",'Statement of Marks'!A61)</f>
        <v/>
      </c>
      <c r="B58" s="51" t="str">
        <f>IF('Statement of Marks'!B61="","",'Statement of Marks'!B61)</f>
        <v/>
      </c>
      <c r="C58" s="51" t="str">
        <f>IF('Statement of Marks'!C61="","",'Statement of Marks'!C61)</f>
        <v/>
      </c>
      <c r="D58" s="48" t="str">
        <f>IF('Statement of Marks'!D61="","",'Statement of Marks'!D61)</f>
        <v/>
      </c>
      <c r="E58" s="51" t="str">
        <f>IF('Statement of Marks'!G61="","",'Statement of Marks'!G61)</f>
        <v/>
      </c>
      <c r="F58" s="51" t="str">
        <f>IF('Statement of Marks'!I61="","",'Statement of Marks'!I61)</f>
        <v/>
      </c>
      <c r="G58" s="51" t="str">
        <f>IF('Statement of Marks'!DD61="","",'Statement of Marks'!DD61)</f>
        <v/>
      </c>
      <c r="H58" s="51" t="str">
        <f>IF('Statement of Marks'!DF61="","",'Statement of Marks'!DF61)</f>
        <v/>
      </c>
      <c r="I58" s="51" t="str">
        <f>IF('Statement of Marks'!DH61="","",'Statement of Marks'!DH61)</f>
        <v/>
      </c>
      <c r="J58" s="96" t="str">
        <f>IF('Statement of Marks'!DJ61="","",'Statement of Marks'!DJ61)</f>
        <v/>
      </c>
      <c r="K58" s="96" t="str">
        <f>IF('Statement of Marks'!DL61="","",'Statement of Marks'!DL61)</f>
        <v/>
      </c>
      <c r="L58" s="96" t="str">
        <f>IF('Statement of Marks'!DN61="","",'Statement of Marks'!DN61)</f>
        <v/>
      </c>
      <c r="M58" s="96" t="str">
        <f>IF('Statement of Marks'!DO61="","",'Statement of Marks'!DO61)</f>
        <v/>
      </c>
      <c r="N58" s="96" t="str">
        <f>IF('Statement of Marks'!DP61="","",'Statement of Marks'!DP61)</f>
        <v/>
      </c>
      <c r="O58" s="47" t="str">
        <f>IF('Statement of Marks'!BJ61="","",'Statement of Marks'!BJ61)</f>
        <v/>
      </c>
      <c r="P58" s="51" t="str">
        <f>IF('Statement of Marks'!BK61="","",'Statement of Marks'!BK61)</f>
        <v/>
      </c>
      <c r="Q58" s="50" t="str">
        <f>IF('Statement of Marks'!BI61="","",'Statement of Marks'!BI61)</f>
        <v/>
      </c>
      <c r="R58" s="51" t="str">
        <f>IF('Statement of Marks'!BL61="","",'Statement of Marks'!BL61)</f>
        <v/>
      </c>
    </row>
    <row r="59" spans="1:18" ht="30" customHeight="1" x14ac:dyDescent="0.2">
      <c r="A59" s="51" t="str">
        <f>IF('Statement of Marks'!A62="","",'Statement of Marks'!A62)</f>
        <v/>
      </c>
      <c r="B59" s="51" t="str">
        <f>IF('Statement of Marks'!B62="","",'Statement of Marks'!B62)</f>
        <v/>
      </c>
      <c r="C59" s="51" t="str">
        <f>IF('Statement of Marks'!C62="","",'Statement of Marks'!C62)</f>
        <v/>
      </c>
      <c r="D59" s="48" t="str">
        <f>IF('Statement of Marks'!D62="","",'Statement of Marks'!D62)</f>
        <v/>
      </c>
      <c r="E59" s="51" t="str">
        <f>IF('Statement of Marks'!G62="","",'Statement of Marks'!G62)</f>
        <v/>
      </c>
      <c r="F59" s="51" t="str">
        <f>IF('Statement of Marks'!I62="","",'Statement of Marks'!I62)</f>
        <v/>
      </c>
      <c r="G59" s="51" t="str">
        <f>IF('Statement of Marks'!DD62="","",'Statement of Marks'!DD62)</f>
        <v/>
      </c>
      <c r="H59" s="51" t="str">
        <f>IF('Statement of Marks'!DF62="","",'Statement of Marks'!DF62)</f>
        <v/>
      </c>
      <c r="I59" s="51" t="str">
        <f>IF('Statement of Marks'!DH62="","",'Statement of Marks'!DH62)</f>
        <v/>
      </c>
      <c r="J59" s="96" t="str">
        <f>IF('Statement of Marks'!DJ62="","",'Statement of Marks'!DJ62)</f>
        <v/>
      </c>
      <c r="K59" s="96" t="str">
        <f>IF('Statement of Marks'!DL62="","",'Statement of Marks'!DL62)</f>
        <v/>
      </c>
      <c r="L59" s="96" t="str">
        <f>IF('Statement of Marks'!DN62="","",'Statement of Marks'!DN62)</f>
        <v/>
      </c>
      <c r="M59" s="96" t="str">
        <f>IF('Statement of Marks'!DO62="","",'Statement of Marks'!DO62)</f>
        <v/>
      </c>
      <c r="N59" s="96" t="str">
        <f>IF('Statement of Marks'!DP62="","",'Statement of Marks'!DP62)</f>
        <v/>
      </c>
      <c r="O59" s="47" t="str">
        <f>IF('Statement of Marks'!BJ62="","",'Statement of Marks'!BJ62)</f>
        <v/>
      </c>
      <c r="P59" s="51" t="str">
        <f>IF('Statement of Marks'!BK62="","",'Statement of Marks'!BK62)</f>
        <v/>
      </c>
      <c r="Q59" s="50" t="str">
        <f>IF('Statement of Marks'!BI62="","",'Statement of Marks'!BI62)</f>
        <v/>
      </c>
      <c r="R59" s="51" t="str">
        <f>IF('Statement of Marks'!BL62="","",'Statement of Marks'!BL62)</f>
        <v/>
      </c>
    </row>
    <row r="60" spans="1:18" ht="30" customHeight="1" x14ac:dyDescent="0.2">
      <c r="A60" s="51" t="str">
        <f>IF('Statement of Marks'!A63="","",'Statement of Marks'!A63)</f>
        <v/>
      </c>
      <c r="B60" s="51" t="str">
        <f>IF('Statement of Marks'!B63="","",'Statement of Marks'!B63)</f>
        <v/>
      </c>
      <c r="C60" s="51" t="str">
        <f>IF('Statement of Marks'!C63="","",'Statement of Marks'!C63)</f>
        <v/>
      </c>
      <c r="D60" s="48" t="str">
        <f>IF('Statement of Marks'!D63="","",'Statement of Marks'!D63)</f>
        <v/>
      </c>
      <c r="E60" s="51" t="str">
        <f>IF('Statement of Marks'!G63="","",'Statement of Marks'!G63)</f>
        <v/>
      </c>
      <c r="F60" s="51" t="str">
        <f>IF('Statement of Marks'!I63="","",'Statement of Marks'!I63)</f>
        <v/>
      </c>
      <c r="G60" s="51" t="str">
        <f>IF('Statement of Marks'!DD63="","",'Statement of Marks'!DD63)</f>
        <v/>
      </c>
      <c r="H60" s="51" t="str">
        <f>IF('Statement of Marks'!DF63="","",'Statement of Marks'!DF63)</f>
        <v/>
      </c>
      <c r="I60" s="51" t="str">
        <f>IF('Statement of Marks'!DH63="","",'Statement of Marks'!DH63)</f>
        <v/>
      </c>
      <c r="J60" s="96" t="str">
        <f>IF('Statement of Marks'!DJ63="","",'Statement of Marks'!DJ63)</f>
        <v/>
      </c>
      <c r="K60" s="96" t="str">
        <f>IF('Statement of Marks'!DL63="","",'Statement of Marks'!DL63)</f>
        <v/>
      </c>
      <c r="L60" s="96" t="str">
        <f>IF('Statement of Marks'!DN63="","",'Statement of Marks'!DN63)</f>
        <v/>
      </c>
      <c r="M60" s="96" t="str">
        <f>IF('Statement of Marks'!DO63="","",'Statement of Marks'!DO63)</f>
        <v/>
      </c>
      <c r="N60" s="96" t="str">
        <f>IF('Statement of Marks'!DP63="","",'Statement of Marks'!DP63)</f>
        <v/>
      </c>
      <c r="O60" s="47" t="str">
        <f>IF('Statement of Marks'!BJ63="","",'Statement of Marks'!BJ63)</f>
        <v/>
      </c>
      <c r="P60" s="51" t="str">
        <f>IF('Statement of Marks'!BK63="","",'Statement of Marks'!BK63)</f>
        <v/>
      </c>
      <c r="Q60" s="50" t="str">
        <f>IF('Statement of Marks'!BI63="","",'Statement of Marks'!BI63)</f>
        <v/>
      </c>
      <c r="R60" s="51" t="str">
        <f>IF('Statement of Marks'!BL63="","",'Statement of Marks'!BL63)</f>
        <v/>
      </c>
    </row>
    <row r="61" spans="1:18" ht="30" customHeight="1" x14ac:dyDescent="0.2">
      <c r="A61" s="51" t="str">
        <f>IF('Statement of Marks'!A64="","",'Statement of Marks'!A64)</f>
        <v/>
      </c>
      <c r="B61" s="51" t="str">
        <f>IF('Statement of Marks'!B64="","",'Statement of Marks'!B64)</f>
        <v/>
      </c>
      <c r="C61" s="51" t="str">
        <f>IF('Statement of Marks'!C64="","",'Statement of Marks'!C64)</f>
        <v/>
      </c>
      <c r="D61" s="48" t="str">
        <f>IF('Statement of Marks'!D64="","",'Statement of Marks'!D64)</f>
        <v/>
      </c>
      <c r="E61" s="51" t="str">
        <f>IF('Statement of Marks'!G64="","",'Statement of Marks'!G64)</f>
        <v/>
      </c>
      <c r="F61" s="51" t="str">
        <f>IF('Statement of Marks'!I64="","",'Statement of Marks'!I64)</f>
        <v/>
      </c>
      <c r="G61" s="51" t="str">
        <f>IF('Statement of Marks'!DD64="","",'Statement of Marks'!DD64)</f>
        <v/>
      </c>
      <c r="H61" s="51" t="str">
        <f>IF('Statement of Marks'!DF64="","",'Statement of Marks'!DF64)</f>
        <v/>
      </c>
      <c r="I61" s="51" t="str">
        <f>IF('Statement of Marks'!DH64="","",'Statement of Marks'!DH64)</f>
        <v/>
      </c>
      <c r="J61" s="96" t="str">
        <f>IF('Statement of Marks'!DJ64="","",'Statement of Marks'!DJ64)</f>
        <v/>
      </c>
      <c r="K61" s="96" t="str">
        <f>IF('Statement of Marks'!DL64="","",'Statement of Marks'!DL64)</f>
        <v/>
      </c>
      <c r="L61" s="96" t="str">
        <f>IF('Statement of Marks'!DN64="","",'Statement of Marks'!DN64)</f>
        <v/>
      </c>
      <c r="M61" s="96" t="str">
        <f>IF('Statement of Marks'!DO64="","",'Statement of Marks'!DO64)</f>
        <v/>
      </c>
      <c r="N61" s="96" t="str">
        <f>IF('Statement of Marks'!DP64="","",'Statement of Marks'!DP64)</f>
        <v/>
      </c>
      <c r="O61" s="47" t="str">
        <f>IF('Statement of Marks'!BJ64="","",'Statement of Marks'!BJ64)</f>
        <v/>
      </c>
      <c r="P61" s="51" t="str">
        <f>IF('Statement of Marks'!BK64="","",'Statement of Marks'!BK64)</f>
        <v/>
      </c>
      <c r="Q61" s="50" t="str">
        <f>IF('Statement of Marks'!BI64="","",'Statement of Marks'!BI64)</f>
        <v/>
      </c>
      <c r="R61" s="51" t="str">
        <f>IF('Statement of Marks'!BL64="","",'Statement of Marks'!BL64)</f>
        <v/>
      </c>
    </row>
    <row r="62" spans="1:18" ht="30" customHeight="1" x14ac:dyDescent="0.2">
      <c r="A62" s="51" t="str">
        <f>IF('Statement of Marks'!A65="","",'Statement of Marks'!A65)</f>
        <v/>
      </c>
      <c r="B62" s="51" t="str">
        <f>IF('Statement of Marks'!B65="","",'Statement of Marks'!B65)</f>
        <v/>
      </c>
      <c r="C62" s="51" t="str">
        <f>IF('Statement of Marks'!C65="","",'Statement of Marks'!C65)</f>
        <v/>
      </c>
      <c r="D62" s="48" t="str">
        <f>IF('Statement of Marks'!D65="","",'Statement of Marks'!D65)</f>
        <v/>
      </c>
      <c r="E62" s="51" t="str">
        <f>IF('Statement of Marks'!G65="","",'Statement of Marks'!G65)</f>
        <v/>
      </c>
      <c r="F62" s="51" t="str">
        <f>IF('Statement of Marks'!I65="","",'Statement of Marks'!I65)</f>
        <v/>
      </c>
      <c r="G62" s="51" t="str">
        <f>IF('Statement of Marks'!DD65="","",'Statement of Marks'!DD65)</f>
        <v/>
      </c>
      <c r="H62" s="51" t="str">
        <f>IF('Statement of Marks'!DF65="","",'Statement of Marks'!DF65)</f>
        <v/>
      </c>
      <c r="I62" s="51" t="str">
        <f>IF('Statement of Marks'!DH65="","",'Statement of Marks'!DH65)</f>
        <v/>
      </c>
      <c r="J62" s="96" t="str">
        <f>IF('Statement of Marks'!DJ65="","",'Statement of Marks'!DJ65)</f>
        <v/>
      </c>
      <c r="K62" s="96" t="str">
        <f>IF('Statement of Marks'!DL65="","",'Statement of Marks'!DL65)</f>
        <v/>
      </c>
      <c r="L62" s="96" t="str">
        <f>IF('Statement of Marks'!DN65="","",'Statement of Marks'!DN65)</f>
        <v/>
      </c>
      <c r="M62" s="96" t="str">
        <f>IF('Statement of Marks'!DO65="","",'Statement of Marks'!DO65)</f>
        <v/>
      </c>
      <c r="N62" s="96" t="str">
        <f>IF('Statement of Marks'!DP65="","",'Statement of Marks'!DP65)</f>
        <v/>
      </c>
      <c r="O62" s="47" t="str">
        <f>IF('Statement of Marks'!BJ65="","",'Statement of Marks'!BJ65)</f>
        <v/>
      </c>
      <c r="P62" s="51" t="str">
        <f>IF('Statement of Marks'!BK65="","",'Statement of Marks'!BK65)</f>
        <v/>
      </c>
      <c r="Q62" s="50" t="str">
        <f>IF('Statement of Marks'!BI65="","",'Statement of Marks'!BI65)</f>
        <v/>
      </c>
      <c r="R62" s="51" t="str">
        <f>IF('Statement of Marks'!BL65="","",'Statement of Marks'!BL65)</f>
        <v/>
      </c>
    </row>
    <row r="63" spans="1:18" ht="30" customHeight="1" x14ac:dyDescent="0.2">
      <c r="A63" s="51" t="str">
        <f>IF('Statement of Marks'!A66="","",'Statement of Marks'!A66)</f>
        <v/>
      </c>
      <c r="B63" s="51" t="str">
        <f>IF('Statement of Marks'!B66="","",'Statement of Marks'!B66)</f>
        <v/>
      </c>
      <c r="C63" s="51" t="str">
        <f>IF('Statement of Marks'!C66="","",'Statement of Marks'!C66)</f>
        <v/>
      </c>
      <c r="D63" s="48" t="str">
        <f>IF('Statement of Marks'!D66="","",'Statement of Marks'!D66)</f>
        <v/>
      </c>
      <c r="E63" s="51" t="str">
        <f>IF('Statement of Marks'!G66="","",'Statement of Marks'!G66)</f>
        <v/>
      </c>
      <c r="F63" s="51" t="str">
        <f>IF('Statement of Marks'!I66="","",'Statement of Marks'!I66)</f>
        <v/>
      </c>
      <c r="G63" s="51" t="str">
        <f>IF('Statement of Marks'!DD66="","",'Statement of Marks'!DD66)</f>
        <v/>
      </c>
      <c r="H63" s="51" t="str">
        <f>IF('Statement of Marks'!DF66="","",'Statement of Marks'!DF66)</f>
        <v/>
      </c>
      <c r="I63" s="51" t="str">
        <f>IF('Statement of Marks'!DH66="","",'Statement of Marks'!DH66)</f>
        <v/>
      </c>
      <c r="J63" s="96" t="str">
        <f>IF('Statement of Marks'!DJ66="","",'Statement of Marks'!DJ66)</f>
        <v/>
      </c>
      <c r="K63" s="96" t="str">
        <f>IF('Statement of Marks'!DL66="","",'Statement of Marks'!DL66)</f>
        <v/>
      </c>
      <c r="L63" s="96" t="str">
        <f>IF('Statement of Marks'!DN66="","",'Statement of Marks'!DN66)</f>
        <v/>
      </c>
      <c r="M63" s="96" t="str">
        <f>IF('Statement of Marks'!DO66="","",'Statement of Marks'!DO66)</f>
        <v/>
      </c>
      <c r="N63" s="96" t="str">
        <f>IF('Statement of Marks'!DP66="","",'Statement of Marks'!DP66)</f>
        <v/>
      </c>
      <c r="O63" s="47" t="str">
        <f>IF('Statement of Marks'!BJ66="","",'Statement of Marks'!BJ66)</f>
        <v/>
      </c>
      <c r="P63" s="51" t="str">
        <f>IF('Statement of Marks'!BK66="","",'Statement of Marks'!BK66)</f>
        <v/>
      </c>
      <c r="Q63" s="50" t="str">
        <f>IF('Statement of Marks'!BI66="","",'Statement of Marks'!BI66)</f>
        <v/>
      </c>
      <c r="R63" s="51" t="str">
        <f>IF('Statement of Marks'!BL66="","",'Statement of Marks'!BL66)</f>
        <v/>
      </c>
    </row>
    <row r="64" spans="1:18" ht="30" customHeight="1" x14ac:dyDescent="0.2">
      <c r="A64" s="51" t="str">
        <f>IF('Statement of Marks'!A67="","",'Statement of Marks'!A67)</f>
        <v/>
      </c>
      <c r="B64" s="51" t="str">
        <f>IF('Statement of Marks'!B67="","",'Statement of Marks'!B67)</f>
        <v/>
      </c>
      <c r="C64" s="51" t="str">
        <f>IF('Statement of Marks'!C67="","",'Statement of Marks'!C67)</f>
        <v/>
      </c>
      <c r="D64" s="48" t="str">
        <f>IF('Statement of Marks'!D67="","",'Statement of Marks'!D67)</f>
        <v/>
      </c>
      <c r="E64" s="51" t="str">
        <f>IF('Statement of Marks'!G67="","",'Statement of Marks'!G67)</f>
        <v/>
      </c>
      <c r="F64" s="51" t="str">
        <f>IF('Statement of Marks'!I67="","",'Statement of Marks'!I67)</f>
        <v/>
      </c>
      <c r="G64" s="51" t="str">
        <f>IF('Statement of Marks'!DD67="","",'Statement of Marks'!DD67)</f>
        <v/>
      </c>
      <c r="H64" s="51" t="str">
        <f>IF('Statement of Marks'!DF67="","",'Statement of Marks'!DF67)</f>
        <v/>
      </c>
      <c r="I64" s="51" t="str">
        <f>IF('Statement of Marks'!DH67="","",'Statement of Marks'!DH67)</f>
        <v/>
      </c>
      <c r="J64" s="96" t="str">
        <f>IF('Statement of Marks'!DJ67="","",'Statement of Marks'!DJ67)</f>
        <v/>
      </c>
      <c r="K64" s="96" t="str">
        <f>IF('Statement of Marks'!DL67="","",'Statement of Marks'!DL67)</f>
        <v/>
      </c>
      <c r="L64" s="96" t="str">
        <f>IF('Statement of Marks'!DN67="","",'Statement of Marks'!DN67)</f>
        <v/>
      </c>
      <c r="M64" s="96" t="str">
        <f>IF('Statement of Marks'!DO67="","",'Statement of Marks'!DO67)</f>
        <v/>
      </c>
      <c r="N64" s="96" t="str">
        <f>IF('Statement of Marks'!DP67="","",'Statement of Marks'!DP67)</f>
        <v/>
      </c>
      <c r="O64" s="47" t="str">
        <f>IF('Statement of Marks'!BJ67="","",'Statement of Marks'!BJ67)</f>
        <v/>
      </c>
      <c r="P64" s="51" t="str">
        <f>IF('Statement of Marks'!BK67="","",'Statement of Marks'!BK67)</f>
        <v/>
      </c>
      <c r="Q64" s="50" t="str">
        <f>IF('Statement of Marks'!BI67="","",'Statement of Marks'!BI67)</f>
        <v/>
      </c>
      <c r="R64" s="51" t="str">
        <f>IF('Statement of Marks'!BL67="","",'Statement of Marks'!BL67)</f>
        <v/>
      </c>
    </row>
    <row r="65" spans="1:18" ht="30" customHeight="1" x14ac:dyDescent="0.2">
      <c r="A65" s="51" t="str">
        <f>IF('Statement of Marks'!A68="","",'Statement of Marks'!A68)</f>
        <v/>
      </c>
      <c r="B65" s="51" t="str">
        <f>IF('Statement of Marks'!B68="","",'Statement of Marks'!B68)</f>
        <v/>
      </c>
      <c r="C65" s="51" t="str">
        <f>IF('Statement of Marks'!C68="","",'Statement of Marks'!C68)</f>
        <v/>
      </c>
      <c r="D65" s="48" t="str">
        <f>IF('Statement of Marks'!D68="","",'Statement of Marks'!D68)</f>
        <v/>
      </c>
      <c r="E65" s="51" t="str">
        <f>IF('Statement of Marks'!G68="","",'Statement of Marks'!G68)</f>
        <v/>
      </c>
      <c r="F65" s="51" t="str">
        <f>IF('Statement of Marks'!I68="","",'Statement of Marks'!I68)</f>
        <v/>
      </c>
      <c r="G65" s="51" t="str">
        <f>IF('Statement of Marks'!DD68="","",'Statement of Marks'!DD68)</f>
        <v/>
      </c>
      <c r="H65" s="51" t="str">
        <f>IF('Statement of Marks'!DF68="","",'Statement of Marks'!DF68)</f>
        <v/>
      </c>
      <c r="I65" s="51" t="str">
        <f>IF('Statement of Marks'!DH68="","",'Statement of Marks'!DH68)</f>
        <v/>
      </c>
      <c r="J65" s="96" t="str">
        <f>IF('Statement of Marks'!DJ68="","",'Statement of Marks'!DJ68)</f>
        <v/>
      </c>
      <c r="K65" s="96" t="str">
        <f>IF('Statement of Marks'!DL68="","",'Statement of Marks'!DL68)</f>
        <v/>
      </c>
      <c r="L65" s="96" t="str">
        <f>IF('Statement of Marks'!DN68="","",'Statement of Marks'!DN68)</f>
        <v/>
      </c>
      <c r="M65" s="96" t="str">
        <f>IF('Statement of Marks'!DO68="","",'Statement of Marks'!DO68)</f>
        <v/>
      </c>
      <c r="N65" s="96" t="str">
        <f>IF('Statement of Marks'!DP68="","",'Statement of Marks'!DP68)</f>
        <v/>
      </c>
      <c r="O65" s="47" t="str">
        <f>IF('Statement of Marks'!BJ68="","",'Statement of Marks'!BJ68)</f>
        <v/>
      </c>
      <c r="P65" s="51" t="str">
        <f>IF('Statement of Marks'!BK68="","",'Statement of Marks'!BK68)</f>
        <v/>
      </c>
      <c r="Q65" s="50" t="str">
        <f>IF('Statement of Marks'!BI68="","",'Statement of Marks'!BI68)</f>
        <v/>
      </c>
      <c r="R65" s="51" t="str">
        <f>IF('Statement of Marks'!BL68="","",'Statement of Marks'!BL68)</f>
        <v/>
      </c>
    </row>
    <row r="66" spans="1:18" ht="30" customHeight="1" x14ac:dyDescent="0.2">
      <c r="A66" s="51" t="str">
        <f>IF('Statement of Marks'!A69="","",'Statement of Marks'!A69)</f>
        <v/>
      </c>
      <c r="B66" s="51" t="str">
        <f>IF('Statement of Marks'!B69="","",'Statement of Marks'!B69)</f>
        <v/>
      </c>
      <c r="C66" s="51" t="str">
        <f>IF('Statement of Marks'!C69="","",'Statement of Marks'!C69)</f>
        <v/>
      </c>
      <c r="D66" s="48" t="str">
        <f>IF('Statement of Marks'!D69="","",'Statement of Marks'!D69)</f>
        <v/>
      </c>
      <c r="E66" s="51" t="str">
        <f>IF('Statement of Marks'!G69="","",'Statement of Marks'!G69)</f>
        <v/>
      </c>
      <c r="F66" s="51" t="str">
        <f>IF('Statement of Marks'!I69="","",'Statement of Marks'!I69)</f>
        <v/>
      </c>
      <c r="G66" s="51" t="str">
        <f>IF('Statement of Marks'!DD69="","",'Statement of Marks'!DD69)</f>
        <v/>
      </c>
      <c r="H66" s="51" t="str">
        <f>IF('Statement of Marks'!DF69="","",'Statement of Marks'!DF69)</f>
        <v/>
      </c>
      <c r="I66" s="51" t="str">
        <f>IF('Statement of Marks'!DH69="","",'Statement of Marks'!DH69)</f>
        <v/>
      </c>
      <c r="J66" s="96" t="str">
        <f>IF('Statement of Marks'!DJ69="","",'Statement of Marks'!DJ69)</f>
        <v/>
      </c>
      <c r="K66" s="96" t="str">
        <f>IF('Statement of Marks'!DL69="","",'Statement of Marks'!DL69)</f>
        <v/>
      </c>
      <c r="L66" s="96" t="str">
        <f>IF('Statement of Marks'!DN69="","",'Statement of Marks'!DN69)</f>
        <v/>
      </c>
      <c r="M66" s="96" t="str">
        <f>IF('Statement of Marks'!DO69="","",'Statement of Marks'!DO69)</f>
        <v/>
      </c>
      <c r="N66" s="96" t="str">
        <f>IF('Statement of Marks'!DP69="","",'Statement of Marks'!DP69)</f>
        <v/>
      </c>
      <c r="O66" s="47" t="str">
        <f>IF('Statement of Marks'!BJ69="","",'Statement of Marks'!BJ69)</f>
        <v/>
      </c>
      <c r="P66" s="51" t="str">
        <f>IF('Statement of Marks'!BK69="","",'Statement of Marks'!BK69)</f>
        <v/>
      </c>
      <c r="Q66" s="50" t="str">
        <f>IF('Statement of Marks'!BI69="","",'Statement of Marks'!BI69)</f>
        <v/>
      </c>
      <c r="R66" s="51" t="str">
        <f>IF('Statement of Marks'!BL69="","",'Statement of Marks'!BL69)</f>
        <v/>
      </c>
    </row>
    <row r="67" spans="1:18" ht="30" customHeight="1" x14ac:dyDescent="0.2">
      <c r="A67" s="51" t="str">
        <f>IF('Statement of Marks'!A70="","",'Statement of Marks'!A70)</f>
        <v/>
      </c>
      <c r="B67" s="51" t="str">
        <f>IF('Statement of Marks'!B70="","",'Statement of Marks'!B70)</f>
        <v/>
      </c>
      <c r="C67" s="51" t="str">
        <f>IF('Statement of Marks'!C70="","",'Statement of Marks'!C70)</f>
        <v/>
      </c>
      <c r="D67" s="48" t="str">
        <f>IF('Statement of Marks'!D70="","",'Statement of Marks'!D70)</f>
        <v/>
      </c>
      <c r="E67" s="51" t="str">
        <f>IF('Statement of Marks'!G70="","",'Statement of Marks'!G70)</f>
        <v/>
      </c>
      <c r="F67" s="51" t="str">
        <f>IF('Statement of Marks'!I70="","",'Statement of Marks'!I70)</f>
        <v/>
      </c>
      <c r="G67" s="51" t="str">
        <f>IF('Statement of Marks'!DD70="","",'Statement of Marks'!DD70)</f>
        <v/>
      </c>
      <c r="H67" s="51" t="str">
        <f>IF('Statement of Marks'!DF70="","",'Statement of Marks'!DF70)</f>
        <v/>
      </c>
      <c r="I67" s="51" t="str">
        <f>IF('Statement of Marks'!DH70="","",'Statement of Marks'!DH70)</f>
        <v/>
      </c>
      <c r="J67" s="96" t="str">
        <f>IF('Statement of Marks'!DJ70="","",'Statement of Marks'!DJ70)</f>
        <v/>
      </c>
      <c r="K67" s="96" t="str">
        <f>IF('Statement of Marks'!DL70="","",'Statement of Marks'!DL70)</f>
        <v/>
      </c>
      <c r="L67" s="96" t="str">
        <f>IF('Statement of Marks'!DN70="","",'Statement of Marks'!DN70)</f>
        <v/>
      </c>
      <c r="M67" s="96" t="str">
        <f>IF('Statement of Marks'!DO70="","",'Statement of Marks'!DO70)</f>
        <v/>
      </c>
      <c r="N67" s="96" t="str">
        <f>IF('Statement of Marks'!DP70="","",'Statement of Marks'!DP70)</f>
        <v/>
      </c>
      <c r="O67" s="47" t="str">
        <f>IF('Statement of Marks'!BJ70="","",'Statement of Marks'!BJ70)</f>
        <v/>
      </c>
      <c r="P67" s="51" t="str">
        <f>IF('Statement of Marks'!BK70="","",'Statement of Marks'!BK70)</f>
        <v/>
      </c>
      <c r="Q67" s="50" t="str">
        <f>IF('Statement of Marks'!BI70="","",'Statement of Marks'!BI70)</f>
        <v/>
      </c>
      <c r="R67" s="51" t="str">
        <f>IF('Statement of Marks'!BL70="","",'Statement of Marks'!BL70)</f>
        <v/>
      </c>
    </row>
    <row r="68" spans="1:18" ht="30" customHeight="1" x14ac:dyDescent="0.2">
      <c r="A68" s="51" t="str">
        <f>IF('Statement of Marks'!A71="","",'Statement of Marks'!A71)</f>
        <v/>
      </c>
      <c r="B68" s="51" t="str">
        <f>IF('Statement of Marks'!B71="","",'Statement of Marks'!B71)</f>
        <v/>
      </c>
      <c r="C68" s="51" t="str">
        <f>IF('Statement of Marks'!C71="","",'Statement of Marks'!C71)</f>
        <v/>
      </c>
      <c r="D68" s="48" t="str">
        <f>IF('Statement of Marks'!D71="","",'Statement of Marks'!D71)</f>
        <v/>
      </c>
      <c r="E68" s="51" t="str">
        <f>IF('Statement of Marks'!G71="","",'Statement of Marks'!G71)</f>
        <v/>
      </c>
      <c r="F68" s="51" t="str">
        <f>IF('Statement of Marks'!I71="","",'Statement of Marks'!I71)</f>
        <v/>
      </c>
      <c r="G68" s="51" t="str">
        <f>IF('Statement of Marks'!DD71="","",'Statement of Marks'!DD71)</f>
        <v/>
      </c>
      <c r="H68" s="51" t="str">
        <f>IF('Statement of Marks'!DF71="","",'Statement of Marks'!DF71)</f>
        <v/>
      </c>
      <c r="I68" s="51" t="str">
        <f>IF('Statement of Marks'!DH71="","",'Statement of Marks'!DH71)</f>
        <v/>
      </c>
      <c r="J68" s="96" t="str">
        <f>IF('Statement of Marks'!DJ71="","",'Statement of Marks'!DJ71)</f>
        <v/>
      </c>
      <c r="K68" s="96" t="str">
        <f>IF('Statement of Marks'!DL71="","",'Statement of Marks'!DL71)</f>
        <v/>
      </c>
      <c r="L68" s="96" t="str">
        <f>IF('Statement of Marks'!DN71="","",'Statement of Marks'!DN71)</f>
        <v/>
      </c>
      <c r="M68" s="96" t="str">
        <f>IF('Statement of Marks'!DO71="","",'Statement of Marks'!DO71)</f>
        <v/>
      </c>
      <c r="N68" s="96" t="str">
        <f>IF('Statement of Marks'!DP71="","",'Statement of Marks'!DP71)</f>
        <v/>
      </c>
      <c r="O68" s="47" t="str">
        <f>IF('Statement of Marks'!BJ71="","",'Statement of Marks'!BJ71)</f>
        <v/>
      </c>
      <c r="P68" s="51" t="str">
        <f>IF('Statement of Marks'!BK71="","",'Statement of Marks'!BK71)</f>
        <v/>
      </c>
      <c r="Q68" s="50" t="str">
        <f>IF('Statement of Marks'!BI71="","",'Statement of Marks'!BI71)</f>
        <v/>
      </c>
      <c r="R68" s="51" t="str">
        <f>IF('Statement of Marks'!BL71="","",'Statement of Marks'!BL71)</f>
        <v/>
      </c>
    </row>
    <row r="69" spans="1:18" ht="30" customHeight="1" x14ac:dyDescent="0.2">
      <c r="A69" s="51" t="str">
        <f>IF('Statement of Marks'!A72="","",'Statement of Marks'!A72)</f>
        <v/>
      </c>
      <c r="B69" s="51" t="str">
        <f>IF('Statement of Marks'!B72="","",'Statement of Marks'!B72)</f>
        <v/>
      </c>
      <c r="C69" s="51" t="str">
        <f>IF('Statement of Marks'!C72="","",'Statement of Marks'!C72)</f>
        <v/>
      </c>
      <c r="D69" s="48" t="str">
        <f>IF('Statement of Marks'!D72="","",'Statement of Marks'!D72)</f>
        <v/>
      </c>
      <c r="E69" s="51" t="str">
        <f>IF('Statement of Marks'!G72="","",'Statement of Marks'!G72)</f>
        <v/>
      </c>
      <c r="F69" s="51" t="str">
        <f>IF('Statement of Marks'!I72="","",'Statement of Marks'!I72)</f>
        <v/>
      </c>
      <c r="G69" s="51" t="str">
        <f>IF('Statement of Marks'!DD72="","",'Statement of Marks'!DD72)</f>
        <v/>
      </c>
      <c r="H69" s="51" t="str">
        <f>IF('Statement of Marks'!DF72="","",'Statement of Marks'!DF72)</f>
        <v/>
      </c>
      <c r="I69" s="51" t="str">
        <f>IF('Statement of Marks'!DH72="","",'Statement of Marks'!DH72)</f>
        <v/>
      </c>
      <c r="J69" s="96" t="str">
        <f>IF('Statement of Marks'!DJ72="","",'Statement of Marks'!DJ72)</f>
        <v/>
      </c>
      <c r="K69" s="96" t="str">
        <f>IF('Statement of Marks'!DL72="","",'Statement of Marks'!DL72)</f>
        <v/>
      </c>
      <c r="L69" s="96" t="str">
        <f>IF('Statement of Marks'!DN72="","",'Statement of Marks'!DN72)</f>
        <v/>
      </c>
      <c r="M69" s="96" t="str">
        <f>IF('Statement of Marks'!DO72="","",'Statement of Marks'!DO72)</f>
        <v/>
      </c>
      <c r="N69" s="96" t="str">
        <f>IF('Statement of Marks'!DP72="","",'Statement of Marks'!DP72)</f>
        <v/>
      </c>
      <c r="O69" s="47" t="str">
        <f>IF('Statement of Marks'!BJ72="","",'Statement of Marks'!BJ72)</f>
        <v/>
      </c>
      <c r="P69" s="51" t="str">
        <f>IF('Statement of Marks'!BK72="","",'Statement of Marks'!BK72)</f>
        <v/>
      </c>
      <c r="Q69" s="50" t="str">
        <f>IF('Statement of Marks'!BI72="","",'Statement of Marks'!BI72)</f>
        <v/>
      </c>
      <c r="R69" s="51" t="str">
        <f>IF('Statement of Marks'!BL72="","",'Statement of Marks'!BL72)</f>
        <v/>
      </c>
    </row>
    <row r="70" spans="1:18" ht="30" customHeight="1" x14ac:dyDescent="0.2">
      <c r="A70" s="51" t="str">
        <f>IF('Statement of Marks'!A73="","",'Statement of Marks'!A73)</f>
        <v/>
      </c>
      <c r="B70" s="51" t="str">
        <f>IF('Statement of Marks'!B73="","",'Statement of Marks'!B73)</f>
        <v/>
      </c>
      <c r="C70" s="51" t="str">
        <f>IF('Statement of Marks'!C73="","",'Statement of Marks'!C73)</f>
        <v/>
      </c>
      <c r="D70" s="48" t="str">
        <f>IF('Statement of Marks'!D73="","",'Statement of Marks'!D73)</f>
        <v/>
      </c>
      <c r="E70" s="51" t="str">
        <f>IF('Statement of Marks'!G73="","",'Statement of Marks'!G73)</f>
        <v/>
      </c>
      <c r="F70" s="51" t="str">
        <f>IF('Statement of Marks'!I73="","",'Statement of Marks'!I73)</f>
        <v/>
      </c>
      <c r="G70" s="51" t="str">
        <f>IF('Statement of Marks'!DD73="","",'Statement of Marks'!DD73)</f>
        <v/>
      </c>
      <c r="H70" s="51" t="str">
        <f>IF('Statement of Marks'!DF73="","",'Statement of Marks'!DF73)</f>
        <v/>
      </c>
      <c r="I70" s="51" t="str">
        <f>IF('Statement of Marks'!DH73="","",'Statement of Marks'!DH73)</f>
        <v/>
      </c>
      <c r="J70" s="96" t="str">
        <f>IF('Statement of Marks'!DJ73="","",'Statement of Marks'!DJ73)</f>
        <v/>
      </c>
      <c r="K70" s="96" t="str">
        <f>IF('Statement of Marks'!DL73="","",'Statement of Marks'!DL73)</f>
        <v/>
      </c>
      <c r="L70" s="96" t="str">
        <f>IF('Statement of Marks'!DN73="","",'Statement of Marks'!DN73)</f>
        <v/>
      </c>
      <c r="M70" s="96" t="str">
        <f>IF('Statement of Marks'!DO73="","",'Statement of Marks'!DO73)</f>
        <v/>
      </c>
      <c r="N70" s="96" t="str">
        <f>IF('Statement of Marks'!DP73="","",'Statement of Marks'!DP73)</f>
        <v/>
      </c>
      <c r="O70" s="47" t="str">
        <f>IF('Statement of Marks'!BJ73="","",'Statement of Marks'!BJ73)</f>
        <v/>
      </c>
      <c r="P70" s="51" t="str">
        <f>IF('Statement of Marks'!BK73="","",'Statement of Marks'!BK73)</f>
        <v/>
      </c>
      <c r="Q70" s="50" t="str">
        <f>IF('Statement of Marks'!BI73="","",'Statement of Marks'!BI73)</f>
        <v/>
      </c>
      <c r="R70" s="51" t="str">
        <f>IF('Statement of Marks'!BL73="","",'Statement of Marks'!BL73)</f>
        <v/>
      </c>
    </row>
    <row r="71" spans="1:18" ht="30" customHeight="1" x14ac:dyDescent="0.2">
      <c r="A71" s="51" t="str">
        <f>IF('Statement of Marks'!A74="","",'Statement of Marks'!A74)</f>
        <v/>
      </c>
      <c r="B71" s="51" t="str">
        <f>IF('Statement of Marks'!B74="","",'Statement of Marks'!B74)</f>
        <v/>
      </c>
      <c r="C71" s="51" t="str">
        <f>IF('Statement of Marks'!C74="","",'Statement of Marks'!C74)</f>
        <v/>
      </c>
      <c r="D71" s="48" t="str">
        <f>IF('Statement of Marks'!D74="","",'Statement of Marks'!D74)</f>
        <v/>
      </c>
      <c r="E71" s="51" t="str">
        <f>IF('Statement of Marks'!G74="","",'Statement of Marks'!G74)</f>
        <v/>
      </c>
      <c r="F71" s="51" t="str">
        <f>IF('Statement of Marks'!I74="","",'Statement of Marks'!I74)</f>
        <v/>
      </c>
      <c r="G71" s="51" t="str">
        <f>IF('Statement of Marks'!DD74="","",'Statement of Marks'!DD74)</f>
        <v/>
      </c>
      <c r="H71" s="51" t="str">
        <f>IF('Statement of Marks'!DF74="","",'Statement of Marks'!DF74)</f>
        <v/>
      </c>
      <c r="I71" s="51" t="str">
        <f>IF('Statement of Marks'!DH74="","",'Statement of Marks'!DH74)</f>
        <v/>
      </c>
      <c r="J71" s="96" t="str">
        <f>IF('Statement of Marks'!DJ74="","",'Statement of Marks'!DJ74)</f>
        <v/>
      </c>
      <c r="K71" s="96" t="str">
        <f>IF('Statement of Marks'!DL74="","",'Statement of Marks'!DL74)</f>
        <v/>
      </c>
      <c r="L71" s="96" t="str">
        <f>IF('Statement of Marks'!DN74="","",'Statement of Marks'!DN74)</f>
        <v/>
      </c>
      <c r="M71" s="96" t="str">
        <f>IF('Statement of Marks'!DO74="","",'Statement of Marks'!DO74)</f>
        <v/>
      </c>
      <c r="N71" s="96" t="str">
        <f>IF('Statement of Marks'!DP74="","",'Statement of Marks'!DP74)</f>
        <v/>
      </c>
      <c r="O71" s="47" t="str">
        <f>IF('Statement of Marks'!BJ74="","",'Statement of Marks'!BJ74)</f>
        <v/>
      </c>
      <c r="P71" s="51" t="str">
        <f>IF('Statement of Marks'!BK74="","",'Statement of Marks'!BK74)</f>
        <v/>
      </c>
      <c r="Q71" s="50" t="str">
        <f>IF('Statement of Marks'!BI74="","",'Statement of Marks'!BI74)</f>
        <v/>
      </c>
      <c r="R71" s="51" t="str">
        <f>IF('Statement of Marks'!BL74="","",'Statement of Marks'!BL74)</f>
        <v/>
      </c>
    </row>
    <row r="72" spans="1:18" ht="30" customHeight="1" x14ac:dyDescent="0.2">
      <c r="A72" s="51" t="str">
        <f>IF('Statement of Marks'!A75="","",'Statement of Marks'!A75)</f>
        <v/>
      </c>
      <c r="B72" s="51" t="str">
        <f>IF('Statement of Marks'!B75="","",'Statement of Marks'!B75)</f>
        <v/>
      </c>
      <c r="C72" s="51" t="str">
        <f>IF('Statement of Marks'!C75="","",'Statement of Marks'!C75)</f>
        <v/>
      </c>
      <c r="D72" s="48" t="str">
        <f>IF('Statement of Marks'!D75="","",'Statement of Marks'!D75)</f>
        <v/>
      </c>
      <c r="E72" s="51" t="str">
        <f>IF('Statement of Marks'!G75="","",'Statement of Marks'!G75)</f>
        <v/>
      </c>
      <c r="F72" s="51" t="str">
        <f>IF('Statement of Marks'!I75="","",'Statement of Marks'!I75)</f>
        <v/>
      </c>
      <c r="G72" s="51" t="str">
        <f>IF('Statement of Marks'!DD75="","",'Statement of Marks'!DD75)</f>
        <v/>
      </c>
      <c r="H72" s="51" t="str">
        <f>IF('Statement of Marks'!DF75="","",'Statement of Marks'!DF75)</f>
        <v/>
      </c>
      <c r="I72" s="51" t="str">
        <f>IF('Statement of Marks'!DH75="","",'Statement of Marks'!DH75)</f>
        <v/>
      </c>
      <c r="J72" s="96" t="str">
        <f>IF('Statement of Marks'!DJ75="","",'Statement of Marks'!DJ75)</f>
        <v/>
      </c>
      <c r="K72" s="96" t="str">
        <f>IF('Statement of Marks'!DL75="","",'Statement of Marks'!DL75)</f>
        <v/>
      </c>
      <c r="L72" s="96" t="str">
        <f>IF('Statement of Marks'!DN75="","",'Statement of Marks'!DN75)</f>
        <v/>
      </c>
      <c r="M72" s="96" t="str">
        <f>IF('Statement of Marks'!DO75="","",'Statement of Marks'!DO75)</f>
        <v/>
      </c>
      <c r="N72" s="96" t="str">
        <f>IF('Statement of Marks'!DP75="","",'Statement of Marks'!DP75)</f>
        <v/>
      </c>
      <c r="O72" s="47" t="str">
        <f>IF('Statement of Marks'!BJ75="","",'Statement of Marks'!BJ75)</f>
        <v/>
      </c>
      <c r="P72" s="51" t="str">
        <f>IF('Statement of Marks'!BK75="","",'Statement of Marks'!BK75)</f>
        <v/>
      </c>
      <c r="Q72" s="50" t="str">
        <f>IF('Statement of Marks'!BI75="","",'Statement of Marks'!BI75)</f>
        <v/>
      </c>
      <c r="R72" s="51" t="str">
        <f>IF('Statement of Marks'!BL75="","",'Statement of Marks'!BL75)</f>
        <v/>
      </c>
    </row>
    <row r="73" spans="1:18" ht="30" customHeight="1" x14ac:dyDescent="0.2">
      <c r="A73" s="51" t="str">
        <f>IF('Statement of Marks'!A76="","",'Statement of Marks'!A76)</f>
        <v/>
      </c>
      <c r="B73" s="51" t="str">
        <f>IF('Statement of Marks'!B76="","",'Statement of Marks'!B76)</f>
        <v/>
      </c>
      <c r="C73" s="51" t="str">
        <f>IF('Statement of Marks'!C76="","",'Statement of Marks'!C76)</f>
        <v/>
      </c>
      <c r="D73" s="48" t="str">
        <f>IF('Statement of Marks'!D76="","",'Statement of Marks'!D76)</f>
        <v/>
      </c>
      <c r="E73" s="51" t="str">
        <f>IF('Statement of Marks'!G76="","",'Statement of Marks'!G76)</f>
        <v/>
      </c>
      <c r="F73" s="51" t="str">
        <f>IF('Statement of Marks'!I76="","",'Statement of Marks'!I76)</f>
        <v/>
      </c>
      <c r="G73" s="51" t="str">
        <f>IF('Statement of Marks'!DD76="","",'Statement of Marks'!DD76)</f>
        <v/>
      </c>
      <c r="H73" s="51" t="str">
        <f>IF('Statement of Marks'!DF76="","",'Statement of Marks'!DF76)</f>
        <v/>
      </c>
      <c r="I73" s="51" t="str">
        <f>IF('Statement of Marks'!DH76="","",'Statement of Marks'!DH76)</f>
        <v/>
      </c>
      <c r="J73" s="96" t="str">
        <f>IF('Statement of Marks'!DJ76="","",'Statement of Marks'!DJ76)</f>
        <v/>
      </c>
      <c r="K73" s="96" t="str">
        <f>IF('Statement of Marks'!DL76="","",'Statement of Marks'!DL76)</f>
        <v/>
      </c>
      <c r="L73" s="96" t="str">
        <f>IF('Statement of Marks'!DN76="","",'Statement of Marks'!DN76)</f>
        <v/>
      </c>
      <c r="M73" s="96" t="str">
        <f>IF('Statement of Marks'!DO76="","",'Statement of Marks'!DO76)</f>
        <v/>
      </c>
      <c r="N73" s="96" t="str">
        <f>IF('Statement of Marks'!DP76="","",'Statement of Marks'!DP76)</f>
        <v/>
      </c>
      <c r="O73" s="47" t="str">
        <f>IF('Statement of Marks'!BJ76="","",'Statement of Marks'!BJ76)</f>
        <v/>
      </c>
      <c r="P73" s="51" t="str">
        <f>IF('Statement of Marks'!BK76="","",'Statement of Marks'!BK76)</f>
        <v/>
      </c>
      <c r="Q73" s="50" t="str">
        <f>IF('Statement of Marks'!BI76="","",'Statement of Marks'!BI76)</f>
        <v/>
      </c>
      <c r="R73" s="51" t="str">
        <f>IF('Statement of Marks'!BL76="","",'Statement of Marks'!BL76)</f>
        <v/>
      </c>
    </row>
    <row r="74" spans="1:18" ht="30" customHeight="1" x14ac:dyDescent="0.2">
      <c r="A74" s="51" t="str">
        <f>IF('Statement of Marks'!A77="","",'Statement of Marks'!A77)</f>
        <v/>
      </c>
      <c r="B74" s="51" t="str">
        <f>IF('Statement of Marks'!B77="","",'Statement of Marks'!B77)</f>
        <v/>
      </c>
      <c r="C74" s="51" t="str">
        <f>IF('Statement of Marks'!C77="","",'Statement of Marks'!C77)</f>
        <v/>
      </c>
      <c r="D74" s="48" t="str">
        <f>IF('Statement of Marks'!D77="","",'Statement of Marks'!D77)</f>
        <v/>
      </c>
      <c r="E74" s="51" t="str">
        <f>IF('Statement of Marks'!G77="","",'Statement of Marks'!G77)</f>
        <v/>
      </c>
      <c r="F74" s="51" t="str">
        <f>IF('Statement of Marks'!I77="","",'Statement of Marks'!I77)</f>
        <v/>
      </c>
      <c r="G74" s="51" t="str">
        <f>IF('Statement of Marks'!DD77="","",'Statement of Marks'!DD77)</f>
        <v/>
      </c>
      <c r="H74" s="51" t="str">
        <f>IF('Statement of Marks'!DF77="","",'Statement of Marks'!DF77)</f>
        <v/>
      </c>
      <c r="I74" s="51" t="str">
        <f>IF('Statement of Marks'!DH77="","",'Statement of Marks'!DH77)</f>
        <v/>
      </c>
      <c r="J74" s="96" t="str">
        <f>IF('Statement of Marks'!DJ77="","",'Statement of Marks'!DJ77)</f>
        <v/>
      </c>
      <c r="K74" s="96" t="str">
        <f>IF('Statement of Marks'!DL77="","",'Statement of Marks'!DL77)</f>
        <v/>
      </c>
      <c r="L74" s="96" t="str">
        <f>IF('Statement of Marks'!DN77="","",'Statement of Marks'!DN77)</f>
        <v/>
      </c>
      <c r="M74" s="96" t="str">
        <f>IF('Statement of Marks'!DO77="","",'Statement of Marks'!DO77)</f>
        <v/>
      </c>
      <c r="N74" s="96" t="str">
        <f>IF('Statement of Marks'!DP77="","",'Statement of Marks'!DP77)</f>
        <v/>
      </c>
      <c r="O74" s="47" t="str">
        <f>IF('Statement of Marks'!BJ77="","",'Statement of Marks'!BJ77)</f>
        <v/>
      </c>
      <c r="P74" s="51" t="str">
        <f>IF('Statement of Marks'!BK77="","",'Statement of Marks'!BK77)</f>
        <v/>
      </c>
      <c r="Q74" s="50" t="str">
        <f>IF('Statement of Marks'!BI77="","",'Statement of Marks'!BI77)</f>
        <v/>
      </c>
      <c r="R74" s="51" t="str">
        <f>IF('Statement of Marks'!BL77="","",'Statement of Marks'!BL77)</f>
        <v/>
      </c>
    </row>
    <row r="75" spans="1:18" ht="30" customHeight="1" x14ac:dyDescent="0.2">
      <c r="A75" s="51" t="str">
        <f>IF('Statement of Marks'!A78="","",'Statement of Marks'!A78)</f>
        <v/>
      </c>
      <c r="B75" s="51" t="str">
        <f>IF('Statement of Marks'!B78="","",'Statement of Marks'!B78)</f>
        <v/>
      </c>
      <c r="C75" s="51" t="str">
        <f>IF('Statement of Marks'!C78="","",'Statement of Marks'!C78)</f>
        <v/>
      </c>
      <c r="D75" s="48" t="str">
        <f>IF('Statement of Marks'!D78="","",'Statement of Marks'!D78)</f>
        <v/>
      </c>
      <c r="E75" s="51" t="str">
        <f>IF('Statement of Marks'!G78="","",'Statement of Marks'!G78)</f>
        <v/>
      </c>
      <c r="F75" s="51" t="str">
        <f>IF('Statement of Marks'!I78="","",'Statement of Marks'!I78)</f>
        <v/>
      </c>
      <c r="G75" s="51" t="str">
        <f>IF('Statement of Marks'!DD78="","",'Statement of Marks'!DD78)</f>
        <v/>
      </c>
      <c r="H75" s="51" t="str">
        <f>IF('Statement of Marks'!DF78="","",'Statement of Marks'!DF78)</f>
        <v/>
      </c>
      <c r="I75" s="51" t="str">
        <f>IF('Statement of Marks'!DH78="","",'Statement of Marks'!DH78)</f>
        <v/>
      </c>
      <c r="J75" s="96" t="str">
        <f>IF('Statement of Marks'!DJ78="","",'Statement of Marks'!DJ78)</f>
        <v/>
      </c>
      <c r="K75" s="96" t="str">
        <f>IF('Statement of Marks'!DL78="","",'Statement of Marks'!DL78)</f>
        <v/>
      </c>
      <c r="L75" s="96" t="str">
        <f>IF('Statement of Marks'!DN78="","",'Statement of Marks'!DN78)</f>
        <v/>
      </c>
      <c r="M75" s="96" t="str">
        <f>IF('Statement of Marks'!DO78="","",'Statement of Marks'!DO78)</f>
        <v/>
      </c>
      <c r="N75" s="96" t="str">
        <f>IF('Statement of Marks'!DP78="","",'Statement of Marks'!DP78)</f>
        <v/>
      </c>
      <c r="O75" s="47" t="str">
        <f>IF('Statement of Marks'!BJ78="","",'Statement of Marks'!BJ78)</f>
        <v/>
      </c>
      <c r="P75" s="51" t="str">
        <f>IF('Statement of Marks'!BK78="","",'Statement of Marks'!BK78)</f>
        <v/>
      </c>
      <c r="Q75" s="50" t="str">
        <f>IF('Statement of Marks'!BI78="","",'Statement of Marks'!BI78)</f>
        <v/>
      </c>
      <c r="R75" s="51" t="str">
        <f>IF('Statement of Marks'!BL78="","",'Statement of Marks'!BL78)</f>
        <v/>
      </c>
    </row>
    <row r="76" spans="1:18" ht="30" customHeight="1" x14ac:dyDescent="0.2">
      <c r="A76" s="51" t="str">
        <f>IF('Statement of Marks'!A79="","",'Statement of Marks'!A79)</f>
        <v/>
      </c>
      <c r="B76" s="51" t="str">
        <f>IF('Statement of Marks'!B79="","",'Statement of Marks'!B79)</f>
        <v/>
      </c>
      <c r="C76" s="51" t="str">
        <f>IF('Statement of Marks'!C79="","",'Statement of Marks'!C79)</f>
        <v/>
      </c>
      <c r="D76" s="48" t="str">
        <f>IF('Statement of Marks'!D79="","",'Statement of Marks'!D79)</f>
        <v/>
      </c>
      <c r="E76" s="51" t="str">
        <f>IF('Statement of Marks'!G79="","",'Statement of Marks'!G79)</f>
        <v/>
      </c>
      <c r="F76" s="51" t="str">
        <f>IF('Statement of Marks'!I79="","",'Statement of Marks'!I79)</f>
        <v/>
      </c>
      <c r="G76" s="51" t="str">
        <f>IF('Statement of Marks'!DD79="","",'Statement of Marks'!DD79)</f>
        <v/>
      </c>
      <c r="H76" s="51" t="str">
        <f>IF('Statement of Marks'!DF79="","",'Statement of Marks'!DF79)</f>
        <v/>
      </c>
      <c r="I76" s="51" t="str">
        <f>IF('Statement of Marks'!DH79="","",'Statement of Marks'!DH79)</f>
        <v/>
      </c>
      <c r="J76" s="96" t="str">
        <f>IF('Statement of Marks'!DJ79="","",'Statement of Marks'!DJ79)</f>
        <v/>
      </c>
      <c r="K76" s="96" t="str">
        <f>IF('Statement of Marks'!DL79="","",'Statement of Marks'!DL79)</f>
        <v/>
      </c>
      <c r="L76" s="96" t="str">
        <f>IF('Statement of Marks'!DN79="","",'Statement of Marks'!DN79)</f>
        <v/>
      </c>
      <c r="M76" s="96" t="str">
        <f>IF('Statement of Marks'!DO79="","",'Statement of Marks'!DO79)</f>
        <v/>
      </c>
      <c r="N76" s="96" t="str">
        <f>IF('Statement of Marks'!DP79="","",'Statement of Marks'!DP79)</f>
        <v/>
      </c>
      <c r="O76" s="47" t="str">
        <f>IF('Statement of Marks'!BJ79="","",'Statement of Marks'!BJ79)</f>
        <v/>
      </c>
      <c r="P76" s="51" t="str">
        <f>IF('Statement of Marks'!BK79="","",'Statement of Marks'!BK79)</f>
        <v/>
      </c>
      <c r="Q76" s="50" t="str">
        <f>IF('Statement of Marks'!BI79="","",'Statement of Marks'!BI79)</f>
        <v/>
      </c>
      <c r="R76" s="51" t="str">
        <f>IF('Statement of Marks'!BL79="","",'Statement of Marks'!BL79)</f>
        <v/>
      </c>
    </row>
    <row r="77" spans="1:18" ht="30" customHeight="1" x14ac:dyDescent="0.2">
      <c r="A77" s="51" t="str">
        <f>IF('Statement of Marks'!A80="","",'Statement of Marks'!A80)</f>
        <v/>
      </c>
      <c r="B77" s="51" t="str">
        <f>IF('Statement of Marks'!B80="","",'Statement of Marks'!B80)</f>
        <v/>
      </c>
      <c r="C77" s="51" t="str">
        <f>IF('Statement of Marks'!C80="","",'Statement of Marks'!C80)</f>
        <v/>
      </c>
      <c r="D77" s="48" t="str">
        <f>IF('Statement of Marks'!D80="","",'Statement of Marks'!D80)</f>
        <v/>
      </c>
      <c r="E77" s="51" t="str">
        <f>IF('Statement of Marks'!G80="","",'Statement of Marks'!G80)</f>
        <v/>
      </c>
      <c r="F77" s="51" t="str">
        <f>IF('Statement of Marks'!I80="","",'Statement of Marks'!I80)</f>
        <v/>
      </c>
      <c r="G77" s="51" t="str">
        <f>IF('Statement of Marks'!DD80="","",'Statement of Marks'!DD80)</f>
        <v/>
      </c>
      <c r="H77" s="51" t="str">
        <f>IF('Statement of Marks'!DF80="","",'Statement of Marks'!DF80)</f>
        <v/>
      </c>
      <c r="I77" s="51" t="str">
        <f>IF('Statement of Marks'!DH80="","",'Statement of Marks'!DH80)</f>
        <v/>
      </c>
      <c r="J77" s="96" t="str">
        <f>IF('Statement of Marks'!DJ80="","",'Statement of Marks'!DJ80)</f>
        <v/>
      </c>
      <c r="K77" s="96" t="str">
        <f>IF('Statement of Marks'!DL80="","",'Statement of Marks'!DL80)</f>
        <v/>
      </c>
      <c r="L77" s="96" t="str">
        <f>IF('Statement of Marks'!DN80="","",'Statement of Marks'!DN80)</f>
        <v/>
      </c>
      <c r="M77" s="96" t="str">
        <f>IF('Statement of Marks'!DO80="","",'Statement of Marks'!DO80)</f>
        <v/>
      </c>
      <c r="N77" s="96" t="str">
        <f>IF('Statement of Marks'!DP80="","",'Statement of Marks'!DP80)</f>
        <v/>
      </c>
      <c r="O77" s="47" t="str">
        <f>IF('Statement of Marks'!BJ80="","",'Statement of Marks'!BJ80)</f>
        <v/>
      </c>
      <c r="P77" s="51" t="str">
        <f>IF('Statement of Marks'!BK80="","",'Statement of Marks'!BK80)</f>
        <v/>
      </c>
      <c r="Q77" s="50" t="str">
        <f>IF('Statement of Marks'!BI80="","",'Statement of Marks'!BI80)</f>
        <v/>
      </c>
      <c r="R77" s="51" t="str">
        <f>IF('Statement of Marks'!BL80="","",'Statement of Marks'!BL80)</f>
        <v/>
      </c>
    </row>
    <row r="78" spans="1:18" ht="30" customHeight="1" x14ac:dyDescent="0.2">
      <c r="A78" s="51" t="str">
        <f>IF('Statement of Marks'!A81="","",'Statement of Marks'!A81)</f>
        <v/>
      </c>
      <c r="B78" s="51" t="str">
        <f>IF('Statement of Marks'!B81="","",'Statement of Marks'!B81)</f>
        <v/>
      </c>
      <c r="C78" s="51" t="str">
        <f>IF('Statement of Marks'!C81="","",'Statement of Marks'!C81)</f>
        <v/>
      </c>
      <c r="D78" s="48" t="str">
        <f>IF('Statement of Marks'!D81="","",'Statement of Marks'!D81)</f>
        <v/>
      </c>
      <c r="E78" s="51" t="str">
        <f>IF('Statement of Marks'!G81="","",'Statement of Marks'!G81)</f>
        <v/>
      </c>
      <c r="F78" s="51" t="str">
        <f>IF('Statement of Marks'!I81="","",'Statement of Marks'!I81)</f>
        <v/>
      </c>
      <c r="G78" s="51" t="str">
        <f>IF('Statement of Marks'!DD81="","",'Statement of Marks'!DD81)</f>
        <v/>
      </c>
      <c r="H78" s="51" t="str">
        <f>IF('Statement of Marks'!DF81="","",'Statement of Marks'!DF81)</f>
        <v/>
      </c>
      <c r="I78" s="51" t="str">
        <f>IF('Statement of Marks'!DH81="","",'Statement of Marks'!DH81)</f>
        <v/>
      </c>
      <c r="J78" s="96" t="str">
        <f>IF('Statement of Marks'!DJ81="","",'Statement of Marks'!DJ81)</f>
        <v/>
      </c>
      <c r="K78" s="96" t="str">
        <f>IF('Statement of Marks'!DL81="","",'Statement of Marks'!DL81)</f>
        <v/>
      </c>
      <c r="L78" s="96" t="str">
        <f>IF('Statement of Marks'!DN81="","",'Statement of Marks'!DN81)</f>
        <v/>
      </c>
      <c r="M78" s="96" t="str">
        <f>IF('Statement of Marks'!DO81="","",'Statement of Marks'!DO81)</f>
        <v/>
      </c>
      <c r="N78" s="96" t="str">
        <f>IF('Statement of Marks'!DP81="","",'Statement of Marks'!DP81)</f>
        <v/>
      </c>
      <c r="O78" s="47" t="str">
        <f>IF('Statement of Marks'!BJ81="","",'Statement of Marks'!BJ81)</f>
        <v/>
      </c>
      <c r="P78" s="51" t="str">
        <f>IF('Statement of Marks'!BK81="","",'Statement of Marks'!BK81)</f>
        <v/>
      </c>
      <c r="Q78" s="50" t="str">
        <f>IF('Statement of Marks'!BI81="","",'Statement of Marks'!BI81)</f>
        <v/>
      </c>
      <c r="R78" s="51" t="str">
        <f>IF('Statement of Marks'!BL81="","",'Statement of Marks'!BL81)</f>
        <v/>
      </c>
    </row>
    <row r="79" spans="1:18" ht="30" customHeight="1" x14ac:dyDescent="0.2">
      <c r="A79" s="51" t="str">
        <f>IF('Statement of Marks'!A82="","",'Statement of Marks'!A82)</f>
        <v/>
      </c>
      <c r="B79" s="51" t="str">
        <f>IF('Statement of Marks'!B82="","",'Statement of Marks'!B82)</f>
        <v/>
      </c>
      <c r="C79" s="51" t="str">
        <f>IF('Statement of Marks'!C82="","",'Statement of Marks'!C82)</f>
        <v/>
      </c>
      <c r="D79" s="48" t="str">
        <f>IF('Statement of Marks'!D82="","",'Statement of Marks'!D82)</f>
        <v/>
      </c>
      <c r="E79" s="51" t="str">
        <f>IF('Statement of Marks'!G82="","",'Statement of Marks'!G82)</f>
        <v/>
      </c>
      <c r="F79" s="51" t="str">
        <f>IF('Statement of Marks'!I82="","",'Statement of Marks'!I82)</f>
        <v/>
      </c>
      <c r="G79" s="51" t="str">
        <f>IF('Statement of Marks'!DD82="","",'Statement of Marks'!DD82)</f>
        <v/>
      </c>
      <c r="H79" s="51" t="str">
        <f>IF('Statement of Marks'!DF82="","",'Statement of Marks'!DF82)</f>
        <v/>
      </c>
      <c r="I79" s="51" t="str">
        <f>IF('Statement of Marks'!DH82="","",'Statement of Marks'!DH82)</f>
        <v/>
      </c>
      <c r="J79" s="96" t="str">
        <f>IF('Statement of Marks'!DJ82="","",'Statement of Marks'!DJ82)</f>
        <v/>
      </c>
      <c r="K79" s="96" t="str">
        <f>IF('Statement of Marks'!DL82="","",'Statement of Marks'!DL82)</f>
        <v/>
      </c>
      <c r="L79" s="96" t="str">
        <f>IF('Statement of Marks'!DN82="","",'Statement of Marks'!DN82)</f>
        <v/>
      </c>
      <c r="M79" s="96" t="str">
        <f>IF('Statement of Marks'!DO82="","",'Statement of Marks'!DO82)</f>
        <v/>
      </c>
      <c r="N79" s="96" t="str">
        <f>IF('Statement of Marks'!DP82="","",'Statement of Marks'!DP82)</f>
        <v/>
      </c>
      <c r="O79" s="47" t="str">
        <f>IF('Statement of Marks'!BJ82="","",'Statement of Marks'!BJ82)</f>
        <v/>
      </c>
      <c r="P79" s="51" t="str">
        <f>IF('Statement of Marks'!BK82="","",'Statement of Marks'!BK82)</f>
        <v/>
      </c>
      <c r="Q79" s="50" t="str">
        <f>IF('Statement of Marks'!BI82="","",'Statement of Marks'!BI82)</f>
        <v/>
      </c>
      <c r="R79" s="51" t="str">
        <f>IF('Statement of Marks'!BL82="","",'Statement of Marks'!BL82)</f>
        <v/>
      </c>
    </row>
    <row r="80" spans="1:18" ht="30" customHeight="1" x14ac:dyDescent="0.2">
      <c r="A80" s="51" t="str">
        <f>IF('Statement of Marks'!A83="","",'Statement of Marks'!A83)</f>
        <v/>
      </c>
      <c r="B80" s="51" t="str">
        <f>IF('Statement of Marks'!B83="","",'Statement of Marks'!B83)</f>
        <v/>
      </c>
      <c r="C80" s="51" t="str">
        <f>IF('Statement of Marks'!C83="","",'Statement of Marks'!C83)</f>
        <v/>
      </c>
      <c r="D80" s="48" t="str">
        <f>IF('Statement of Marks'!D83="","",'Statement of Marks'!D83)</f>
        <v/>
      </c>
      <c r="E80" s="51" t="str">
        <f>IF('Statement of Marks'!G83="","",'Statement of Marks'!G83)</f>
        <v/>
      </c>
      <c r="F80" s="51" t="str">
        <f>IF('Statement of Marks'!I83="","",'Statement of Marks'!I83)</f>
        <v/>
      </c>
      <c r="G80" s="51" t="str">
        <f>IF('Statement of Marks'!DD83="","",'Statement of Marks'!DD83)</f>
        <v/>
      </c>
      <c r="H80" s="51" t="str">
        <f>IF('Statement of Marks'!DF83="","",'Statement of Marks'!DF83)</f>
        <v/>
      </c>
      <c r="I80" s="51" t="str">
        <f>IF('Statement of Marks'!DH83="","",'Statement of Marks'!DH83)</f>
        <v/>
      </c>
      <c r="J80" s="96" t="str">
        <f>IF('Statement of Marks'!DJ83="","",'Statement of Marks'!DJ83)</f>
        <v/>
      </c>
      <c r="K80" s="96" t="str">
        <f>IF('Statement of Marks'!DL83="","",'Statement of Marks'!DL83)</f>
        <v/>
      </c>
      <c r="L80" s="96" t="str">
        <f>IF('Statement of Marks'!DN83="","",'Statement of Marks'!DN83)</f>
        <v/>
      </c>
      <c r="M80" s="96" t="str">
        <f>IF('Statement of Marks'!DO83="","",'Statement of Marks'!DO83)</f>
        <v/>
      </c>
      <c r="N80" s="96" t="str">
        <f>IF('Statement of Marks'!DP83="","",'Statement of Marks'!DP83)</f>
        <v/>
      </c>
      <c r="O80" s="47" t="str">
        <f>IF('Statement of Marks'!BJ83="","",'Statement of Marks'!BJ83)</f>
        <v/>
      </c>
      <c r="P80" s="51" t="str">
        <f>IF('Statement of Marks'!BK83="","",'Statement of Marks'!BK83)</f>
        <v/>
      </c>
      <c r="Q80" s="50" t="str">
        <f>IF('Statement of Marks'!BI83="","",'Statement of Marks'!BI83)</f>
        <v/>
      </c>
      <c r="R80" s="51" t="str">
        <f>IF('Statement of Marks'!BL83="","",'Statement of Marks'!BL83)</f>
        <v/>
      </c>
    </row>
    <row r="81" spans="1:18" ht="30" customHeight="1" x14ac:dyDescent="0.2">
      <c r="A81" s="51" t="str">
        <f>IF('Statement of Marks'!A84="","",'Statement of Marks'!A84)</f>
        <v/>
      </c>
      <c r="B81" s="51" t="str">
        <f>IF('Statement of Marks'!B84="","",'Statement of Marks'!B84)</f>
        <v/>
      </c>
      <c r="C81" s="51" t="str">
        <f>IF('Statement of Marks'!C84="","",'Statement of Marks'!C84)</f>
        <v/>
      </c>
      <c r="D81" s="48" t="str">
        <f>IF('Statement of Marks'!D84="","",'Statement of Marks'!D84)</f>
        <v/>
      </c>
      <c r="E81" s="51" t="str">
        <f>IF('Statement of Marks'!G84="","",'Statement of Marks'!G84)</f>
        <v/>
      </c>
      <c r="F81" s="51" t="str">
        <f>IF('Statement of Marks'!I84="","",'Statement of Marks'!I84)</f>
        <v/>
      </c>
      <c r="G81" s="51" t="str">
        <f>IF('Statement of Marks'!DD84="","",'Statement of Marks'!DD84)</f>
        <v/>
      </c>
      <c r="H81" s="51" t="str">
        <f>IF('Statement of Marks'!DF84="","",'Statement of Marks'!DF84)</f>
        <v/>
      </c>
      <c r="I81" s="51" t="str">
        <f>IF('Statement of Marks'!DH84="","",'Statement of Marks'!DH84)</f>
        <v/>
      </c>
      <c r="J81" s="96" t="str">
        <f>IF('Statement of Marks'!DJ84="","",'Statement of Marks'!DJ84)</f>
        <v/>
      </c>
      <c r="K81" s="96" t="str">
        <f>IF('Statement of Marks'!DL84="","",'Statement of Marks'!DL84)</f>
        <v/>
      </c>
      <c r="L81" s="96" t="str">
        <f>IF('Statement of Marks'!DN84="","",'Statement of Marks'!DN84)</f>
        <v/>
      </c>
      <c r="M81" s="96" t="str">
        <f>IF('Statement of Marks'!DO84="","",'Statement of Marks'!DO84)</f>
        <v/>
      </c>
      <c r="N81" s="96" t="str">
        <f>IF('Statement of Marks'!DP84="","",'Statement of Marks'!DP84)</f>
        <v/>
      </c>
      <c r="O81" s="47" t="str">
        <f>IF('Statement of Marks'!BJ84="","",'Statement of Marks'!BJ84)</f>
        <v/>
      </c>
      <c r="P81" s="51" t="str">
        <f>IF('Statement of Marks'!BK84="","",'Statement of Marks'!BK84)</f>
        <v/>
      </c>
      <c r="Q81" s="50" t="str">
        <f>IF('Statement of Marks'!BI84="","",'Statement of Marks'!BI84)</f>
        <v/>
      </c>
      <c r="R81" s="51" t="str">
        <f>IF('Statement of Marks'!BL84="","",'Statement of Marks'!BL84)</f>
        <v/>
      </c>
    </row>
    <row r="82" spans="1:18" ht="30" customHeight="1" x14ac:dyDescent="0.2">
      <c r="A82" s="51" t="str">
        <f>IF('Statement of Marks'!A85="","",'Statement of Marks'!A85)</f>
        <v/>
      </c>
      <c r="B82" s="51" t="str">
        <f>IF('Statement of Marks'!B85="","",'Statement of Marks'!B85)</f>
        <v/>
      </c>
      <c r="C82" s="51" t="str">
        <f>IF('Statement of Marks'!C85="","",'Statement of Marks'!C85)</f>
        <v/>
      </c>
      <c r="D82" s="48" t="str">
        <f>IF('Statement of Marks'!D85="","",'Statement of Marks'!D85)</f>
        <v/>
      </c>
      <c r="E82" s="51" t="str">
        <f>IF('Statement of Marks'!G85="","",'Statement of Marks'!G85)</f>
        <v/>
      </c>
      <c r="F82" s="51" t="str">
        <f>IF('Statement of Marks'!I85="","",'Statement of Marks'!I85)</f>
        <v/>
      </c>
      <c r="G82" s="51" t="str">
        <f>IF('Statement of Marks'!DD85="","",'Statement of Marks'!DD85)</f>
        <v/>
      </c>
      <c r="H82" s="51" t="str">
        <f>IF('Statement of Marks'!DF85="","",'Statement of Marks'!DF85)</f>
        <v/>
      </c>
      <c r="I82" s="51" t="str">
        <f>IF('Statement of Marks'!DH85="","",'Statement of Marks'!DH85)</f>
        <v/>
      </c>
      <c r="J82" s="96" t="str">
        <f>IF('Statement of Marks'!DJ85="","",'Statement of Marks'!DJ85)</f>
        <v/>
      </c>
      <c r="K82" s="96" t="str">
        <f>IF('Statement of Marks'!DL85="","",'Statement of Marks'!DL85)</f>
        <v/>
      </c>
      <c r="L82" s="96" t="str">
        <f>IF('Statement of Marks'!DN85="","",'Statement of Marks'!DN85)</f>
        <v/>
      </c>
      <c r="M82" s="96" t="str">
        <f>IF('Statement of Marks'!DO85="","",'Statement of Marks'!DO85)</f>
        <v/>
      </c>
      <c r="N82" s="96" t="str">
        <f>IF('Statement of Marks'!DP85="","",'Statement of Marks'!DP85)</f>
        <v/>
      </c>
      <c r="O82" s="47" t="str">
        <f>IF('Statement of Marks'!BJ85="","",'Statement of Marks'!BJ85)</f>
        <v/>
      </c>
      <c r="P82" s="51" t="str">
        <f>IF('Statement of Marks'!BK85="","",'Statement of Marks'!BK85)</f>
        <v/>
      </c>
      <c r="Q82" s="50" t="str">
        <f>IF('Statement of Marks'!BI85="","",'Statement of Marks'!BI85)</f>
        <v/>
      </c>
      <c r="R82" s="51" t="str">
        <f>IF('Statement of Marks'!BL85="","",'Statement of Marks'!BL85)</f>
        <v/>
      </c>
    </row>
    <row r="83" spans="1:18" ht="30" customHeight="1" x14ac:dyDescent="0.2">
      <c r="A83" s="51" t="str">
        <f>IF('Statement of Marks'!A86="","",'Statement of Marks'!A86)</f>
        <v/>
      </c>
      <c r="B83" s="51" t="str">
        <f>IF('Statement of Marks'!B86="","",'Statement of Marks'!B86)</f>
        <v/>
      </c>
      <c r="C83" s="51" t="str">
        <f>IF('Statement of Marks'!C86="","",'Statement of Marks'!C86)</f>
        <v/>
      </c>
      <c r="D83" s="48" t="str">
        <f>IF('Statement of Marks'!D86="","",'Statement of Marks'!D86)</f>
        <v/>
      </c>
      <c r="E83" s="51" t="str">
        <f>IF('Statement of Marks'!G86="","",'Statement of Marks'!G86)</f>
        <v/>
      </c>
      <c r="F83" s="51" t="str">
        <f>IF('Statement of Marks'!I86="","",'Statement of Marks'!I86)</f>
        <v/>
      </c>
      <c r="G83" s="51" t="str">
        <f>IF('Statement of Marks'!DD86="","",'Statement of Marks'!DD86)</f>
        <v/>
      </c>
      <c r="H83" s="51" t="str">
        <f>IF('Statement of Marks'!DF86="","",'Statement of Marks'!DF86)</f>
        <v/>
      </c>
      <c r="I83" s="51" t="str">
        <f>IF('Statement of Marks'!DH86="","",'Statement of Marks'!DH86)</f>
        <v/>
      </c>
      <c r="J83" s="96" t="str">
        <f>IF('Statement of Marks'!DJ86="","",'Statement of Marks'!DJ86)</f>
        <v/>
      </c>
      <c r="K83" s="96" t="str">
        <f>IF('Statement of Marks'!DL86="","",'Statement of Marks'!DL86)</f>
        <v/>
      </c>
      <c r="L83" s="96" t="str">
        <f>IF('Statement of Marks'!DN86="","",'Statement of Marks'!DN86)</f>
        <v/>
      </c>
      <c r="M83" s="96" t="str">
        <f>IF('Statement of Marks'!DO86="","",'Statement of Marks'!DO86)</f>
        <v/>
      </c>
      <c r="N83" s="96" t="str">
        <f>IF('Statement of Marks'!DP86="","",'Statement of Marks'!DP86)</f>
        <v/>
      </c>
      <c r="O83" s="47" t="str">
        <f>IF('Statement of Marks'!BJ86="","",'Statement of Marks'!BJ86)</f>
        <v/>
      </c>
      <c r="P83" s="51" t="str">
        <f>IF('Statement of Marks'!BK86="","",'Statement of Marks'!BK86)</f>
        <v/>
      </c>
      <c r="Q83" s="50" t="str">
        <f>IF('Statement of Marks'!BI86="","",'Statement of Marks'!BI86)</f>
        <v/>
      </c>
      <c r="R83" s="51" t="str">
        <f>IF('Statement of Marks'!BL86="","",'Statement of Marks'!BL86)</f>
        <v/>
      </c>
    </row>
    <row r="84" spans="1:18" ht="30" customHeight="1" x14ac:dyDescent="0.2">
      <c r="A84" s="51" t="str">
        <f>IF('Statement of Marks'!A87="","",'Statement of Marks'!A87)</f>
        <v/>
      </c>
      <c r="B84" s="51" t="str">
        <f>IF('Statement of Marks'!B87="","",'Statement of Marks'!B87)</f>
        <v/>
      </c>
      <c r="C84" s="51" t="str">
        <f>IF('Statement of Marks'!C87="","",'Statement of Marks'!C87)</f>
        <v/>
      </c>
      <c r="D84" s="48" t="str">
        <f>IF('Statement of Marks'!D87="","",'Statement of Marks'!D87)</f>
        <v/>
      </c>
      <c r="E84" s="51" t="str">
        <f>IF('Statement of Marks'!G87="","",'Statement of Marks'!G87)</f>
        <v/>
      </c>
      <c r="F84" s="51" t="str">
        <f>IF('Statement of Marks'!I87="","",'Statement of Marks'!I87)</f>
        <v/>
      </c>
      <c r="G84" s="51" t="str">
        <f>IF('Statement of Marks'!DD87="","",'Statement of Marks'!DD87)</f>
        <v/>
      </c>
      <c r="H84" s="51" t="str">
        <f>IF('Statement of Marks'!DF87="","",'Statement of Marks'!DF87)</f>
        <v/>
      </c>
      <c r="I84" s="51" t="str">
        <f>IF('Statement of Marks'!DH87="","",'Statement of Marks'!DH87)</f>
        <v/>
      </c>
      <c r="J84" s="96" t="str">
        <f>IF('Statement of Marks'!DJ87="","",'Statement of Marks'!DJ87)</f>
        <v/>
      </c>
      <c r="K84" s="96" t="str">
        <f>IF('Statement of Marks'!DL87="","",'Statement of Marks'!DL87)</f>
        <v/>
      </c>
      <c r="L84" s="96" t="str">
        <f>IF('Statement of Marks'!DN87="","",'Statement of Marks'!DN87)</f>
        <v/>
      </c>
      <c r="M84" s="96" t="str">
        <f>IF('Statement of Marks'!DO87="","",'Statement of Marks'!DO87)</f>
        <v/>
      </c>
      <c r="N84" s="96" t="str">
        <f>IF('Statement of Marks'!DP87="","",'Statement of Marks'!DP87)</f>
        <v/>
      </c>
      <c r="O84" s="47" t="str">
        <f>IF('Statement of Marks'!BJ87="","",'Statement of Marks'!BJ87)</f>
        <v/>
      </c>
      <c r="P84" s="51" t="str">
        <f>IF('Statement of Marks'!BK87="","",'Statement of Marks'!BK87)</f>
        <v/>
      </c>
      <c r="Q84" s="50" t="str">
        <f>IF('Statement of Marks'!BI87="","",'Statement of Marks'!BI87)</f>
        <v/>
      </c>
      <c r="R84" s="51" t="str">
        <f>IF('Statement of Marks'!BL87="","",'Statement of Marks'!BL87)</f>
        <v/>
      </c>
    </row>
    <row r="85" spans="1:18" ht="30" customHeight="1" x14ac:dyDescent="0.2">
      <c r="A85" s="51" t="str">
        <f>IF('Statement of Marks'!A88="","",'Statement of Marks'!A88)</f>
        <v/>
      </c>
      <c r="B85" s="51" t="str">
        <f>IF('Statement of Marks'!B88="","",'Statement of Marks'!B88)</f>
        <v/>
      </c>
      <c r="C85" s="51" t="str">
        <f>IF('Statement of Marks'!C88="","",'Statement of Marks'!C88)</f>
        <v/>
      </c>
      <c r="D85" s="48" t="str">
        <f>IF('Statement of Marks'!D88="","",'Statement of Marks'!D88)</f>
        <v/>
      </c>
      <c r="E85" s="51" t="str">
        <f>IF('Statement of Marks'!G88="","",'Statement of Marks'!G88)</f>
        <v/>
      </c>
      <c r="F85" s="51" t="str">
        <f>IF('Statement of Marks'!I88="","",'Statement of Marks'!I88)</f>
        <v/>
      </c>
      <c r="G85" s="51" t="str">
        <f>IF('Statement of Marks'!DD88="","",'Statement of Marks'!DD88)</f>
        <v/>
      </c>
      <c r="H85" s="51" t="str">
        <f>IF('Statement of Marks'!DF88="","",'Statement of Marks'!DF88)</f>
        <v/>
      </c>
      <c r="I85" s="51" t="str">
        <f>IF('Statement of Marks'!DH88="","",'Statement of Marks'!DH88)</f>
        <v/>
      </c>
      <c r="J85" s="96" t="str">
        <f>IF('Statement of Marks'!DJ88="","",'Statement of Marks'!DJ88)</f>
        <v/>
      </c>
      <c r="K85" s="96" t="str">
        <f>IF('Statement of Marks'!DL88="","",'Statement of Marks'!DL88)</f>
        <v/>
      </c>
      <c r="L85" s="96" t="str">
        <f>IF('Statement of Marks'!DN88="","",'Statement of Marks'!DN88)</f>
        <v/>
      </c>
      <c r="M85" s="96" t="str">
        <f>IF('Statement of Marks'!DO88="","",'Statement of Marks'!DO88)</f>
        <v/>
      </c>
      <c r="N85" s="96" t="str">
        <f>IF('Statement of Marks'!DP88="","",'Statement of Marks'!DP88)</f>
        <v/>
      </c>
      <c r="O85" s="47" t="str">
        <f>IF('Statement of Marks'!BJ88="","",'Statement of Marks'!BJ88)</f>
        <v/>
      </c>
      <c r="P85" s="51" t="str">
        <f>IF('Statement of Marks'!BK88="","",'Statement of Marks'!BK88)</f>
        <v/>
      </c>
      <c r="Q85" s="50" t="str">
        <f>IF('Statement of Marks'!BI88="","",'Statement of Marks'!BI88)</f>
        <v/>
      </c>
      <c r="R85" s="51" t="str">
        <f>IF('Statement of Marks'!BL88="","",'Statement of Marks'!BL88)</f>
        <v/>
      </c>
    </row>
    <row r="86" spans="1:18" ht="30" customHeight="1" x14ac:dyDescent="0.2">
      <c r="A86" s="51" t="str">
        <f>IF('Statement of Marks'!A89="","",'Statement of Marks'!A89)</f>
        <v/>
      </c>
      <c r="B86" s="51" t="str">
        <f>IF('Statement of Marks'!B89="","",'Statement of Marks'!B89)</f>
        <v/>
      </c>
      <c r="C86" s="51" t="str">
        <f>IF('Statement of Marks'!C89="","",'Statement of Marks'!C89)</f>
        <v/>
      </c>
      <c r="D86" s="48" t="str">
        <f>IF('Statement of Marks'!D89="","",'Statement of Marks'!D89)</f>
        <v/>
      </c>
      <c r="E86" s="51" t="str">
        <f>IF('Statement of Marks'!G89="","",'Statement of Marks'!G89)</f>
        <v/>
      </c>
      <c r="F86" s="51" t="str">
        <f>IF('Statement of Marks'!I89="","",'Statement of Marks'!I89)</f>
        <v/>
      </c>
      <c r="G86" s="51" t="str">
        <f>IF('Statement of Marks'!DD89="","",'Statement of Marks'!DD89)</f>
        <v/>
      </c>
      <c r="H86" s="51" t="str">
        <f>IF('Statement of Marks'!DF89="","",'Statement of Marks'!DF89)</f>
        <v/>
      </c>
      <c r="I86" s="51" t="str">
        <f>IF('Statement of Marks'!DH89="","",'Statement of Marks'!DH89)</f>
        <v/>
      </c>
      <c r="J86" s="96" t="str">
        <f>IF('Statement of Marks'!DJ89="","",'Statement of Marks'!DJ89)</f>
        <v/>
      </c>
      <c r="K86" s="96" t="str">
        <f>IF('Statement of Marks'!DL89="","",'Statement of Marks'!DL89)</f>
        <v/>
      </c>
      <c r="L86" s="96" t="str">
        <f>IF('Statement of Marks'!DN89="","",'Statement of Marks'!DN89)</f>
        <v/>
      </c>
      <c r="M86" s="96" t="str">
        <f>IF('Statement of Marks'!DO89="","",'Statement of Marks'!DO89)</f>
        <v/>
      </c>
      <c r="N86" s="96" t="str">
        <f>IF('Statement of Marks'!DP89="","",'Statement of Marks'!DP89)</f>
        <v/>
      </c>
      <c r="O86" s="47" t="str">
        <f>IF('Statement of Marks'!BJ89="","",'Statement of Marks'!BJ89)</f>
        <v/>
      </c>
      <c r="P86" s="51" t="str">
        <f>IF('Statement of Marks'!BK89="","",'Statement of Marks'!BK89)</f>
        <v/>
      </c>
      <c r="Q86" s="50" t="str">
        <f>IF('Statement of Marks'!BI89="","",'Statement of Marks'!BI89)</f>
        <v/>
      </c>
      <c r="R86" s="51" t="str">
        <f>IF('Statement of Marks'!BL89="","",'Statement of Marks'!BL89)</f>
        <v/>
      </c>
    </row>
    <row r="87" spans="1:18" ht="30" customHeight="1" x14ac:dyDescent="0.2">
      <c r="A87" s="51" t="str">
        <f>IF('Statement of Marks'!A90="","",'Statement of Marks'!A90)</f>
        <v/>
      </c>
      <c r="B87" s="51" t="str">
        <f>IF('Statement of Marks'!B90="","",'Statement of Marks'!B90)</f>
        <v/>
      </c>
      <c r="C87" s="51" t="str">
        <f>IF('Statement of Marks'!C90="","",'Statement of Marks'!C90)</f>
        <v/>
      </c>
      <c r="D87" s="48" t="str">
        <f>IF('Statement of Marks'!D90="","",'Statement of Marks'!D90)</f>
        <v/>
      </c>
      <c r="E87" s="51" t="str">
        <f>IF('Statement of Marks'!G90="","",'Statement of Marks'!G90)</f>
        <v/>
      </c>
      <c r="F87" s="51" t="str">
        <f>IF('Statement of Marks'!I90="","",'Statement of Marks'!I90)</f>
        <v/>
      </c>
      <c r="G87" s="51" t="str">
        <f>IF('Statement of Marks'!DD90="","",'Statement of Marks'!DD90)</f>
        <v/>
      </c>
      <c r="H87" s="51" t="str">
        <f>IF('Statement of Marks'!DF90="","",'Statement of Marks'!DF90)</f>
        <v/>
      </c>
      <c r="I87" s="51" t="str">
        <f>IF('Statement of Marks'!DH90="","",'Statement of Marks'!DH90)</f>
        <v/>
      </c>
      <c r="J87" s="96" t="str">
        <f>IF('Statement of Marks'!DJ90="","",'Statement of Marks'!DJ90)</f>
        <v/>
      </c>
      <c r="K87" s="96" t="str">
        <f>IF('Statement of Marks'!DL90="","",'Statement of Marks'!DL90)</f>
        <v/>
      </c>
      <c r="L87" s="96" t="str">
        <f>IF('Statement of Marks'!DN90="","",'Statement of Marks'!DN90)</f>
        <v/>
      </c>
      <c r="M87" s="96" t="str">
        <f>IF('Statement of Marks'!DO90="","",'Statement of Marks'!DO90)</f>
        <v/>
      </c>
      <c r="N87" s="96" t="str">
        <f>IF('Statement of Marks'!DP90="","",'Statement of Marks'!DP90)</f>
        <v/>
      </c>
      <c r="O87" s="47" t="str">
        <f>IF('Statement of Marks'!BJ90="","",'Statement of Marks'!BJ90)</f>
        <v/>
      </c>
      <c r="P87" s="51" t="str">
        <f>IF('Statement of Marks'!BK90="","",'Statement of Marks'!BK90)</f>
        <v/>
      </c>
      <c r="Q87" s="50" t="str">
        <f>IF('Statement of Marks'!BI90="","",'Statement of Marks'!BI90)</f>
        <v/>
      </c>
      <c r="R87" s="51" t="str">
        <f>IF('Statement of Marks'!BL90="","",'Statement of Marks'!BL90)</f>
        <v/>
      </c>
    </row>
    <row r="88" spans="1:18" ht="30" customHeight="1" x14ac:dyDescent="0.2">
      <c r="A88" s="51" t="str">
        <f>IF('Statement of Marks'!A91="","",'Statement of Marks'!A91)</f>
        <v/>
      </c>
      <c r="B88" s="51" t="str">
        <f>IF('Statement of Marks'!B91="","",'Statement of Marks'!B91)</f>
        <v/>
      </c>
      <c r="C88" s="51" t="str">
        <f>IF('Statement of Marks'!C91="","",'Statement of Marks'!C91)</f>
        <v/>
      </c>
      <c r="D88" s="48" t="str">
        <f>IF('Statement of Marks'!D91="","",'Statement of Marks'!D91)</f>
        <v/>
      </c>
      <c r="E88" s="51" t="str">
        <f>IF('Statement of Marks'!G91="","",'Statement of Marks'!G91)</f>
        <v/>
      </c>
      <c r="F88" s="51" t="str">
        <f>IF('Statement of Marks'!I91="","",'Statement of Marks'!I91)</f>
        <v/>
      </c>
      <c r="G88" s="51" t="str">
        <f>IF('Statement of Marks'!DD91="","",'Statement of Marks'!DD91)</f>
        <v/>
      </c>
      <c r="H88" s="51" t="str">
        <f>IF('Statement of Marks'!DF91="","",'Statement of Marks'!DF91)</f>
        <v/>
      </c>
      <c r="I88" s="51" t="str">
        <f>IF('Statement of Marks'!DH91="","",'Statement of Marks'!DH91)</f>
        <v/>
      </c>
      <c r="J88" s="96" t="str">
        <f>IF('Statement of Marks'!DJ91="","",'Statement of Marks'!DJ91)</f>
        <v/>
      </c>
      <c r="K88" s="96" t="str">
        <f>IF('Statement of Marks'!DL91="","",'Statement of Marks'!DL91)</f>
        <v/>
      </c>
      <c r="L88" s="96" t="str">
        <f>IF('Statement of Marks'!DN91="","",'Statement of Marks'!DN91)</f>
        <v/>
      </c>
      <c r="M88" s="96" t="str">
        <f>IF('Statement of Marks'!DO91="","",'Statement of Marks'!DO91)</f>
        <v/>
      </c>
      <c r="N88" s="96" t="str">
        <f>IF('Statement of Marks'!DP91="","",'Statement of Marks'!DP91)</f>
        <v/>
      </c>
      <c r="O88" s="47" t="str">
        <f>IF('Statement of Marks'!BJ91="","",'Statement of Marks'!BJ91)</f>
        <v/>
      </c>
      <c r="P88" s="51" t="str">
        <f>IF('Statement of Marks'!BK91="","",'Statement of Marks'!BK91)</f>
        <v/>
      </c>
      <c r="Q88" s="50" t="str">
        <f>IF('Statement of Marks'!BI91="","",'Statement of Marks'!BI91)</f>
        <v/>
      </c>
      <c r="R88" s="51" t="str">
        <f>IF('Statement of Marks'!BL91="","",'Statement of Marks'!BL91)</f>
        <v/>
      </c>
    </row>
    <row r="89" spans="1:18" ht="30" customHeight="1" x14ac:dyDescent="0.2">
      <c r="A89" s="51" t="str">
        <f>IF('Statement of Marks'!A92="","",'Statement of Marks'!A92)</f>
        <v/>
      </c>
      <c r="B89" s="51" t="str">
        <f>IF('Statement of Marks'!B92="","",'Statement of Marks'!B92)</f>
        <v/>
      </c>
      <c r="C89" s="51" t="str">
        <f>IF('Statement of Marks'!C92="","",'Statement of Marks'!C92)</f>
        <v/>
      </c>
      <c r="D89" s="48" t="str">
        <f>IF('Statement of Marks'!D92="","",'Statement of Marks'!D92)</f>
        <v/>
      </c>
      <c r="E89" s="51" t="str">
        <f>IF('Statement of Marks'!G92="","",'Statement of Marks'!G92)</f>
        <v/>
      </c>
      <c r="F89" s="51" t="str">
        <f>IF('Statement of Marks'!I92="","",'Statement of Marks'!I92)</f>
        <v/>
      </c>
      <c r="G89" s="51" t="str">
        <f>IF('Statement of Marks'!DD92="","",'Statement of Marks'!DD92)</f>
        <v/>
      </c>
      <c r="H89" s="51" t="str">
        <f>IF('Statement of Marks'!DF92="","",'Statement of Marks'!DF92)</f>
        <v/>
      </c>
      <c r="I89" s="51" t="str">
        <f>IF('Statement of Marks'!DH92="","",'Statement of Marks'!DH92)</f>
        <v/>
      </c>
      <c r="J89" s="96" t="str">
        <f>IF('Statement of Marks'!DJ92="","",'Statement of Marks'!DJ92)</f>
        <v/>
      </c>
      <c r="K89" s="96" t="str">
        <f>IF('Statement of Marks'!DL92="","",'Statement of Marks'!DL92)</f>
        <v/>
      </c>
      <c r="L89" s="96" t="str">
        <f>IF('Statement of Marks'!DN92="","",'Statement of Marks'!DN92)</f>
        <v/>
      </c>
      <c r="M89" s="96" t="str">
        <f>IF('Statement of Marks'!DO92="","",'Statement of Marks'!DO92)</f>
        <v/>
      </c>
      <c r="N89" s="96" t="str">
        <f>IF('Statement of Marks'!DP92="","",'Statement of Marks'!DP92)</f>
        <v/>
      </c>
      <c r="O89" s="47" t="str">
        <f>IF('Statement of Marks'!BJ92="","",'Statement of Marks'!BJ92)</f>
        <v/>
      </c>
      <c r="P89" s="51" t="str">
        <f>IF('Statement of Marks'!BK92="","",'Statement of Marks'!BK92)</f>
        <v/>
      </c>
      <c r="Q89" s="50" t="str">
        <f>IF('Statement of Marks'!BI92="","",'Statement of Marks'!BI92)</f>
        <v/>
      </c>
      <c r="R89" s="51" t="str">
        <f>IF('Statement of Marks'!BL92="","",'Statement of Marks'!BL92)</f>
        <v/>
      </c>
    </row>
    <row r="90" spans="1:18" ht="30" customHeight="1" x14ac:dyDescent="0.2">
      <c r="A90" s="51" t="str">
        <f>IF('Statement of Marks'!A93="","",'Statement of Marks'!A93)</f>
        <v/>
      </c>
      <c r="B90" s="51" t="str">
        <f>IF('Statement of Marks'!B93="","",'Statement of Marks'!B93)</f>
        <v/>
      </c>
      <c r="C90" s="51" t="str">
        <f>IF('Statement of Marks'!C93="","",'Statement of Marks'!C93)</f>
        <v/>
      </c>
      <c r="D90" s="48" t="str">
        <f>IF('Statement of Marks'!D93="","",'Statement of Marks'!D93)</f>
        <v/>
      </c>
      <c r="E90" s="51" t="str">
        <f>IF('Statement of Marks'!G93="","",'Statement of Marks'!G93)</f>
        <v/>
      </c>
      <c r="F90" s="51" t="str">
        <f>IF('Statement of Marks'!I93="","",'Statement of Marks'!I93)</f>
        <v/>
      </c>
      <c r="G90" s="51" t="str">
        <f>IF('Statement of Marks'!DD93="","",'Statement of Marks'!DD93)</f>
        <v/>
      </c>
      <c r="H90" s="51" t="str">
        <f>IF('Statement of Marks'!DF93="","",'Statement of Marks'!DF93)</f>
        <v/>
      </c>
      <c r="I90" s="51" t="str">
        <f>IF('Statement of Marks'!DH93="","",'Statement of Marks'!DH93)</f>
        <v/>
      </c>
      <c r="J90" s="96" t="str">
        <f>IF('Statement of Marks'!DJ93="","",'Statement of Marks'!DJ93)</f>
        <v/>
      </c>
      <c r="K90" s="96" t="str">
        <f>IF('Statement of Marks'!DL93="","",'Statement of Marks'!DL93)</f>
        <v/>
      </c>
      <c r="L90" s="96" t="str">
        <f>IF('Statement of Marks'!DN93="","",'Statement of Marks'!DN93)</f>
        <v/>
      </c>
      <c r="M90" s="96" t="str">
        <f>IF('Statement of Marks'!DO93="","",'Statement of Marks'!DO93)</f>
        <v/>
      </c>
      <c r="N90" s="96" t="str">
        <f>IF('Statement of Marks'!DP93="","",'Statement of Marks'!DP93)</f>
        <v/>
      </c>
      <c r="O90" s="47" t="str">
        <f>IF('Statement of Marks'!BJ93="","",'Statement of Marks'!BJ93)</f>
        <v/>
      </c>
      <c r="P90" s="51" t="str">
        <f>IF('Statement of Marks'!BK93="","",'Statement of Marks'!BK93)</f>
        <v/>
      </c>
      <c r="Q90" s="50" t="str">
        <f>IF('Statement of Marks'!BI93="","",'Statement of Marks'!BI93)</f>
        <v/>
      </c>
      <c r="R90" s="51" t="str">
        <f>IF('Statement of Marks'!BL93="","",'Statement of Marks'!BL93)</f>
        <v/>
      </c>
    </row>
    <row r="91" spans="1:18" ht="30" customHeight="1" x14ac:dyDescent="0.2">
      <c r="A91" s="51" t="str">
        <f>IF('Statement of Marks'!A94="","",'Statement of Marks'!A94)</f>
        <v/>
      </c>
      <c r="B91" s="51" t="str">
        <f>IF('Statement of Marks'!B94="","",'Statement of Marks'!B94)</f>
        <v/>
      </c>
      <c r="C91" s="51" t="str">
        <f>IF('Statement of Marks'!C94="","",'Statement of Marks'!C94)</f>
        <v/>
      </c>
      <c r="D91" s="48" t="str">
        <f>IF('Statement of Marks'!D94="","",'Statement of Marks'!D94)</f>
        <v/>
      </c>
      <c r="E91" s="51" t="str">
        <f>IF('Statement of Marks'!G94="","",'Statement of Marks'!G94)</f>
        <v/>
      </c>
      <c r="F91" s="51" t="str">
        <f>IF('Statement of Marks'!I94="","",'Statement of Marks'!I94)</f>
        <v/>
      </c>
      <c r="G91" s="51" t="str">
        <f>IF('Statement of Marks'!DD94="","",'Statement of Marks'!DD94)</f>
        <v/>
      </c>
      <c r="H91" s="51" t="str">
        <f>IF('Statement of Marks'!DF94="","",'Statement of Marks'!DF94)</f>
        <v/>
      </c>
      <c r="I91" s="51" t="str">
        <f>IF('Statement of Marks'!DH94="","",'Statement of Marks'!DH94)</f>
        <v/>
      </c>
      <c r="J91" s="96" t="str">
        <f>IF('Statement of Marks'!DJ94="","",'Statement of Marks'!DJ94)</f>
        <v/>
      </c>
      <c r="K91" s="96" t="str">
        <f>IF('Statement of Marks'!DL94="","",'Statement of Marks'!DL94)</f>
        <v/>
      </c>
      <c r="L91" s="96" t="str">
        <f>IF('Statement of Marks'!DN94="","",'Statement of Marks'!DN94)</f>
        <v/>
      </c>
      <c r="M91" s="96" t="str">
        <f>IF('Statement of Marks'!DO94="","",'Statement of Marks'!DO94)</f>
        <v/>
      </c>
      <c r="N91" s="96" t="str">
        <f>IF('Statement of Marks'!DP94="","",'Statement of Marks'!DP94)</f>
        <v/>
      </c>
      <c r="O91" s="47" t="str">
        <f>IF('Statement of Marks'!BJ94="","",'Statement of Marks'!BJ94)</f>
        <v/>
      </c>
      <c r="P91" s="51" t="str">
        <f>IF('Statement of Marks'!BK94="","",'Statement of Marks'!BK94)</f>
        <v/>
      </c>
      <c r="Q91" s="50" t="str">
        <f>IF('Statement of Marks'!BI94="","",'Statement of Marks'!BI94)</f>
        <v/>
      </c>
      <c r="R91" s="51" t="str">
        <f>IF('Statement of Marks'!BL94="","",'Statement of Marks'!BL94)</f>
        <v/>
      </c>
    </row>
    <row r="92" spans="1:18" ht="30" customHeight="1" x14ac:dyDescent="0.2">
      <c r="A92" s="51" t="str">
        <f>IF('Statement of Marks'!A95="","",'Statement of Marks'!A95)</f>
        <v/>
      </c>
      <c r="B92" s="51" t="str">
        <f>IF('Statement of Marks'!B95="","",'Statement of Marks'!B95)</f>
        <v/>
      </c>
      <c r="C92" s="51" t="str">
        <f>IF('Statement of Marks'!C95="","",'Statement of Marks'!C95)</f>
        <v/>
      </c>
      <c r="D92" s="48" t="str">
        <f>IF('Statement of Marks'!D95="","",'Statement of Marks'!D95)</f>
        <v/>
      </c>
      <c r="E92" s="51" t="str">
        <f>IF('Statement of Marks'!G95="","",'Statement of Marks'!G95)</f>
        <v/>
      </c>
      <c r="F92" s="51" t="str">
        <f>IF('Statement of Marks'!I95="","",'Statement of Marks'!I95)</f>
        <v/>
      </c>
      <c r="G92" s="51" t="str">
        <f>IF('Statement of Marks'!DD95="","",'Statement of Marks'!DD95)</f>
        <v/>
      </c>
      <c r="H92" s="51" t="str">
        <f>IF('Statement of Marks'!DF95="","",'Statement of Marks'!DF95)</f>
        <v/>
      </c>
      <c r="I92" s="51" t="str">
        <f>IF('Statement of Marks'!DH95="","",'Statement of Marks'!DH95)</f>
        <v/>
      </c>
      <c r="J92" s="96" t="str">
        <f>IF('Statement of Marks'!DJ95="","",'Statement of Marks'!DJ95)</f>
        <v/>
      </c>
      <c r="K92" s="96" t="str">
        <f>IF('Statement of Marks'!DL95="","",'Statement of Marks'!DL95)</f>
        <v/>
      </c>
      <c r="L92" s="96" t="str">
        <f>IF('Statement of Marks'!DN95="","",'Statement of Marks'!DN95)</f>
        <v/>
      </c>
      <c r="M92" s="96" t="str">
        <f>IF('Statement of Marks'!DO95="","",'Statement of Marks'!DO95)</f>
        <v/>
      </c>
      <c r="N92" s="96" t="str">
        <f>IF('Statement of Marks'!DP95="","",'Statement of Marks'!DP95)</f>
        <v/>
      </c>
      <c r="O92" s="47" t="str">
        <f>IF('Statement of Marks'!BJ95="","",'Statement of Marks'!BJ95)</f>
        <v/>
      </c>
      <c r="P92" s="51" t="str">
        <f>IF('Statement of Marks'!BK95="","",'Statement of Marks'!BK95)</f>
        <v/>
      </c>
      <c r="Q92" s="50" t="str">
        <f>IF('Statement of Marks'!BI95="","",'Statement of Marks'!BI95)</f>
        <v/>
      </c>
      <c r="R92" s="51" t="str">
        <f>IF('Statement of Marks'!BL95="","",'Statement of Marks'!BL95)</f>
        <v/>
      </c>
    </row>
    <row r="93" spans="1:18" ht="30" customHeight="1" x14ac:dyDescent="0.2">
      <c r="A93" s="51" t="str">
        <f>IF('Statement of Marks'!A96="","",'Statement of Marks'!A96)</f>
        <v/>
      </c>
      <c r="B93" s="51" t="str">
        <f>IF('Statement of Marks'!B96="","",'Statement of Marks'!B96)</f>
        <v/>
      </c>
      <c r="C93" s="51" t="str">
        <f>IF('Statement of Marks'!C96="","",'Statement of Marks'!C96)</f>
        <v/>
      </c>
      <c r="D93" s="48" t="str">
        <f>IF('Statement of Marks'!D96="","",'Statement of Marks'!D96)</f>
        <v/>
      </c>
      <c r="E93" s="51" t="str">
        <f>IF('Statement of Marks'!G96="","",'Statement of Marks'!G96)</f>
        <v/>
      </c>
      <c r="F93" s="51" t="str">
        <f>IF('Statement of Marks'!I96="","",'Statement of Marks'!I96)</f>
        <v/>
      </c>
      <c r="G93" s="51" t="str">
        <f>IF('Statement of Marks'!DD96="","",'Statement of Marks'!DD96)</f>
        <v/>
      </c>
      <c r="H93" s="51" t="str">
        <f>IF('Statement of Marks'!DF96="","",'Statement of Marks'!DF96)</f>
        <v/>
      </c>
      <c r="I93" s="51" t="str">
        <f>IF('Statement of Marks'!DH96="","",'Statement of Marks'!DH96)</f>
        <v/>
      </c>
      <c r="J93" s="96" t="str">
        <f>IF('Statement of Marks'!DJ96="","",'Statement of Marks'!DJ96)</f>
        <v/>
      </c>
      <c r="K93" s="96" t="str">
        <f>IF('Statement of Marks'!DL96="","",'Statement of Marks'!DL96)</f>
        <v/>
      </c>
      <c r="L93" s="96" t="str">
        <f>IF('Statement of Marks'!DN96="","",'Statement of Marks'!DN96)</f>
        <v/>
      </c>
      <c r="M93" s="96" t="str">
        <f>IF('Statement of Marks'!DO96="","",'Statement of Marks'!DO96)</f>
        <v/>
      </c>
      <c r="N93" s="96" t="str">
        <f>IF('Statement of Marks'!DP96="","",'Statement of Marks'!DP96)</f>
        <v/>
      </c>
      <c r="O93" s="47" t="str">
        <f>IF('Statement of Marks'!BJ96="","",'Statement of Marks'!BJ96)</f>
        <v/>
      </c>
      <c r="P93" s="51" t="str">
        <f>IF('Statement of Marks'!BK96="","",'Statement of Marks'!BK96)</f>
        <v/>
      </c>
      <c r="Q93" s="50" t="str">
        <f>IF('Statement of Marks'!BI96="","",'Statement of Marks'!BI96)</f>
        <v/>
      </c>
      <c r="R93" s="51" t="str">
        <f>IF('Statement of Marks'!BL96="","",'Statement of Marks'!BL96)</f>
        <v/>
      </c>
    </row>
    <row r="94" spans="1:18" ht="30" customHeight="1" x14ac:dyDescent="0.2">
      <c r="A94" s="51" t="str">
        <f>IF('Statement of Marks'!A97="","",'Statement of Marks'!A97)</f>
        <v/>
      </c>
      <c r="B94" s="51" t="str">
        <f>IF('Statement of Marks'!B97="","",'Statement of Marks'!B97)</f>
        <v/>
      </c>
      <c r="C94" s="51" t="str">
        <f>IF('Statement of Marks'!C97="","",'Statement of Marks'!C97)</f>
        <v/>
      </c>
      <c r="D94" s="48" t="str">
        <f>IF('Statement of Marks'!D97="","",'Statement of Marks'!D97)</f>
        <v/>
      </c>
      <c r="E94" s="51" t="str">
        <f>IF('Statement of Marks'!G97="","",'Statement of Marks'!G97)</f>
        <v/>
      </c>
      <c r="F94" s="51" t="str">
        <f>IF('Statement of Marks'!I97="","",'Statement of Marks'!I97)</f>
        <v/>
      </c>
      <c r="G94" s="51" t="str">
        <f>IF('Statement of Marks'!DD97="","",'Statement of Marks'!DD97)</f>
        <v/>
      </c>
      <c r="H94" s="51" t="str">
        <f>IF('Statement of Marks'!DF97="","",'Statement of Marks'!DF97)</f>
        <v/>
      </c>
      <c r="I94" s="51" t="str">
        <f>IF('Statement of Marks'!DH97="","",'Statement of Marks'!DH97)</f>
        <v/>
      </c>
      <c r="J94" s="96" t="str">
        <f>IF('Statement of Marks'!DJ97="","",'Statement of Marks'!DJ97)</f>
        <v/>
      </c>
      <c r="K94" s="96" t="str">
        <f>IF('Statement of Marks'!DL97="","",'Statement of Marks'!DL97)</f>
        <v/>
      </c>
      <c r="L94" s="96" t="str">
        <f>IF('Statement of Marks'!DN97="","",'Statement of Marks'!DN97)</f>
        <v/>
      </c>
      <c r="M94" s="96" t="str">
        <f>IF('Statement of Marks'!DO97="","",'Statement of Marks'!DO97)</f>
        <v/>
      </c>
      <c r="N94" s="96" t="str">
        <f>IF('Statement of Marks'!DP97="","",'Statement of Marks'!DP97)</f>
        <v/>
      </c>
      <c r="O94" s="47" t="str">
        <f>IF('Statement of Marks'!BJ97="","",'Statement of Marks'!BJ97)</f>
        <v/>
      </c>
      <c r="P94" s="51" t="str">
        <f>IF('Statement of Marks'!BK97="","",'Statement of Marks'!BK97)</f>
        <v/>
      </c>
      <c r="Q94" s="50" t="str">
        <f>IF('Statement of Marks'!BI97="","",'Statement of Marks'!BI97)</f>
        <v/>
      </c>
      <c r="R94" s="51" t="str">
        <f>IF('Statement of Marks'!BL97="","",'Statement of Marks'!BL97)</f>
        <v/>
      </c>
    </row>
    <row r="95" spans="1:18" ht="30" customHeight="1" x14ac:dyDescent="0.2">
      <c r="A95" s="51" t="str">
        <f>IF('Statement of Marks'!A98="","",'Statement of Marks'!A98)</f>
        <v/>
      </c>
      <c r="B95" s="51" t="str">
        <f>IF('Statement of Marks'!B98="","",'Statement of Marks'!B98)</f>
        <v/>
      </c>
      <c r="C95" s="51" t="str">
        <f>IF('Statement of Marks'!C98="","",'Statement of Marks'!C98)</f>
        <v/>
      </c>
      <c r="D95" s="48" t="str">
        <f>IF('Statement of Marks'!D98="","",'Statement of Marks'!D98)</f>
        <v/>
      </c>
      <c r="E95" s="51" t="str">
        <f>IF('Statement of Marks'!G98="","",'Statement of Marks'!G98)</f>
        <v/>
      </c>
      <c r="F95" s="51" t="str">
        <f>IF('Statement of Marks'!I98="","",'Statement of Marks'!I98)</f>
        <v/>
      </c>
      <c r="G95" s="51" t="str">
        <f>IF('Statement of Marks'!DD98="","",'Statement of Marks'!DD98)</f>
        <v/>
      </c>
      <c r="H95" s="51" t="str">
        <f>IF('Statement of Marks'!DF98="","",'Statement of Marks'!DF98)</f>
        <v/>
      </c>
      <c r="I95" s="51" t="str">
        <f>IF('Statement of Marks'!DH98="","",'Statement of Marks'!DH98)</f>
        <v/>
      </c>
      <c r="J95" s="96" t="str">
        <f>IF('Statement of Marks'!DJ98="","",'Statement of Marks'!DJ98)</f>
        <v/>
      </c>
      <c r="K95" s="96" t="str">
        <f>IF('Statement of Marks'!DL98="","",'Statement of Marks'!DL98)</f>
        <v/>
      </c>
      <c r="L95" s="96" t="str">
        <f>IF('Statement of Marks'!DN98="","",'Statement of Marks'!DN98)</f>
        <v/>
      </c>
      <c r="M95" s="96" t="str">
        <f>IF('Statement of Marks'!DO98="","",'Statement of Marks'!DO98)</f>
        <v/>
      </c>
      <c r="N95" s="96" t="str">
        <f>IF('Statement of Marks'!DP98="","",'Statement of Marks'!DP98)</f>
        <v/>
      </c>
      <c r="O95" s="47" t="str">
        <f>IF('Statement of Marks'!BJ98="","",'Statement of Marks'!BJ98)</f>
        <v/>
      </c>
      <c r="P95" s="51" t="str">
        <f>IF('Statement of Marks'!BK98="","",'Statement of Marks'!BK98)</f>
        <v/>
      </c>
      <c r="Q95" s="50" t="str">
        <f>IF('Statement of Marks'!BI98="","",'Statement of Marks'!BI98)</f>
        <v/>
      </c>
      <c r="R95" s="51" t="str">
        <f>IF('Statement of Marks'!BL98="","",'Statement of Marks'!BL98)</f>
        <v/>
      </c>
    </row>
    <row r="96" spans="1:18" ht="30" customHeight="1" x14ac:dyDescent="0.2">
      <c r="A96" s="51" t="str">
        <f>IF('Statement of Marks'!A99="","",'Statement of Marks'!A99)</f>
        <v/>
      </c>
      <c r="B96" s="51" t="str">
        <f>IF('Statement of Marks'!B99="","",'Statement of Marks'!B99)</f>
        <v/>
      </c>
      <c r="C96" s="51" t="str">
        <f>IF('Statement of Marks'!C99="","",'Statement of Marks'!C99)</f>
        <v/>
      </c>
      <c r="D96" s="48" t="str">
        <f>IF('Statement of Marks'!D99="","",'Statement of Marks'!D99)</f>
        <v/>
      </c>
      <c r="E96" s="51" t="str">
        <f>IF('Statement of Marks'!G99="","",'Statement of Marks'!G99)</f>
        <v/>
      </c>
      <c r="F96" s="51" t="str">
        <f>IF('Statement of Marks'!I99="","",'Statement of Marks'!I99)</f>
        <v/>
      </c>
      <c r="G96" s="51" t="str">
        <f>IF('Statement of Marks'!DD99="","",'Statement of Marks'!DD99)</f>
        <v/>
      </c>
      <c r="H96" s="51" t="str">
        <f>IF('Statement of Marks'!DF99="","",'Statement of Marks'!DF99)</f>
        <v/>
      </c>
      <c r="I96" s="51" t="str">
        <f>IF('Statement of Marks'!DH99="","",'Statement of Marks'!DH99)</f>
        <v/>
      </c>
      <c r="J96" s="96" t="str">
        <f>IF('Statement of Marks'!DJ99="","",'Statement of Marks'!DJ99)</f>
        <v/>
      </c>
      <c r="K96" s="96" t="str">
        <f>IF('Statement of Marks'!DL99="","",'Statement of Marks'!DL99)</f>
        <v/>
      </c>
      <c r="L96" s="96" t="str">
        <f>IF('Statement of Marks'!DN99="","",'Statement of Marks'!DN99)</f>
        <v/>
      </c>
      <c r="M96" s="96" t="str">
        <f>IF('Statement of Marks'!DO99="","",'Statement of Marks'!DO99)</f>
        <v/>
      </c>
      <c r="N96" s="96" t="str">
        <f>IF('Statement of Marks'!DP99="","",'Statement of Marks'!DP99)</f>
        <v/>
      </c>
      <c r="O96" s="47" t="str">
        <f>IF('Statement of Marks'!BJ99="","",'Statement of Marks'!BJ99)</f>
        <v/>
      </c>
      <c r="P96" s="51" t="str">
        <f>IF('Statement of Marks'!BK99="","",'Statement of Marks'!BK99)</f>
        <v/>
      </c>
      <c r="Q96" s="50" t="str">
        <f>IF('Statement of Marks'!BI99="","",'Statement of Marks'!BI99)</f>
        <v/>
      </c>
      <c r="R96" s="51" t="str">
        <f>IF('Statement of Marks'!BL99="","",'Statement of Marks'!BL99)</f>
        <v/>
      </c>
    </row>
    <row r="97" spans="1:18" ht="30" customHeight="1" x14ac:dyDescent="0.2">
      <c r="A97" s="51" t="str">
        <f>IF('Statement of Marks'!A100="","",'Statement of Marks'!A100)</f>
        <v/>
      </c>
      <c r="B97" s="51" t="str">
        <f>IF('Statement of Marks'!B100="","",'Statement of Marks'!B100)</f>
        <v/>
      </c>
      <c r="C97" s="51" t="str">
        <f>IF('Statement of Marks'!C100="","",'Statement of Marks'!C100)</f>
        <v/>
      </c>
      <c r="D97" s="48" t="str">
        <f>IF('Statement of Marks'!D100="","",'Statement of Marks'!D100)</f>
        <v/>
      </c>
      <c r="E97" s="51" t="str">
        <f>IF('Statement of Marks'!G100="","",'Statement of Marks'!G100)</f>
        <v/>
      </c>
      <c r="F97" s="51" t="str">
        <f>IF('Statement of Marks'!I100="","",'Statement of Marks'!I100)</f>
        <v/>
      </c>
      <c r="G97" s="51" t="str">
        <f>IF('Statement of Marks'!DD100="","",'Statement of Marks'!DD100)</f>
        <v/>
      </c>
      <c r="H97" s="51" t="str">
        <f>IF('Statement of Marks'!DF100="","",'Statement of Marks'!DF100)</f>
        <v/>
      </c>
      <c r="I97" s="51" t="str">
        <f>IF('Statement of Marks'!DH100="","",'Statement of Marks'!DH100)</f>
        <v/>
      </c>
      <c r="J97" s="96" t="str">
        <f>IF('Statement of Marks'!DJ100="","",'Statement of Marks'!DJ100)</f>
        <v/>
      </c>
      <c r="K97" s="96" t="str">
        <f>IF('Statement of Marks'!DL100="","",'Statement of Marks'!DL100)</f>
        <v/>
      </c>
      <c r="L97" s="96" t="str">
        <f>IF('Statement of Marks'!DN100="","",'Statement of Marks'!DN100)</f>
        <v/>
      </c>
      <c r="M97" s="96" t="str">
        <f>IF('Statement of Marks'!DO100="","",'Statement of Marks'!DO100)</f>
        <v/>
      </c>
      <c r="N97" s="96" t="str">
        <f>IF('Statement of Marks'!DP100="","",'Statement of Marks'!DP100)</f>
        <v/>
      </c>
      <c r="O97" s="47" t="str">
        <f>IF('Statement of Marks'!BJ100="","",'Statement of Marks'!BJ100)</f>
        <v/>
      </c>
      <c r="P97" s="51" t="str">
        <f>IF('Statement of Marks'!BK100="","",'Statement of Marks'!BK100)</f>
        <v/>
      </c>
      <c r="Q97" s="50" t="str">
        <f>IF('Statement of Marks'!BI100="","",'Statement of Marks'!BI100)</f>
        <v/>
      </c>
      <c r="R97" s="51" t="str">
        <f>IF('Statement of Marks'!BL100="","",'Statement of Marks'!BL100)</f>
        <v/>
      </c>
    </row>
    <row r="98" spans="1:18" ht="30" customHeight="1" x14ac:dyDescent="0.2">
      <c r="A98" s="51" t="str">
        <f>IF('Statement of Marks'!A101="","",'Statement of Marks'!A101)</f>
        <v/>
      </c>
      <c r="B98" s="51" t="str">
        <f>IF('Statement of Marks'!B101="","",'Statement of Marks'!B101)</f>
        <v/>
      </c>
      <c r="C98" s="51" t="str">
        <f>IF('Statement of Marks'!C101="","",'Statement of Marks'!C101)</f>
        <v/>
      </c>
      <c r="D98" s="48" t="str">
        <f>IF('Statement of Marks'!D101="","",'Statement of Marks'!D101)</f>
        <v/>
      </c>
      <c r="E98" s="51" t="str">
        <f>IF('Statement of Marks'!G101="","",'Statement of Marks'!G101)</f>
        <v/>
      </c>
      <c r="F98" s="51" t="str">
        <f>IF('Statement of Marks'!I101="","",'Statement of Marks'!I101)</f>
        <v/>
      </c>
      <c r="G98" s="51" t="str">
        <f>IF('Statement of Marks'!DD101="","",'Statement of Marks'!DD101)</f>
        <v/>
      </c>
      <c r="H98" s="51" t="str">
        <f>IF('Statement of Marks'!DF101="","",'Statement of Marks'!DF101)</f>
        <v/>
      </c>
      <c r="I98" s="51" t="str">
        <f>IF('Statement of Marks'!DH101="","",'Statement of Marks'!DH101)</f>
        <v/>
      </c>
      <c r="J98" s="96" t="str">
        <f>IF('Statement of Marks'!DJ101="","",'Statement of Marks'!DJ101)</f>
        <v/>
      </c>
      <c r="K98" s="96" t="str">
        <f>IF('Statement of Marks'!DL101="","",'Statement of Marks'!DL101)</f>
        <v/>
      </c>
      <c r="L98" s="96" t="str">
        <f>IF('Statement of Marks'!DN101="","",'Statement of Marks'!DN101)</f>
        <v/>
      </c>
      <c r="M98" s="96" t="str">
        <f>IF('Statement of Marks'!DO101="","",'Statement of Marks'!DO101)</f>
        <v/>
      </c>
      <c r="N98" s="96" t="str">
        <f>IF('Statement of Marks'!DP101="","",'Statement of Marks'!DP101)</f>
        <v/>
      </c>
      <c r="O98" s="47" t="str">
        <f>IF('Statement of Marks'!BJ101="","",'Statement of Marks'!BJ101)</f>
        <v/>
      </c>
      <c r="P98" s="51" t="str">
        <f>IF('Statement of Marks'!BK101="","",'Statement of Marks'!BK101)</f>
        <v/>
      </c>
      <c r="Q98" s="50" t="str">
        <f>IF('Statement of Marks'!BI101="","",'Statement of Marks'!BI101)</f>
        <v/>
      </c>
      <c r="R98" s="51" t="str">
        <f>IF('Statement of Marks'!BL101="","",'Statement of Marks'!BL101)</f>
        <v/>
      </c>
    </row>
    <row r="99" spans="1:18" ht="30" customHeight="1" x14ac:dyDescent="0.2">
      <c r="A99" s="51" t="str">
        <f>IF('Statement of Marks'!A102="","",'Statement of Marks'!A102)</f>
        <v/>
      </c>
      <c r="B99" s="51" t="str">
        <f>IF('Statement of Marks'!B102="","",'Statement of Marks'!B102)</f>
        <v/>
      </c>
      <c r="C99" s="51" t="str">
        <f>IF('Statement of Marks'!C102="","",'Statement of Marks'!C102)</f>
        <v/>
      </c>
      <c r="D99" s="48" t="str">
        <f>IF('Statement of Marks'!D102="","",'Statement of Marks'!D102)</f>
        <v/>
      </c>
      <c r="E99" s="51" t="str">
        <f>IF('Statement of Marks'!G102="","",'Statement of Marks'!G102)</f>
        <v/>
      </c>
      <c r="F99" s="51" t="str">
        <f>IF('Statement of Marks'!I102="","",'Statement of Marks'!I102)</f>
        <v/>
      </c>
      <c r="G99" s="51" t="str">
        <f>IF('Statement of Marks'!DD102="","",'Statement of Marks'!DD102)</f>
        <v/>
      </c>
      <c r="H99" s="51" t="str">
        <f>IF('Statement of Marks'!DF102="","",'Statement of Marks'!DF102)</f>
        <v/>
      </c>
      <c r="I99" s="51" t="str">
        <f>IF('Statement of Marks'!DH102="","",'Statement of Marks'!DH102)</f>
        <v/>
      </c>
      <c r="J99" s="96" t="str">
        <f>IF('Statement of Marks'!DJ102="","",'Statement of Marks'!DJ102)</f>
        <v/>
      </c>
      <c r="K99" s="96" t="str">
        <f>IF('Statement of Marks'!DL102="","",'Statement of Marks'!DL102)</f>
        <v/>
      </c>
      <c r="L99" s="96" t="str">
        <f>IF('Statement of Marks'!DN102="","",'Statement of Marks'!DN102)</f>
        <v/>
      </c>
      <c r="M99" s="96" t="str">
        <f>IF('Statement of Marks'!DO102="","",'Statement of Marks'!DO102)</f>
        <v/>
      </c>
      <c r="N99" s="96" t="str">
        <f>IF('Statement of Marks'!DP102="","",'Statement of Marks'!DP102)</f>
        <v/>
      </c>
      <c r="O99" s="47" t="str">
        <f>IF('Statement of Marks'!BJ102="","",'Statement of Marks'!BJ102)</f>
        <v/>
      </c>
      <c r="P99" s="51" t="str">
        <f>IF('Statement of Marks'!BK102="","",'Statement of Marks'!BK102)</f>
        <v/>
      </c>
      <c r="Q99" s="50" t="str">
        <f>IF('Statement of Marks'!BI102="","",'Statement of Marks'!BI102)</f>
        <v/>
      </c>
      <c r="R99" s="51" t="str">
        <f>IF('Statement of Marks'!BL102="","",'Statement of Marks'!BL102)</f>
        <v/>
      </c>
    </row>
    <row r="100" spans="1:18" ht="30" customHeight="1" x14ac:dyDescent="0.2">
      <c r="A100" s="51" t="str">
        <f>IF('Statement of Marks'!A103="","",'Statement of Marks'!A103)</f>
        <v/>
      </c>
      <c r="B100" s="51" t="str">
        <f>IF('Statement of Marks'!B103="","",'Statement of Marks'!B103)</f>
        <v/>
      </c>
      <c r="C100" s="51" t="str">
        <f>IF('Statement of Marks'!C103="","",'Statement of Marks'!C103)</f>
        <v/>
      </c>
      <c r="D100" s="48" t="str">
        <f>IF('Statement of Marks'!D103="","",'Statement of Marks'!D103)</f>
        <v/>
      </c>
      <c r="E100" s="51" t="str">
        <f>IF('Statement of Marks'!G103="","",'Statement of Marks'!G103)</f>
        <v/>
      </c>
      <c r="F100" s="51" t="str">
        <f>IF('Statement of Marks'!I103="","",'Statement of Marks'!I103)</f>
        <v/>
      </c>
      <c r="G100" s="51" t="str">
        <f>IF('Statement of Marks'!DD103="","",'Statement of Marks'!DD103)</f>
        <v/>
      </c>
      <c r="H100" s="51" t="str">
        <f>IF('Statement of Marks'!DF103="","",'Statement of Marks'!DF103)</f>
        <v/>
      </c>
      <c r="I100" s="51" t="str">
        <f>IF('Statement of Marks'!DH103="","",'Statement of Marks'!DH103)</f>
        <v/>
      </c>
      <c r="J100" s="96" t="str">
        <f>IF('Statement of Marks'!DJ103="","",'Statement of Marks'!DJ103)</f>
        <v/>
      </c>
      <c r="K100" s="96" t="str">
        <f>IF('Statement of Marks'!DL103="","",'Statement of Marks'!DL103)</f>
        <v/>
      </c>
      <c r="L100" s="96" t="str">
        <f>IF('Statement of Marks'!DN103="","",'Statement of Marks'!DN103)</f>
        <v/>
      </c>
      <c r="M100" s="96" t="str">
        <f>IF('Statement of Marks'!DO103="","",'Statement of Marks'!DO103)</f>
        <v/>
      </c>
      <c r="N100" s="96" t="str">
        <f>IF('Statement of Marks'!DP103="","",'Statement of Marks'!DP103)</f>
        <v/>
      </c>
      <c r="O100" s="47" t="str">
        <f>IF('Statement of Marks'!BJ103="","",'Statement of Marks'!BJ103)</f>
        <v/>
      </c>
      <c r="P100" s="51" t="str">
        <f>IF('Statement of Marks'!BK103="","",'Statement of Marks'!BK103)</f>
        <v/>
      </c>
      <c r="Q100" s="50" t="str">
        <f>IF('Statement of Marks'!BI103="","",'Statement of Marks'!BI103)</f>
        <v/>
      </c>
      <c r="R100" s="51" t="str">
        <f>IF('Statement of Marks'!BL103="","",'Statement of Marks'!BL103)</f>
        <v/>
      </c>
    </row>
    <row r="101" spans="1:18" ht="30" customHeight="1" x14ac:dyDescent="0.2">
      <c r="A101" s="51" t="str">
        <f>IF('Statement of Marks'!A104="","",'Statement of Marks'!A104)</f>
        <v/>
      </c>
      <c r="B101" s="51" t="str">
        <f>IF('Statement of Marks'!B104="","",'Statement of Marks'!B104)</f>
        <v/>
      </c>
      <c r="C101" s="51" t="str">
        <f>IF('Statement of Marks'!C104="","",'Statement of Marks'!C104)</f>
        <v/>
      </c>
      <c r="D101" s="48" t="str">
        <f>IF('Statement of Marks'!D104="","",'Statement of Marks'!D104)</f>
        <v/>
      </c>
      <c r="E101" s="51" t="str">
        <f>IF('Statement of Marks'!G104="","",'Statement of Marks'!G104)</f>
        <v/>
      </c>
      <c r="F101" s="51" t="str">
        <f>IF('Statement of Marks'!I104="","",'Statement of Marks'!I104)</f>
        <v/>
      </c>
      <c r="G101" s="51" t="str">
        <f>IF('Statement of Marks'!DD104="","",'Statement of Marks'!DD104)</f>
        <v/>
      </c>
      <c r="H101" s="51" t="str">
        <f>IF('Statement of Marks'!DF104="","",'Statement of Marks'!DF104)</f>
        <v/>
      </c>
      <c r="I101" s="51" t="str">
        <f>IF('Statement of Marks'!DH104="","",'Statement of Marks'!DH104)</f>
        <v/>
      </c>
      <c r="J101" s="96" t="str">
        <f>IF('Statement of Marks'!DJ104="","",'Statement of Marks'!DJ104)</f>
        <v/>
      </c>
      <c r="K101" s="96" t="str">
        <f>IF('Statement of Marks'!DL104="","",'Statement of Marks'!DL104)</f>
        <v/>
      </c>
      <c r="L101" s="96" t="str">
        <f>IF('Statement of Marks'!DN104="","",'Statement of Marks'!DN104)</f>
        <v/>
      </c>
      <c r="M101" s="96" t="str">
        <f>IF('Statement of Marks'!DO104="","",'Statement of Marks'!DO104)</f>
        <v/>
      </c>
      <c r="N101" s="96" t="str">
        <f>IF('Statement of Marks'!DP104="","",'Statement of Marks'!DP104)</f>
        <v/>
      </c>
      <c r="O101" s="47" t="str">
        <f>IF('Statement of Marks'!BJ104="","",'Statement of Marks'!BJ104)</f>
        <v/>
      </c>
      <c r="P101" s="51" t="str">
        <f>IF('Statement of Marks'!BK104="","",'Statement of Marks'!BK104)</f>
        <v/>
      </c>
      <c r="Q101" s="50" t="str">
        <f>IF('Statement of Marks'!BI104="","",'Statement of Marks'!BI104)</f>
        <v/>
      </c>
      <c r="R101" s="51" t="str">
        <f>IF('Statement of Marks'!BL104="","",'Statement of Marks'!BL104)</f>
        <v/>
      </c>
    </row>
    <row r="102" spans="1:18" ht="30" customHeight="1" x14ac:dyDescent="0.2">
      <c r="A102" s="51" t="str">
        <f>IF('Statement of Marks'!A105="","",'Statement of Marks'!A105)</f>
        <v/>
      </c>
      <c r="B102" s="51" t="str">
        <f>IF('Statement of Marks'!B105="","",'Statement of Marks'!B105)</f>
        <v/>
      </c>
      <c r="C102" s="51" t="str">
        <f>IF('Statement of Marks'!C105="","",'Statement of Marks'!C105)</f>
        <v/>
      </c>
      <c r="D102" s="48" t="str">
        <f>IF('Statement of Marks'!D105="","",'Statement of Marks'!D105)</f>
        <v/>
      </c>
      <c r="E102" s="51" t="str">
        <f>IF('Statement of Marks'!G105="","",'Statement of Marks'!G105)</f>
        <v/>
      </c>
      <c r="F102" s="51" t="str">
        <f>IF('Statement of Marks'!I105="","",'Statement of Marks'!I105)</f>
        <v/>
      </c>
      <c r="G102" s="51" t="str">
        <f>IF('Statement of Marks'!DD105="","",'Statement of Marks'!DD105)</f>
        <v/>
      </c>
      <c r="H102" s="51" t="str">
        <f>IF('Statement of Marks'!DF105="","",'Statement of Marks'!DF105)</f>
        <v/>
      </c>
      <c r="I102" s="51" t="str">
        <f>IF('Statement of Marks'!DH105="","",'Statement of Marks'!DH105)</f>
        <v/>
      </c>
      <c r="J102" s="96" t="str">
        <f>IF('Statement of Marks'!DJ105="","",'Statement of Marks'!DJ105)</f>
        <v/>
      </c>
      <c r="K102" s="96" t="str">
        <f>IF('Statement of Marks'!DL105="","",'Statement of Marks'!DL105)</f>
        <v/>
      </c>
      <c r="L102" s="96" t="str">
        <f>IF('Statement of Marks'!DN105="","",'Statement of Marks'!DN105)</f>
        <v/>
      </c>
      <c r="M102" s="96" t="str">
        <f>IF('Statement of Marks'!DO105="","",'Statement of Marks'!DO105)</f>
        <v/>
      </c>
      <c r="N102" s="96" t="str">
        <f>IF('Statement of Marks'!DP105="","",'Statement of Marks'!DP105)</f>
        <v/>
      </c>
      <c r="O102" s="47" t="str">
        <f>IF('Statement of Marks'!BJ105="","",'Statement of Marks'!BJ105)</f>
        <v/>
      </c>
      <c r="P102" s="51" t="str">
        <f>IF('Statement of Marks'!BK105="","",'Statement of Marks'!BK105)</f>
        <v/>
      </c>
      <c r="Q102" s="50" t="str">
        <f>IF('Statement of Marks'!BI105="","",'Statement of Marks'!BI105)</f>
        <v/>
      </c>
      <c r="R102" s="51" t="str">
        <f>IF('Statement of Marks'!BL105="","",'Statement of Marks'!BL105)</f>
        <v/>
      </c>
    </row>
    <row r="103" spans="1:18" ht="30" customHeight="1" x14ac:dyDescent="0.2">
      <c r="A103" s="51" t="str">
        <f>IF('Statement of Marks'!A106="","",'Statement of Marks'!A106)</f>
        <v/>
      </c>
      <c r="B103" s="51" t="str">
        <f>IF('Statement of Marks'!B106="","",'Statement of Marks'!B106)</f>
        <v/>
      </c>
      <c r="C103" s="51" t="str">
        <f>IF('Statement of Marks'!C106="","",'Statement of Marks'!C106)</f>
        <v/>
      </c>
      <c r="D103" s="48" t="str">
        <f>IF('Statement of Marks'!D106="","",'Statement of Marks'!D106)</f>
        <v/>
      </c>
      <c r="E103" s="51" t="str">
        <f>IF('Statement of Marks'!G106="","",'Statement of Marks'!G106)</f>
        <v/>
      </c>
      <c r="F103" s="51" t="str">
        <f>IF('Statement of Marks'!I106="","",'Statement of Marks'!I106)</f>
        <v/>
      </c>
      <c r="G103" s="51" t="str">
        <f>IF('Statement of Marks'!DD106="","",'Statement of Marks'!DD106)</f>
        <v/>
      </c>
      <c r="H103" s="51" t="str">
        <f>IF('Statement of Marks'!DF106="","",'Statement of Marks'!DF106)</f>
        <v/>
      </c>
      <c r="I103" s="51" t="str">
        <f>IF('Statement of Marks'!DH106="","",'Statement of Marks'!DH106)</f>
        <v/>
      </c>
      <c r="J103" s="96" t="str">
        <f>IF('Statement of Marks'!DJ106="","",'Statement of Marks'!DJ106)</f>
        <v/>
      </c>
      <c r="K103" s="96" t="str">
        <f>IF('Statement of Marks'!DL106="","",'Statement of Marks'!DL106)</f>
        <v/>
      </c>
      <c r="L103" s="96" t="str">
        <f>IF('Statement of Marks'!DN106="","",'Statement of Marks'!DN106)</f>
        <v/>
      </c>
      <c r="M103" s="96" t="str">
        <f>IF('Statement of Marks'!DO106="","",'Statement of Marks'!DO106)</f>
        <v/>
      </c>
      <c r="N103" s="96" t="str">
        <f>IF('Statement of Marks'!DP106="","",'Statement of Marks'!DP106)</f>
        <v/>
      </c>
      <c r="O103" s="47" t="str">
        <f>IF('Statement of Marks'!BJ106="","",'Statement of Marks'!BJ106)</f>
        <v/>
      </c>
      <c r="P103" s="51" t="str">
        <f>IF('Statement of Marks'!BK106="","",'Statement of Marks'!BK106)</f>
        <v/>
      </c>
      <c r="Q103" s="50" t="str">
        <f>IF('Statement of Marks'!BI106="","",'Statement of Marks'!BI106)</f>
        <v/>
      </c>
      <c r="R103" s="51" t="str">
        <f>IF('Statement of Marks'!BL106="","",'Statement of Marks'!BL106)</f>
        <v/>
      </c>
    </row>
    <row r="104" spans="1:18" ht="30" customHeight="1" x14ac:dyDescent="0.2">
      <c r="A104" s="51" t="str">
        <f>IF('Statement of Marks'!A107="","",'Statement of Marks'!A107)</f>
        <v/>
      </c>
      <c r="B104" s="51" t="str">
        <f>IF('Statement of Marks'!B107="","",'Statement of Marks'!B107)</f>
        <v/>
      </c>
      <c r="C104" s="51" t="str">
        <f>IF('Statement of Marks'!C107="","",'Statement of Marks'!C107)</f>
        <v/>
      </c>
      <c r="D104" s="48" t="str">
        <f>IF('Statement of Marks'!D107="","",'Statement of Marks'!D107)</f>
        <v/>
      </c>
      <c r="E104" s="51" t="str">
        <f>IF('Statement of Marks'!G107="","",'Statement of Marks'!G107)</f>
        <v/>
      </c>
      <c r="F104" s="51" t="str">
        <f>IF('Statement of Marks'!I107="","",'Statement of Marks'!I107)</f>
        <v/>
      </c>
      <c r="G104" s="51" t="str">
        <f>IF('Statement of Marks'!DD107="","",'Statement of Marks'!DD107)</f>
        <v/>
      </c>
      <c r="H104" s="51" t="str">
        <f>IF('Statement of Marks'!DF107="","",'Statement of Marks'!DF107)</f>
        <v/>
      </c>
      <c r="I104" s="51" t="str">
        <f>IF('Statement of Marks'!DH107="","",'Statement of Marks'!DH107)</f>
        <v/>
      </c>
      <c r="J104" s="96" t="str">
        <f>IF('Statement of Marks'!DJ107="","",'Statement of Marks'!DJ107)</f>
        <v/>
      </c>
      <c r="K104" s="96" t="str">
        <f>IF('Statement of Marks'!DL107="","",'Statement of Marks'!DL107)</f>
        <v/>
      </c>
      <c r="L104" s="96" t="str">
        <f>IF('Statement of Marks'!DN107="","",'Statement of Marks'!DN107)</f>
        <v/>
      </c>
      <c r="M104" s="96" t="str">
        <f>IF('Statement of Marks'!DO107="","",'Statement of Marks'!DO107)</f>
        <v/>
      </c>
      <c r="N104" s="96" t="str">
        <f>IF('Statement of Marks'!DP107="","",'Statement of Marks'!DP107)</f>
        <v/>
      </c>
      <c r="O104" s="47" t="str">
        <f>IF('Statement of Marks'!BJ107="","",'Statement of Marks'!BJ107)</f>
        <v/>
      </c>
      <c r="P104" s="51" t="str">
        <f>IF('Statement of Marks'!BK107="","",'Statement of Marks'!BK107)</f>
        <v/>
      </c>
      <c r="Q104" s="50" t="str">
        <f>IF('Statement of Marks'!BI107="","",'Statement of Marks'!BI107)</f>
        <v/>
      </c>
      <c r="R104" s="51" t="str">
        <f>IF('Statement of Marks'!BL107="","",'Statement of Marks'!BL107)</f>
        <v/>
      </c>
    </row>
    <row r="105" spans="1:18" ht="30" customHeight="1" x14ac:dyDescent="0.2">
      <c r="A105" s="51" t="str">
        <f>IF('Statement of Marks'!A108="","",'Statement of Marks'!A108)</f>
        <v/>
      </c>
      <c r="B105" s="51" t="str">
        <f>IF('Statement of Marks'!B108="","",'Statement of Marks'!B108)</f>
        <v/>
      </c>
      <c r="C105" s="51" t="str">
        <f>IF('Statement of Marks'!C108="","",'Statement of Marks'!C108)</f>
        <v/>
      </c>
      <c r="D105" s="48" t="str">
        <f>IF('Statement of Marks'!D108="","",'Statement of Marks'!D108)</f>
        <v/>
      </c>
      <c r="E105" s="51" t="str">
        <f>IF('Statement of Marks'!G108="","",'Statement of Marks'!G108)</f>
        <v/>
      </c>
      <c r="F105" s="51" t="str">
        <f>IF('Statement of Marks'!I108="","",'Statement of Marks'!I108)</f>
        <v/>
      </c>
      <c r="G105" s="51" t="str">
        <f>IF('Statement of Marks'!DD108="","",'Statement of Marks'!DD108)</f>
        <v/>
      </c>
      <c r="H105" s="51" t="str">
        <f>IF('Statement of Marks'!DF108="","",'Statement of Marks'!DF108)</f>
        <v/>
      </c>
      <c r="I105" s="51" t="str">
        <f>IF('Statement of Marks'!DH108="","",'Statement of Marks'!DH108)</f>
        <v/>
      </c>
      <c r="J105" s="96" t="str">
        <f>IF('Statement of Marks'!DJ108="","",'Statement of Marks'!DJ108)</f>
        <v/>
      </c>
      <c r="K105" s="96" t="str">
        <f>IF('Statement of Marks'!DL108="","",'Statement of Marks'!DL108)</f>
        <v/>
      </c>
      <c r="L105" s="96" t="str">
        <f>IF('Statement of Marks'!DN108="","",'Statement of Marks'!DN108)</f>
        <v/>
      </c>
      <c r="M105" s="96" t="str">
        <f>IF('Statement of Marks'!DO108="","",'Statement of Marks'!DO108)</f>
        <v/>
      </c>
      <c r="N105" s="96" t="str">
        <f>IF('Statement of Marks'!DP108="","",'Statement of Marks'!DP108)</f>
        <v/>
      </c>
      <c r="O105" s="47" t="str">
        <f>IF('Statement of Marks'!BJ108="","",'Statement of Marks'!BJ108)</f>
        <v/>
      </c>
      <c r="P105" s="51" t="str">
        <f>IF('Statement of Marks'!BK108="","",'Statement of Marks'!BK108)</f>
        <v/>
      </c>
      <c r="Q105" s="50" t="str">
        <f>IF('Statement of Marks'!BI108="","",'Statement of Marks'!BI108)</f>
        <v/>
      </c>
      <c r="R105" s="51" t="str">
        <f>IF('Statement of Marks'!BL108="","",'Statement of Marks'!BL108)</f>
        <v/>
      </c>
    </row>
    <row r="106" spans="1:18" ht="30" customHeight="1" x14ac:dyDescent="0.2">
      <c r="A106" s="51" t="str">
        <f>IF('Statement of Marks'!A109="","",'Statement of Marks'!A109)</f>
        <v/>
      </c>
      <c r="B106" s="51" t="str">
        <f>IF('Statement of Marks'!B109="","",'Statement of Marks'!B109)</f>
        <v/>
      </c>
      <c r="C106" s="51" t="str">
        <f>IF('Statement of Marks'!C109="","",'Statement of Marks'!C109)</f>
        <v/>
      </c>
      <c r="D106" s="48" t="str">
        <f>IF('Statement of Marks'!D109="","",'Statement of Marks'!D109)</f>
        <v/>
      </c>
      <c r="E106" s="51" t="str">
        <f>IF('Statement of Marks'!G109="","",'Statement of Marks'!G109)</f>
        <v/>
      </c>
      <c r="F106" s="51" t="str">
        <f>IF('Statement of Marks'!I109="","",'Statement of Marks'!I109)</f>
        <v/>
      </c>
      <c r="G106" s="51" t="str">
        <f>IF('Statement of Marks'!DD109="","",'Statement of Marks'!DD109)</f>
        <v/>
      </c>
      <c r="H106" s="51" t="str">
        <f>IF('Statement of Marks'!DF109="","",'Statement of Marks'!DF109)</f>
        <v/>
      </c>
      <c r="I106" s="51" t="str">
        <f>IF('Statement of Marks'!DH109="","",'Statement of Marks'!DH109)</f>
        <v/>
      </c>
      <c r="J106" s="96" t="str">
        <f>IF('Statement of Marks'!DJ109="","",'Statement of Marks'!DJ109)</f>
        <v/>
      </c>
      <c r="K106" s="96" t="str">
        <f>IF('Statement of Marks'!DL109="","",'Statement of Marks'!DL109)</f>
        <v/>
      </c>
      <c r="L106" s="96" t="str">
        <f>IF('Statement of Marks'!DN109="","",'Statement of Marks'!DN109)</f>
        <v/>
      </c>
      <c r="M106" s="96" t="str">
        <f>IF('Statement of Marks'!DO109="","",'Statement of Marks'!DO109)</f>
        <v/>
      </c>
      <c r="N106" s="96" t="str">
        <f>IF('Statement of Marks'!DP109="","",'Statement of Marks'!DP109)</f>
        <v/>
      </c>
      <c r="O106" s="47" t="str">
        <f>IF('Statement of Marks'!BJ109="","",'Statement of Marks'!BJ109)</f>
        <v/>
      </c>
      <c r="P106" s="51" t="str">
        <f>IF('Statement of Marks'!BK109="","",'Statement of Marks'!BK109)</f>
        <v/>
      </c>
      <c r="Q106" s="50" t="str">
        <f>IF('Statement of Marks'!BI109="","",'Statement of Marks'!BI109)</f>
        <v/>
      </c>
      <c r="R106" s="51" t="str">
        <f>IF('Statement of Marks'!BL109="","",'Statement of Marks'!BL109)</f>
        <v/>
      </c>
    </row>
    <row r="107" spans="1:18" ht="10.5" customHeight="1" x14ac:dyDescent="0.2"/>
    <row r="108" spans="1:18" ht="20.100000000000001" customHeight="1" x14ac:dyDescent="0.2">
      <c r="A108" s="240"/>
      <c r="B108" s="241"/>
      <c r="C108" s="242"/>
      <c r="D108" s="254" t="s">
        <v>3547</v>
      </c>
      <c r="E108" s="254"/>
      <c r="F108" s="254"/>
      <c r="G108" s="51">
        <f>SUM(G113,G115,G116,G117,)</f>
        <v>17</v>
      </c>
      <c r="H108" s="51">
        <f t="shared" ref="H108:N108" si="0">SUM(H113,H115,H116,H117,)</f>
        <v>17</v>
      </c>
      <c r="I108" s="51">
        <f t="shared" si="0"/>
        <v>17</v>
      </c>
      <c r="J108" s="51">
        <f t="shared" si="0"/>
        <v>17</v>
      </c>
      <c r="K108" s="51">
        <f t="shared" si="0"/>
        <v>17</v>
      </c>
      <c r="L108" s="51">
        <f t="shared" si="0"/>
        <v>17</v>
      </c>
      <c r="M108" s="51">
        <f t="shared" si="0"/>
        <v>17</v>
      </c>
      <c r="N108" s="51">
        <f t="shared" si="0"/>
        <v>0</v>
      </c>
      <c r="O108" s="256"/>
      <c r="P108" s="257"/>
      <c r="Q108" s="257"/>
      <c r="R108" s="258"/>
    </row>
    <row r="109" spans="1:18" ht="20.100000000000001" customHeight="1" x14ac:dyDescent="0.2">
      <c r="A109" s="243"/>
      <c r="B109" s="244"/>
      <c r="C109" s="245"/>
      <c r="D109" s="254" t="s">
        <v>3561</v>
      </c>
      <c r="E109" s="254"/>
      <c r="F109" s="254"/>
      <c r="G109" s="51">
        <f>COUNTIF(G6:G106,"D")</f>
        <v>0</v>
      </c>
      <c r="H109" s="51">
        <f t="shared" ref="H109:K109" si="1">COUNTIF(H6:H106,"D")</f>
        <v>0</v>
      </c>
      <c r="I109" s="51">
        <f t="shared" si="1"/>
        <v>2</v>
      </c>
      <c r="J109" s="51">
        <f t="shared" si="1"/>
        <v>0</v>
      </c>
      <c r="K109" s="51">
        <f t="shared" si="1"/>
        <v>0</v>
      </c>
      <c r="L109" s="51">
        <f>COUNTIF(L6:L106,"A")</f>
        <v>0</v>
      </c>
      <c r="M109" s="96">
        <f t="shared" ref="M109:N109" si="2">COUNTIF(M6:M106,"A")</f>
        <v>0</v>
      </c>
      <c r="N109" s="96">
        <f t="shared" si="2"/>
        <v>0</v>
      </c>
      <c r="O109" s="259"/>
      <c r="P109" s="260"/>
      <c r="Q109" s="260"/>
      <c r="R109" s="261"/>
    </row>
    <row r="110" spans="1:18" ht="20.100000000000001" customHeight="1" x14ac:dyDescent="0.2">
      <c r="A110" s="243"/>
      <c r="B110" s="244"/>
      <c r="C110" s="245"/>
      <c r="D110" s="254" t="s">
        <v>3548</v>
      </c>
      <c r="E110" s="254"/>
      <c r="F110" s="254"/>
      <c r="G110" s="51">
        <f>COUNTIF(G6:G106,"I")</f>
        <v>1</v>
      </c>
      <c r="H110" s="51">
        <f t="shared" ref="H110:K110" si="3">COUNTIF(H6:H106,"I")</f>
        <v>1</v>
      </c>
      <c r="I110" s="51">
        <f t="shared" si="3"/>
        <v>2</v>
      </c>
      <c r="J110" s="51">
        <f t="shared" si="3"/>
        <v>9</v>
      </c>
      <c r="K110" s="51">
        <f t="shared" si="3"/>
        <v>1</v>
      </c>
      <c r="L110" s="51">
        <f>COUNTIF(L6:L106,"B")</f>
        <v>17</v>
      </c>
      <c r="M110" s="96">
        <f t="shared" ref="M110:N110" si="4">COUNTIF(M6:M106,"B")</f>
        <v>17</v>
      </c>
      <c r="N110" s="96">
        <f t="shared" si="4"/>
        <v>0</v>
      </c>
      <c r="O110" s="259"/>
      <c r="P110" s="260"/>
      <c r="Q110" s="260"/>
      <c r="R110" s="261"/>
    </row>
    <row r="111" spans="1:18" ht="20.100000000000001" customHeight="1" x14ac:dyDescent="0.2">
      <c r="A111" s="243"/>
      <c r="B111" s="244"/>
      <c r="C111" s="245"/>
      <c r="D111" s="254" t="s">
        <v>3549</v>
      </c>
      <c r="E111" s="254"/>
      <c r="F111" s="254"/>
      <c r="G111" s="51">
        <f>COUNTIF(G6:G106,"II")</f>
        <v>10</v>
      </c>
      <c r="H111" s="51">
        <f t="shared" ref="H111:K111" si="5">COUNTIF(H6:H106,"II")</f>
        <v>10</v>
      </c>
      <c r="I111" s="51">
        <f t="shared" si="5"/>
        <v>9</v>
      </c>
      <c r="J111" s="51">
        <f t="shared" si="5"/>
        <v>3</v>
      </c>
      <c r="K111" s="51">
        <f t="shared" si="5"/>
        <v>13</v>
      </c>
      <c r="L111" s="51">
        <f>COUNTIF(L6:L106,"C")</f>
        <v>0</v>
      </c>
      <c r="M111" s="96">
        <f t="shared" ref="M111:N111" si="6">COUNTIF(M6:M106,"C")</f>
        <v>0</v>
      </c>
      <c r="N111" s="96">
        <f t="shared" si="6"/>
        <v>0</v>
      </c>
      <c r="O111" s="259"/>
      <c r="P111" s="260"/>
      <c r="Q111" s="260"/>
      <c r="R111" s="261"/>
    </row>
    <row r="112" spans="1:18" ht="20.100000000000001" customHeight="1" x14ac:dyDescent="0.2">
      <c r="A112" s="243"/>
      <c r="B112" s="244"/>
      <c r="C112" s="245"/>
      <c r="D112" s="254" t="s">
        <v>3550</v>
      </c>
      <c r="E112" s="254"/>
      <c r="F112" s="254"/>
      <c r="G112" s="51">
        <f>COUNTIF(G6:G106,"III")+COUNTIF(G6:G106,"G")</f>
        <v>5</v>
      </c>
      <c r="H112" s="51">
        <f t="shared" ref="H112:K112" si="7">COUNTIF(H6:H106,"III")+COUNTIF(H6:H106,"G")</f>
        <v>4</v>
      </c>
      <c r="I112" s="51">
        <f t="shared" si="7"/>
        <v>3</v>
      </c>
      <c r="J112" s="51">
        <f t="shared" si="7"/>
        <v>4</v>
      </c>
      <c r="K112" s="51">
        <f t="shared" si="7"/>
        <v>3</v>
      </c>
      <c r="L112" s="51">
        <f>COUNTIF(L6:L106,"D")</f>
        <v>0</v>
      </c>
      <c r="M112" s="96">
        <f t="shared" ref="M112:N112" si="8">COUNTIF(M6:M106,"D")</f>
        <v>0</v>
      </c>
      <c r="N112" s="96">
        <f t="shared" si="8"/>
        <v>0</v>
      </c>
      <c r="O112" s="259"/>
      <c r="P112" s="260"/>
      <c r="Q112" s="260"/>
      <c r="R112" s="261"/>
    </row>
    <row r="113" spans="1:18" ht="20.100000000000001" customHeight="1" x14ac:dyDescent="0.2">
      <c r="A113" s="243"/>
      <c r="B113" s="244"/>
      <c r="C113" s="245"/>
      <c r="D113" s="254" t="s">
        <v>3551</v>
      </c>
      <c r="E113" s="254"/>
      <c r="F113" s="254"/>
      <c r="G113" s="51">
        <f>SUM(G109:G112)</f>
        <v>16</v>
      </c>
      <c r="H113" s="51">
        <f t="shared" ref="H113:N113" si="9">SUM(H109:H112)</f>
        <v>15</v>
      </c>
      <c r="I113" s="51">
        <f t="shared" si="9"/>
        <v>16</v>
      </c>
      <c r="J113" s="51">
        <f t="shared" si="9"/>
        <v>16</v>
      </c>
      <c r="K113" s="51">
        <f t="shared" si="9"/>
        <v>17</v>
      </c>
      <c r="L113" s="51">
        <f t="shared" si="9"/>
        <v>17</v>
      </c>
      <c r="M113" s="51">
        <f t="shared" si="9"/>
        <v>17</v>
      </c>
      <c r="N113" s="51">
        <f t="shared" si="9"/>
        <v>0</v>
      </c>
      <c r="O113" s="259"/>
      <c r="P113" s="260"/>
      <c r="Q113" s="260"/>
      <c r="R113" s="261"/>
    </row>
    <row r="114" spans="1:18" ht="53.25" customHeight="1" x14ac:dyDescent="0.2">
      <c r="A114" s="243"/>
      <c r="B114" s="244"/>
      <c r="C114" s="245"/>
      <c r="D114" s="254" t="s">
        <v>3554</v>
      </c>
      <c r="E114" s="254"/>
      <c r="F114" s="254"/>
      <c r="G114" s="59">
        <f>G113/G108</f>
        <v>0.94117647058823528</v>
      </c>
      <c r="H114" s="59">
        <f t="shared" ref="H114:N114" si="10">H113/H108</f>
        <v>0.88235294117647056</v>
      </c>
      <c r="I114" s="59">
        <f t="shared" si="10"/>
        <v>0.94117647058823528</v>
      </c>
      <c r="J114" s="59">
        <f t="shared" si="10"/>
        <v>0.94117647058823528</v>
      </c>
      <c r="K114" s="59">
        <f t="shared" si="10"/>
        <v>1</v>
      </c>
      <c r="L114" s="59">
        <f t="shared" si="10"/>
        <v>1</v>
      </c>
      <c r="M114" s="59">
        <f t="shared" si="10"/>
        <v>1</v>
      </c>
      <c r="N114" s="59" t="e">
        <f t="shared" si="10"/>
        <v>#DIV/0!</v>
      </c>
      <c r="O114" s="259"/>
      <c r="P114" s="260"/>
      <c r="Q114" s="260"/>
      <c r="R114" s="261"/>
    </row>
    <row r="115" spans="1:18" ht="20.100000000000001" customHeight="1" x14ac:dyDescent="0.2">
      <c r="A115" s="243"/>
      <c r="B115" s="244"/>
      <c r="C115" s="245"/>
      <c r="D115" s="254" t="s">
        <v>3552</v>
      </c>
      <c r="E115" s="254"/>
      <c r="F115" s="254"/>
      <c r="G115" s="51">
        <f>COUNTIF(G6:G106,"S")</f>
        <v>1</v>
      </c>
      <c r="H115" s="51">
        <f t="shared" ref="H115:N115" si="11">COUNTIF(H6:H106,"S")</f>
        <v>1</v>
      </c>
      <c r="I115" s="51">
        <f t="shared" si="11"/>
        <v>0</v>
      </c>
      <c r="J115" s="51">
        <f t="shared" si="11"/>
        <v>0</v>
      </c>
      <c r="K115" s="51">
        <f t="shared" si="11"/>
        <v>0</v>
      </c>
      <c r="L115" s="51">
        <f t="shared" si="11"/>
        <v>0</v>
      </c>
      <c r="M115" s="51">
        <f t="shared" si="11"/>
        <v>0</v>
      </c>
      <c r="N115" s="51">
        <f t="shared" si="11"/>
        <v>0</v>
      </c>
      <c r="O115" s="259"/>
      <c r="P115" s="260"/>
      <c r="Q115" s="260"/>
      <c r="R115" s="261"/>
    </row>
    <row r="116" spans="1:18" ht="20.100000000000001" customHeight="1" x14ac:dyDescent="0.2">
      <c r="A116" s="243"/>
      <c r="B116" s="244"/>
      <c r="C116" s="245"/>
      <c r="D116" s="266" t="s">
        <v>3562</v>
      </c>
      <c r="E116" s="267"/>
      <c r="F116" s="268"/>
      <c r="G116" s="51">
        <f>COUNTIF(G6:G106,"F")</f>
        <v>0</v>
      </c>
      <c r="H116" s="51">
        <f t="shared" ref="H116:N116" si="12">COUNTIF(H6:H106,"F")</f>
        <v>1</v>
      </c>
      <c r="I116" s="51">
        <f t="shared" si="12"/>
        <v>1</v>
      </c>
      <c r="J116" s="51">
        <f t="shared" si="12"/>
        <v>1</v>
      </c>
      <c r="K116" s="51">
        <f t="shared" si="12"/>
        <v>0</v>
      </c>
      <c r="L116" s="51">
        <f t="shared" si="12"/>
        <v>0</v>
      </c>
      <c r="M116" s="51">
        <f t="shared" si="12"/>
        <v>0</v>
      </c>
      <c r="N116" s="51">
        <f t="shared" si="12"/>
        <v>0</v>
      </c>
      <c r="O116" s="259"/>
      <c r="P116" s="260"/>
      <c r="Q116" s="260"/>
      <c r="R116" s="261"/>
    </row>
    <row r="117" spans="1:18" ht="20.100000000000001" customHeight="1" x14ac:dyDescent="0.2">
      <c r="A117" s="243"/>
      <c r="B117" s="244"/>
      <c r="C117" s="245"/>
      <c r="D117" s="266" t="s">
        <v>3563</v>
      </c>
      <c r="E117" s="267"/>
      <c r="F117" s="268"/>
      <c r="G117" s="51">
        <f>COUNTIF(G6:G106,"RE")</f>
        <v>0</v>
      </c>
      <c r="H117" s="51">
        <f t="shared" ref="H117:N117" si="13">COUNTIF(H6:H106,"RE")</f>
        <v>0</v>
      </c>
      <c r="I117" s="51">
        <f t="shared" si="13"/>
        <v>0</v>
      </c>
      <c r="J117" s="51">
        <f t="shared" si="13"/>
        <v>0</v>
      </c>
      <c r="K117" s="51">
        <f t="shared" si="13"/>
        <v>0</v>
      </c>
      <c r="L117" s="51">
        <f t="shared" si="13"/>
        <v>0</v>
      </c>
      <c r="M117" s="51">
        <f t="shared" si="13"/>
        <v>0</v>
      </c>
      <c r="N117" s="51">
        <f t="shared" si="13"/>
        <v>0</v>
      </c>
      <c r="O117" s="259"/>
      <c r="P117" s="260"/>
      <c r="Q117" s="260"/>
      <c r="R117" s="261"/>
    </row>
    <row r="118" spans="1:18" ht="20.100000000000001" customHeight="1" x14ac:dyDescent="0.2">
      <c r="A118" s="246"/>
      <c r="B118" s="247"/>
      <c r="C118" s="248"/>
      <c r="D118" s="254" t="s">
        <v>3564</v>
      </c>
      <c r="E118" s="254"/>
      <c r="F118" s="254"/>
      <c r="G118" s="51">
        <f>COUNTIF(G6:G106,"A")</f>
        <v>0</v>
      </c>
      <c r="H118" s="51">
        <f t="shared" ref="H118:N118" si="14">COUNTIF(H6:H106,"A")</f>
        <v>0</v>
      </c>
      <c r="I118" s="51">
        <f t="shared" si="14"/>
        <v>0</v>
      </c>
      <c r="J118" s="51">
        <f t="shared" si="14"/>
        <v>0</v>
      </c>
      <c r="K118" s="51">
        <f t="shared" si="14"/>
        <v>0</v>
      </c>
      <c r="L118" s="51">
        <f t="shared" si="14"/>
        <v>0</v>
      </c>
      <c r="M118" s="51">
        <f t="shared" si="14"/>
        <v>0</v>
      </c>
      <c r="N118" s="51">
        <f t="shared" si="14"/>
        <v>0</v>
      </c>
      <c r="O118" s="262"/>
      <c r="P118" s="263"/>
      <c r="Q118" s="263"/>
      <c r="R118" s="264"/>
    </row>
  </sheetData>
  <sheetProtection password="DB75" sheet="1" objects="1" scenarios="1" formatCells="0" formatColumns="0" formatRows="0"/>
  <mergeCells count="26">
    <mergeCell ref="D114:F114"/>
    <mergeCell ref="D115:F115"/>
    <mergeCell ref="D116:F116"/>
    <mergeCell ref="D117:F117"/>
    <mergeCell ref="D118:F118"/>
    <mergeCell ref="A1:R1"/>
    <mergeCell ref="A2:R2"/>
    <mergeCell ref="D108:F108"/>
    <mergeCell ref="D109:F109"/>
    <mergeCell ref="D110:F110"/>
    <mergeCell ref="Q4:Q5"/>
    <mergeCell ref="R4:R5"/>
    <mergeCell ref="A4:A5"/>
    <mergeCell ref="B4:B5"/>
    <mergeCell ref="C4:C5"/>
    <mergeCell ref="O108:R118"/>
    <mergeCell ref="A108:C118"/>
    <mergeCell ref="D111:F111"/>
    <mergeCell ref="D112:F112"/>
    <mergeCell ref="D113:F113"/>
    <mergeCell ref="O4:O5"/>
    <mergeCell ref="P4:P5"/>
    <mergeCell ref="G4:N4"/>
    <mergeCell ref="D4:D5"/>
    <mergeCell ref="E4:E5"/>
    <mergeCell ref="F4:F5"/>
  </mergeCells>
  <conditionalFormatting sqref="O6:O106">
    <cfRule type="containsText" dxfId="6" priority="1" operator="containsText" text="PASS">
      <formula>NOT(ISERROR(SEARCH("PASS",O6)))</formula>
    </cfRule>
    <cfRule type="containsText" dxfId="5" priority="2" operator="containsText" text="SUPP.">
      <formula>NOT(ISERROR(SEARCH("SUPP.",O6)))</formula>
    </cfRule>
    <cfRule type="containsText" dxfId="4" priority="3" operator="containsText" text="FAIL">
      <formula>NOT(ISERROR(SEARCH("FAIL",O6)))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9" orientation="landscape" r:id="rId1"/>
  <headerFooter>
    <oddFooter>&amp;LPrepared By : Ashwini Kr. Sharma&amp;C&amp;P&amp;Rwww.ashwinisharma.com</oddFooter>
  </headerFooter>
  <ignoredErrors>
    <ignoredError sqref="M114:N114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120"/>
  <sheetViews>
    <sheetView view="pageBreakPreview" zoomScaleNormal="100" zoomScaleSheetLayoutView="100" workbookViewId="0">
      <pane ySplit="7" topLeftCell="A8" activePane="bottomLeft" state="frozen"/>
      <selection pane="bottomLeft" activeCell="D8" sqref="D8"/>
    </sheetView>
  </sheetViews>
  <sheetFormatPr defaultRowHeight="30" customHeight="1" x14ac:dyDescent="0.25"/>
  <cols>
    <col min="1" max="1" width="4.42578125" style="61" customWidth="1"/>
    <col min="2" max="2" width="7.140625" style="61" bestFit="1" customWidth="1"/>
    <col min="3" max="3" width="7.140625" style="61" customWidth="1"/>
    <col min="4" max="4" width="23.85546875" style="62" customWidth="1"/>
    <col min="5" max="5" width="18.42578125" style="24" customWidth="1"/>
    <col min="6" max="6" width="7" style="24" customWidth="1"/>
    <col min="7" max="22" width="4.7109375" style="61" customWidth="1"/>
    <col min="23" max="23" width="9.85546875" style="61" customWidth="1"/>
    <col min="24" max="24" width="9.140625" style="61"/>
    <col min="25" max="25" width="7.42578125" style="61" customWidth="1"/>
    <col min="26" max="16384" width="9.140625" style="35"/>
  </cols>
  <sheetData>
    <row r="1" spans="1:25" ht="24" customHeight="1" x14ac:dyDescent="0.25">
      <c r="A1" s="285" t="str">
        <f>'Subject-Wise Result'!A1</f>
        <v>Government Senior Secondary School, Deograh (Rajsamand)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ht="21" x14ac:dyDescent="0.25">
      <c r="A2" s="149" t="str">
        <f>"Supplementary Subjects and Result Entry For Class "&amp;'11th Data'!M2&amp;" "&amp;'11th Data'!N2</f>
        <v>Supplementary Subjects and Result Entry For Class 11 B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ht="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61" customFormat="1" ht="15" customHeight="1" x14ac:dyDescent="0.25">
      <c r="A4" s="194" t="s">
        <v>3498</v>
      </c>
      <c r="B4" s="194" t="s">
        <v>3505</v>
      </c>
      <c r="C4" s="194" t="s">
        <v>3610</v>
      </c>
      <c r="D4" s="194" t="s">
        <v>3501</v>
      </c>
      <c r="E4" s="194" t="s">
        <v>3570</v>
      </c>
      <c r="F4" s="291" t="s">
        <v>3577</v>
      </c>
      <c r="G4" s="293" t="s">
        <v>3571</v>
      </c>
      <c r="H4" s="293"/>
      <c r="I4" s="293"/>
      <c r="J4" s="293"/>
      <c r="K4" s="293"/>
      <c r="L4" s="293"/>
      <c r="M4" s="293"/>
      <c r="N4" s="293"/>
      <c r="O4" s="293" t="s">
        <v>3572</v>
      </c>
      <c r="P4" s="293"/>
      <c r="Q4" s="293"/>
      <c r="R4" s="293"/>
      <c r="S4" s="293"/>
      <c r="T4" s="293"/>
      <c r="U4" s="293"/>
      <c r="V4" s="293"/>
      <c r="W4" s="274" t="s">
        <v>3573</v>
      </c>
      <c r="X4" s="274" t="s">
        <v>3574</v>
      </c>
      <c r="Y4" s="194" t="s">
        <v>3572</v>
      </c>
    </row>
    <row r="5" spans="1:25" s="61" customFormat="1" ht="76.5" customHeight="1" x14ac:dyDescent="0.25">
      <c r="A5" s="194"/>
      <c r="B5" s="194"/>
      <c r="C5" s="194"/>
      <c r="D5" s="194"/>
      <c r="E5" s="194"/>
      <c r="F5" s="292"/>
      <c r="G5" s="64" t="str">
        <f>'Marks Entry'!K4</f>
        <v>HINDI Comp.</v>
      </c>
      <c r="H5" s="64" t="str">
        <f>'Marks Entry'!R4</f>
        <v>ENGLISH Comp.</v>
      </c>
      <c r="I5" s="64" t="str">
        <f>'Marks Entry'!Y4</f>
        <v>History</v>
      </c>
      <c r="J5" s="64" t="str">
        <f>'Marks Entry'!AI4</f>
        <v>Political Science</v>
      </c>
      <c r="K5" s="64" t="str">
        <f>'Marks Entry'!AS4</f>
        <v>Geography</v>
      </c>
      <c r="L5" s="64" t="str">
        <f>'Marks Entry'!BC4</f>
        <v>Jeewan Kaushal</v>
      </c>
      <c r="M5" s="64" t="str">
        <f>'Marks Entry'!BJ4</f>
        <v>Swarnim Bharat</v>
      </c>
      <c r="N5" s="64" t="str">
        <f>'Marks Entry'!BQ4</f>
        <v>other2</v>
      </c>
      <c r="O5" s="64" t="str">
        <f t="shared" ref="O5:V5" si="0">G5</f>
        <v>HINDI Comp.</v>
      </c>
      <c r="P5" s="64" t="str">
        <f t="shared" si="0"/>
        <v>ENGLISH Comp.</v>
      </c>
      <c r="Q5" s="64" t="str">
        <f t="shared" si="0"/>
        <v>History</v>
      </c>
      <c r="R5" s="64" t="str">
        <f t="shared" si="0"/>
        <v>Political Science</v>
      </c>
      <c r="S5" s="64" t="str">
        <f t="shared" si="0"/>
        <v>Geography</v>
      </c>
      <c r="T5" s="64" t="str">
        <f t="shared" si="0"/>
        <v>Jeewan Kaushal</v>
      </c>
      <c r="U5" s="64" t="str">
        <f t="shared" si="0"/>
        <v>Swarnim Bharat</v>
      </c>
      <c r="V5" s="64" t="str">
        <f t="shared" si="0"/>
        <v>other2</v>
      </c>
      <c r="W5" s="274"/>
      <c r="X5" s="274"/>
      <c r="Y5" s="194"/>
    </row>
    <row r="6" spans="1:25" s="61" customFormat="1" ht="15" x14ac:dyDescent="0.25">
      <c r="A6" s="286" t="s">
        <v>3576</v>
      </c>
      <c r="B6" s="287"/>
      <c r="C6" s="287"/>
      <c r="D6" s="287"/>
      <c r="E6" s="288"/>
      <c r="F6" s="65"/>
      <c r="G6" s="66">
        <v>100</v>
      </c>
      <c r="H6" s="66">
        <v>100</v>
      </c>
      <c r="I6" s="66">
        <v>100</v>
      </c>
      <c r="J6" s="66">
        <v>100</v>
      </c>
      <c r="K6" s="66">
        <v>100</v>
      </c>
      <c r="L6" s="66">
        <v>100</v>
      </c>
      <c r="M6" s="66">
        <v>100</v>
      </c>
      <c r="N6" s="66">
        <v>100</v>
      </c>
      <c r="O6" s="289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61" customFormat="1" ht="15" x14ac:dyDescent="0.25">
      <c r="A7" s="39"/>
      <c r="B7" s="39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108">
        <v>18</v>
      </c>
      <c r="T7" s="108">
        <v>19</v>
      </c>
      <c r="U7" s="108">
        <v>20</v>
      </c>
      <c r="V7" s="108">
        <v>21</v>
      </c>
      <c r="W7" s="108">
        <v>22</v>
      </c>
      <c r="X7" s="108">
        <v>23</v>
      </c>
      <c r="Y7" s="108">
        <v>24</v>
      </c>
    </row>
    <row r="8" spans="1:25" ht="30" customHeight="1" x14ac:dyDescent="0.25">
      <c r="A8" s="39">
        <f>IF('Statement of Marks'!A9="","",'Statement of Marks'!A9)</f>
        <v>1</v>
      </c>
      <c r="B8" s="39">
        <f>IF('Statement of Marks'!B9="","",'Statement of Marks'!B9)</f>
        <v>906</v>
      </c>
      <c r="C8" s="39">
        <f>IF('Statement of Marks'!C9="","",'Statement of Marks'!C9)</f>
        <v>13204</v>
      </c>
      <c r="D8" s="40" t="str">
        <f>IF('Statement of Marks'!D9="","",'Statement of Marks'!D9)</f>
        <v>ASHOK SINGH</v>
      </c>
      <c r="E8" s="39" t="str">
        <f>CONCATENATE('Statement of Marks'!DT9,'Statement of Marks'!DV9)</f>
        <v xml:space="preserve">        </v>
      </c>
      <c r="F8" s="63">
        <f>COUNTIF('Subject-Wise Result'!G6:K6,"S")</f>
        <v>0</v>
      </c>
      <c r="G8" s="120"/>
      <c r="H8" s="120"/>
      <c r="I8" s="120"/>
      <c r="J8" s="120"/>
      <c r="K8" s="120"/>
      <c r="L8" s="120"/>
      <c r="M8" s="120"/>
      <c r="N8" s="120"/>
      <c r="O8" s="63" t="str">
        <f t="shared" ref="O8:O39" si="1">IF(G8="","",IF(OR(G8="AB",G8&lt;36),"F","P"))</f>
        <v/>
      </c>
      <c r="P8" s="63" t="str">
        <f t="shared" ref="P8:P39" si="2">IF(H8="","",IF(OR(H8="AB",H8&lt;36),"F","P"))</f>
        <v/>
      </c>
      <c r="Q8" s="63" t="str">
        <f t="shared" ref="Q8:Q39" si="3">IF(I8="","",IF(OR(I8="AB",I8&lt;36),"F","P"))</f>
        <v/>
      </c>
      <c r="R8" s="63" t="str">
        <f t="shared" ref="R8:R39" si="4">IF(J8="","",IF(OR(J8="AB",J8&lt;36),"F","P"))</f>
        <v/>
      </c>
      <c r="S8" s="63" t="str">
        <f t="shared" ref="S8:S39" si="5">IF(K8="","",IF(OR(K8="AB",K8&lt;36),"F","P"))</f>
        <v/>
      </c>
      <c r="T8" s="63" t="str">
        <f t="shared" ref="T8:T39" si="6">IF(L8="","",IF(OR(L8="AB",L8&lt;36),"F","P"))</f>
        <v/>
      </c>
      <c r="U8" s="63" t="str">
        <f t="shared" ref="U8:U39" si="7">IF(M8="","",IF(OR(M8="AB",M8&lt;36),"F","P"))</f>
        <v/>
      </c>
      <c r="V8" s="63" t="str">
        <f t="shared" ref="V8:V39" si="8">IF(N8="","",IF(OR(N8="AB",N8&lt;36),"F","P"))</f>
        <v/>
      </c>
      <c r="W8" s="63">
        <f t="shared" ref="W8:W39" si="9">COUNTA(G8:N8)</f>
        <v>0</v>
      </c>
      <c r="X8" s="63">
        <f t="shared" ref="X8:X39" si="10">COUNTIF(O8:V8,"P")</f>
        <v>0</v>
      </c>
      <c r="Y8" s="63" t="str">
        <f>IF(F8=0,"",IF(F8&gt;W8,'Subject-Wise Result'!O6,IF(F8&gt;X8,"FAIL","PASS")))</f>
        <v/>
      </c>
    </row>
    <row r="9" spans="1:25" ht="30" customHeight="1" x14ac:dyDescent="0.25">
      <c r="A9" s="39">
        <f>IF('Statement of Marks'!A10="","",'Statement of Marks'!A10)</f>
        <v>2</v>
      </c>
      <c r="B9" s="39">
        <f>IF('Statement of Marks'!B10="","",'Statement of Marks'!B10)</f>
        <v>907</v>
      </c>
      <c r="C9" s="39">
        <f>IF('Statement of Marks'!C10="","",'Statement of Marks'!C10)</f>
        <v>12970</v>
      </c>
      <c r="D9" s="40" t="str">
        <f>IF('Statement of Marks'!D10="","",'Statement of Marks'!D10)</f>
        <v>ASHOK SINGH RAWAT</v>
      </c>
      <c r="E9" s="39" t="str">
        <f>CONCATENATE('Statement of Marks'!DT10,'Statement of Marks'!DV10)</f>
        <v xml:space="preserve">        </v>
      </c>
      <c r="F9" s="63">
        <f>COUNTIF('Subject-Wise Result'!G7:K7,"S")</f>
        <v>0</v>
      </c>
      <c r="G9" s="120"/>
      <c r="H9" s="120"/>
      <c r="I9" s="120"/>
      <c r="J9" s="120"/>
      <c r="K9" s="120"/>
      <c r="L9" s="120"/>
      <c r="M9" s="120"/>
      <c r="N9" s="120"/>
      <c r="O9" s="63" t="str">
        <f t="shared" si="1"/>
        <v/>
      </c>
      <c r="P9" s="63" t="str">
        <f t="shared" si="2"/>
        <v/>
      </c>
      <c r="Q9" s="63" t="str">
        <f t="shared" si="3"/>
        <v/>
      </c>
      <c r="R9" s="63" t="str">
        <f t="shared" si="4"/>
        <v/>
      </c>
      <c r="S9" s="63" t="str">
        <f t="shared" si="5"/>
        <v/>
      </c>
      <c r="T9" s="63" t="str">
        <f t="shared" si="6"/>
        <v/>
      </c>
      <c r="U9" s="63" t="str">
        <f t="shared" si="7"/>
        <v/>
      </c>
      <c r="V9" s="63" t="str">
        <f t="shared" si="8"/>
        <v/>
      </c>
      <c r="W9" s="63">
        <f t="shared" si="9"/>
        <v>0</v>
      </c>
      <c r="X9" s="63">
        <f t="shared" si="10"/>
        <v>0</v>
      </c>
      <c r="Y9" s="63" t="str">
        <f>IF(F9=0,"",IF(F9&gt;W9,'Subject-Wise Result'!O7,IF(F9&gt;X9,"FAIL","PASS")))</f>
        <v/>
      </c>
    </row>
    <row r="10" spans="1:25" ht="30" customHeight="1" x14ac:dyDescent="0.25">
      <c r="A10" s="39">
        <f>IF('Statement of Marks'!A11="","",'Statement of Marks'!A11)</f>
        <v>3</v>
      </c>
      <c r="B10" s="39">
        <f>IF('Statement of Marks'!B11="","",'Statement of Marks'!B11)</f>
        <v>908</v>
      </c>
      <c r="C10" s="39">
        <f>IF('Statement of Marks'!C11="","",'Statement of Marks'!C11)</f>
        <v>13028</v>
      </c>
      <c r="D10" s="40" t="str">
        <f>IF('Statement of Marks'!D11="","",'Statement of Marks'!D11)</f>
        <v>BHERU LAL</v>
      </c>
      <c r="E10" s="39" t="str">
        <f>CONCATENATE('Statement of Marks'!DT11,'Statement of Marks'!DV11)</f>
        <v xml:space="preserve">        </v>
      </c>
      <c r="F10" s="63">
        <f>COUNTIF('Subject-Wise Result'!G8:K8,"S")</f>
        <v>0</v>
      </c>
      <c r="G10" s="120"/>
      <c r="H10" s="120"/>
      <c r="I10" s="120"/>
      <c r="J10" s="120"/>
      <c r="K10" s="120"/>
      <c r="L10" s="120"/>
      <c r="M10" s="120"/>
      <c r="N10" s="120"/>
      <c r="O10" s="63" t="str">
        <f t="shared" si="1"/>
        <v/>
      </c>
      <c r="P10" s="63" t="str">
        <f t="shared" si="2"/>
        <v/>
      </c>
      <c r="Q10" s="63" t="str">
        <f t="shared" si="3"/>
        <v/>
      </c>
      <c r="R10" s="63" t="str">
        <f t="shared" si="4"/>
        <v/>
      </c>
      <c r="S10" s="63" t="str">
        <f t="shared" si="5"/>
        <v/>
      </c>
      <c r="T10" s="63" t="str">
        <f t="shared" si="6"/>
        <v/>
      </c>
      <c r="U10" s="63" t="str">
        <f t="shared" si="7"/>
        <v/>
      </c>
      <c r="V10" s="63" t="str">
        <f t="shared" si="8"/>
        <v/>
      </c>
      <c r="W10" s="63">
        <f t="shared" si="9"/>
        <v>0</v>
      </c>
      <c r="X10" s="63">
        <f t="shared" si="10"/>
        <v>0</v>
      </c>
      <c r="Y10" s="63" t="str">
        <f>IF(F10=0,"",IF(F10&gt;W10,'Subject-Wise Result'!O8,IF(F10&gt;X10,"FAIL","PASS")))</f>
        <v/>
      </c>
    </row>
    <row r="11" spans="1:25" ht="30" customHeight="1" x14ac:dyDescent="0.25">
      <c r="A11" s="39">
        <f>IF('Statement of Marks'!A12="","",'Statement of Marks'!A12)</f>
        <v>4</v>
      </c>
      <c r="B11" s="39">
        <f>IF('Statement of Marks'!B12="","",'Statement of Marks'!B12)</f>
        <v>909</v>
      </c>
      <c r="C11" s="39">
        <f>IF('Statement of Marks'!C12="","",'Statement of Marks'!C12)</f>
        <v>13030</v>
      </c>
      <c r="D11" s="40" t="str">
        <f>IF('Statement of Marks'!D12="","",'Statement of Marks'!D12)</f>
        <v>CHANDRA SINGH</v>
      </c>
      <c r="E11" s="39" t="str">
        <f>CONCATENATE('Statement of Marks'!DT12,'Statement of Marks'!DV12)</f>
        <v xml:space="preserve">HINDI Comp. ENGLISH Comp.       </v>
      </c>
      <c r="F11" s="63">
        <f>COUNTIF('Subject-Wise Result'!G9:K9,"S")</f>
        <v>2</v>
      </c>
      <c r="G11" s="120">
        <v>36</v>
      </c>
      <c r="H11" s="120">
        <v>36</v>
      </c>
      <c r="I11" s="120"/>
      <c r="J11" s="120"/>
      <c r="K11" s="120"/>
      <c r="L11" s="120"/>
      <c r="M11" s="120"/>
      <c r="N11" s="120"/>
      <c r="O11" s="63" t="str">
        <f t="shared" si="1"/>
        <v>P</v>
      </c>
      <c r="P11" s="63" t="str">
        <f t="shared" si="2"/>
        <v>P</v>
      </c>
      <c r="Q11" s="63" t="str">
        <f t="shared" si="3"/>
        <v/>
      </c>
      <c r="R11" s="63" t="str">
        <f t="shared" si="4"/>
        <v/>
      </c>
      <c r="S11" s="63" t="str">
        <f t="shared" si="5"/>
        <v/>
      </c>
      <c r="T11" s="63" t="str">
        <f t="shared" si="6"/>
        <v/>
      </c>
      <c r="U11" s="63" t="str">
        <f t="shared" si="7"/>
        <v/>
      </c>
      <c r="V11" s="63" t="str">
        <f t="shared" si="8"/>
        <v/>
      </c>
      <c r="W11" s="63">
        <f t="shared" si="9"/>
        <v>2</v>
      </c>
      <c r="X11" s="63">
        <f t="shared" si="10"/>
        <v>2</v>
      </c>
      <c r="Y11" s="63" t="str">
        <f>IF(F11=0,"",IF(F11&gt;W11,'Subject-Wise Result'!O9,IF(F11&gt;X11,"FAIL","PASS")))</f>
        <v>PASS</v>
      </c>
    </row>
    <row r="12" spans="1:25" ht="30" customHeight="1" x14ac:dyDescent="0.25">
      <c r="A12" s="39">
        <f>IF('Statement of Marks'!A13="","",'Statement of Marks'!A13)</f>
        <v>5</v>
      </c>
      <c r="B12" s="39">
        <f>IF('Statement of Marks'!B13="","",'Statement of Marks'!B13)</f>
        <v>910</v>
      </c>
      <c r="C12" s="39">
        <f>IF('Statement of Marks'!C13="","",'Statement of Marks'!C13)</f>
        <v>13275</v>
      </c>
      <c r="D12" s="40" t="str">
        <f>IF('Statement of Marks'!D13="","",'Statement of Marks'!D13)</f>
        <v>CHETAN KUMAR GURJAR</v>
      </c>
      <c r="E12" s="39" t="str">
        <f>CONCATENATE('Statement of Marks'!DT13,'Statement of Marks'!DV13)</f>
        <v xml:space="preserve">        </v>
      </c>
      <c r="F12" s="63">
        <f>COUNTIF('Subject-Wise Result'!G10:K10,"S")</f>
        <v>0</v>
      </c>
      <c r="G12" s="120"/>
      <c r="H12" s="120"/>
      <c r="I12" s="120"/>
      <c r="J12" s="120"/>
      <c r="K12" s="120"/>
      <c r="L12" s="120"/>
      <c r="M12" s="120"/>
      <c r="N12" s="120"/>
      <c r="O12" s="63" t="str">
        <f t="shared" si="1"/>
        <v/>
      </c>
      <c r="P12" s="63" t="str">
        <f t="shared" si="2"/>
        <v/>
      </c>
      <c r="Q12" s="63" t="str">
        <f t="shared" si="3"/>
        <v/>
      </c>
      <c r="R12" s="63" t="str">
        <f t="shared" si="4"/>
        <v/>
      </c>
      <c r="S12" s="63" t="str">
        <f t="shared" si="5"/>
        <v/>
      </c>
      <c r="T12" s="63" t="str">
        <f t="shared" si="6"/>
        <v/>
      </c>
      <c r="U12" s="63" t="str">
        <f t="shared" si="7"/>
        <v/>
      </c>
      <c r="V12" s="63" t="str">
        <f t="shared" si="8"/>
        <v/>
      </c>
      <c r="W12" s="63">
        <f t="shared" si="9"/>
        <v>0</v>
      </c>
      <c r="X12" s="63">
        <f t="shared" si="10"/>
        <v>0</v>
      </c>
      <c r="Y12" s="63" t="str">
        <f>IF(F12=0,"",IF(F12&gt;W12,'Subject-Wise Result'!O10,IF(F12&gt;X12,"FAIL","PASS")))</f>
        <v/>
      </c>
    </row>
    <row r="13" spans="1:25" ht="30" customHeight="1" x14ac:dyDescent="0.25">
      <c r="A13" s="39">
        <f>IF('Statement of Marks'!A14="","",'Statement of Marks'!A14)</f>
        <v>6</v>
      </c>
      <c r="B13" s="39">
        <f>IF('Statement of Marks'!B14="","",'Statement of Marks'!B14)</f>
        <v>911</v>
      </c>
      <c r="C13" s="39">
        <f>IF('Statement of Marks'!C14="","",'Statement of Marks'!C14)</f>
        <v>13337</v>
      </c>
      <c r="D13" s="40" t="str">
        <f>IF('Statement of Marks'!D14="","",'Statement of Marks'!D14)</f>
        <v>DHANNA SINGH</v>
      </c>
      <c r="E13" s="39" t="str">
        <f>CONCATENATE('Statement of Marks'!DT14,'Statement of Marks'!DV14)</f>
        <v xml:space="preserve">        </v>
      </c>
      <c r="F13" s="63">
        <f>COUNTIF('Subject-Wise Result'!G11:K11,"S")</f>
        <v>0</v>
      </c>
      <c r="G13" s="120"/>
      <c r="H13" s="120"/>
      <c r="I13" s="120"/>
      <c r="J13" s="120"/>
      <c r="K13" s="120"/>
      <c r="L13" s="120"/>
      <c r="M13" s="120"/>
      <c r="N13" s="120"/>
      <c r="O13" s="63" t="str">
        <f t="shared" si="1"/>
        <v/>
      </c>
      <c r="P13" s="63" t="str">
        <f t="shared" si="2"/>
        <v/>
      </c>
      <c r="Q13" s="63" t="str">
        <f t="shared" si="3"/>
        <v/>
      </c>
      <c r="R13" s="63" t="str">
        <f t="shared" si="4"/>
        <v/>
      </c>
      <c r="S13" s="63" t="str">
        <f t="shared" si="5"/>
        <v/>
      </c>
      <c r="T13" s="63" t="str">
        <f t="shared" si="6"/>
        <v/>
      </c>
      <c r="U13" s="63" t="str">
        <f t="shared" si="7"/>
        <v/>
      </c>
      <c r="V13" s="63" t="str">
        <f t="shared" si="8"/>
        <v/>
      </c>
      <c r="W13" s="63">
        <f t="shared" si="9"/>
        <v>0</v>
      </c>
      <c r="X13" s="63">
        <f t="shared" si="10"/>
        <v>0</v>
      </c>
      <c r="Y13" s="63" t="str">
        <f>IF(F13=0,"",IF(F13&gt;W13,'Subject-Wise Result'!O11,IF(F13&gt;X13,"FAIL","PASS")))</f>
        <v/>
      </c>
    </row>
    <row r="14" spans="1:25" ht="30" customHeight="1" x14ac:dyDescent="0.25">
      <c r="A14" s="39">
        <f>IF('Statement of Marks'!A15="","",'Statement of Marks'!A15)</f>
        <v>7</v>
      </c>
      <c r="B14" s="39">
        <f>IF('Statement of Marks'!B15="","",'Statement of Marks'!B15)</f>
        <v>912</v>
      </c>
      <c r="C14" s="39">
        <f>IF('Statement of Marks'!C15="","",'Statement of Marks'!C15)</f>
        <v>13238</v>
      </c>
      <c r="D14" s="40" t="str">
        <f>IF('Statement of Marks'!D15="","",'Statement of Marks'!D15)</f>
        <v>DHEERAJ NATH</v>
      </c>
      <c r="E14" s="39" t="str">
        <f>CONCATENATE('Statement of Marks'!DT15,'Statement of Marks'!DV15)</f>
        <v xml:space="preserve">        </v>
      </c>
      <c r="F14" s="63">
        <f>COUNTIF('Subject-Wise Result'!G12:K12,"S")</f>
        <v>0</v>
      </c>
      <c r="G14" s="120"/>
      <c r="H14" s="120"/>
      <c r="I14" s="120"/>
      <c r="J14" s="120"/>
      <c r="K14" s="120"/>
      <c r="L14" s="120"/>
      <c r="M14" s="120"/>
      <c r="N14" s="120"/>
      <c r="O14" s="63" t="str">
        <f t="shared" si="1"/>
        <v/>
      </c>
      <c r="P14" s="63" t="str">
        <f t="shared" si="2"/>
        <v/>
      </c>
      <c r="Q14" s="63" t="str">
        <f t="shared" si="3"/>
        <v/>
      </c>
      <c r="R14" s="63" t="str">
        <f t="shared" si="4"/>
        <v/>
      </c>
      <c r="S14" s="63" t="str">
        <f t="shared" si="5"/>
        <v/>
      </c>
      <c r="T14" s="63" t="str">
        <f t="shared" si="6"/>
        <v/>
      </c>
      <c r="U14" s="63" t="str">
        <f t="shared" si="7"/>
        <v/>
      </c>
      <c r="V14" s="63" t="str">
        <f t="shared" si="8"/>
        <v/>
      </c>
      <c r="W14" s="63">
        <f t="shared" si="9"/>
        <v>0</v>
      </c>
      <c r="X14" s="63">
        <f t="shared" si="10"/>
        <v>0</v>
      </c>
      <c r="Y14" s="63" t="str">
        <f>IF(F14=0,"",IF(F14&gt;W14,'Subject-Wise Result'!O12,IF(F14&gt;X14,"FAIL","PASS")))</f>
        <v/>
      </c>
    </row>
    <row r="15" spans="1:25" ht="30" customHeight="1" x14ac:dyDescent="0.25">
      <c r="A15" s="39">
        <f>IF('Statement of Marks'!A16="","",'Statement of Marks'!A16)</f>
        <v>8</v>
      </c>
      <c r="B15" s="39">
        <f>IF('Statement of Marks'!B16="","",'Statement of Marks'!B16)</f>
        <v>913</v>
      </c>
      <c r="C15" s="39">
        <f>IF('Statement of Marks'!C16="","",'Statement of Marks'!C16)</f>
        <v>12965</v>
      </c>
      <c r="D15" s="40" t="str">
        <f>IF('Statement of Marks'!D16="","",'Statement of Marks'!D16)</f>
        <v>DINESH GURJAR</v>
      </c>
      <c r="E15" s="39" t="str">
        <f>CONCATENATE('Statement of Marks'!DT16,'Statement of Marks'!DV16)</f>
        <v xml:space="preserve">        </v>
      </c>
      <c r="F15" s="63">
        <f>COUNTIF('Subject-Wise Result'!G13:K13,"S")</f>
        <v>0</v>
      </c>
      <c r="G15" s="120"/>
      <c r="H15" s="120"/>
      <c r="I15" s="120"/>
      <c r="J15" s="120"/>
      <c r="K15" s="120"/>
      <c r="L15" s="120"/>
      <c r="M15" s="120"/>
      <c r="N15" s="120"/>
      <c r="O15" s="63" t="str">
        <f t="shared" si="1"/>
        <v/>
      </c>
      <c r="P15" s="63" t="str">
        <f t="shared" si="2"/>
        <v/>
      </c>
      <c r="Q15" s="63" t="str">
        <f t="shared" si="3"/>
        <v/>
      </c>
      <c r="R15" s="63" t="str">
        <f t="shared" si="4"/>
        <v/>
      </c>
      <c r="S15" s="63" t="str">
        <f t="shared" si="5"/>
        <v/>
      </c>
      <c r="T15" s="63" t="str">
        <f t="shared" si="6"/>
        <v/>
      </c>
      <c r="U15" s="63" t="str">
        <f t="shared" si="7"/>
        <v/>
      </c>
      <c r="V15" s="63" t="str">
        <f t="shared" si="8"/>
        <v/>
      </c>
      <c r="W15" s="63">
        <f t="shared" si="9"/>
        <v>0</v>
      </c>
      <c r="X15" s="63">
        <f t="shared" si="10"/>
        <v>0</v>
      </c>
      <c r="Y15" s="63" t="str">
        <f>IF(F15=0,"",IF(F15&gt;W15,'Subject-Wise Result'!O13,IF(F15&gt;X15,"FAIL","PASS")))</f>
        <v/>
      </c>
    </row>
    <row r="16" spans="1:25" ht="30" customHeight="1" x14ac:dyDescent="0.25">
      <c r="A16" s="39">
        <f>IF('Statement of Marks'!A17="","",'Statement of Marks'!A17)</f>
        <v>9</v>
      </c>
      <c r="B16" s="39">
        <f>IF('Statement of Marks'!B17="","",'Statement of Marks'!B17)</f>
        <v>914</v>
      </c>
      <c r="C16" s="39">
        <f>IF('Statement of Marks'!C17="","",'Statement of Marks'!C17)</f>
        <v>13523</v>
      </c>
      <c r="D16" s="40" t="str">
        <f>IF('Statement of Marks'!D17="","",'Statement of Marks'!D17)</f>
        <v>GOVIND NANGARACHI</v>
      </c>
      <c r="E16" s="39" t="str">
        <f>CONCATENATE('Statement of Marks'!DT17,'Statement of Marks'!DV17)</f>
        <v xml:space="preserve">        </v>
      </c>
      <c r="F16" s="63">
        <f>COUNTIF('Subject-Wise Result'!G14:K14,"S")</f>
        <v>0</v>
      </c>
      <c r="G16" s="120"/>
      <c r="H16" s="120"/>
      <c r="I16" s="120"/>
      <c r="J16" s="120"/>
      <c r="K16" s="120"/>
      <c r="L16" s="120"/>
      <c r="M16" s="120"/>
      <c r="N16" s="120"/>
      <c r="O16" s="63" t="str">
        <f t="shared" si="1"/>
        <v/>
      </c>
      <c r="P16" s="63" t="str">
        <f t="shared" si="2"/>
        <v/>
      </c>
      <c r="Q16" s="63" t="str">
        <f t="shared" si="3"/>
        <v/>
      </c>
      <c r="R16" s="63" t="str">
        <f t="shared" si="4"/>
        <v/>
      </c>
      <c r="S16" s="63" t="str">
        <f t="shared" si="5"/>
        <v/>
      </c>
      <c r="T16" s="63" t="str">
        <f t="shared" si="6"/>
        <v/>
      </c>
      <c r="U16" s="63" t="str">
        <f t="shared" si="7"/>
        <v/>
      </c>
      <c r="V16" s="63" t="str">
        <f t="shared" si="8"/>
        <v/>
      </c>
      <c r="W16" s="63">
        <f t="shared" si="9"/>
        <v>0</v>
      </c>
      <c r="X16" s="63">
        <f t="shared" si="10"/>
        <v>0</v>
      </c>
      <c r="Y16" s="63" t="str">
        <f>IF(F16=0,"",IF(F16&gt;W16,'Subject-Wise Result'!O14,IF(F16&gt;X16,"FAIL","PASS")))</f>
        <v/>
      </c>
    </row>
    <row r="17" spans="1:25" ht="30" customHeight="1" x14ac:dyDescent="0.25">
      <c r="A17" s="39">
        <f>IF('Statement of Marks'!A18="","",'Statement of Marks'!A18)</f>
        <v>10</v>
      </c>
      <c r="B17" s="39">
        <f>IF('Statement of Marks'!B18="","",'Statement of Marks'!B18)</f>
        <v>915</v>
      </c>
      <c r="C17" s="39">
        <f>IF('Statement of Marks'!C18="","",'Statement of Marks'!C18)</f>
        <v>13319</v>
      </c>
      <c r="D17" s="40" t="str">
        <f>IF('Statement of Marks'!D18="","",'Statement of Marks'!D18)</f>
        <v>INDRA SINGH</v>
      </c>
      <c r="E17" s="39" t="str">
        <f>CONCATENATE('Statement of Marks'!DT18,'Statement of Marks'!DV18)</f>
        <v xml:space="preserve">        </v>
      </c>
      <c r="F17" s="63">
        <f>COUNTIF('Subject-Wise Result'!G15:K15,"S")</f>
        <v>0</v>
      </c>
      <c r="G17" s="120"/>
      <c r="H17" s="120"/>
      <c r="I17" s="120"/>
      <c r="J17" s="120"/>
      <c r="K17" s="120"/>
      <c r="L17" s="120"/>
      <c r="M17" s="120"/>
      <c r="N17" s="120"/>
      <c r="O17" s="63" t="str">
        <f t="shared" si="1"/>
        <v/>
      </c>
      <c r="P17" s="63" t="str">
        <f t="shared" si="2"/>
        <v/>
      </c>
      <c r="Q17" s="63" t="str">
        <f t="shared" si="3"/>
        <v/>
      </c>
      <c r="R17" s="63" t="str">
        <f t="shared" si="4"/>
        <v/>
      </c>
      <c r="S17" s="63" t="str">
        <f t="shared" si="5"/>
        <v/>
      </c>
      <c r="T17" s="63" t="str">
        <f t="shared" si="6"/>
        <v/>
      </c>
      <c r="U17" s="63" t="str">
        <f t="shared" si="7"/>
        <v/>
      </c>
      <c r="V17" s="63" t="str">
        <f t="shared" si="8"/>
        <v/>
      </c>
      <c r="W17" s="63">
        <f t="shared" si="9"/>
        <v>0</v>
      </c>
      <c r="X17" s="63">
        <f t="shared" si="10"/>
        <v>0</v>
      </c>
      <c r="Y17" s="63" t="str">
        <f>IF(F17=0,"",IF(F17&gt;W17,'Subject-Wise Result'!O15,IF(F17&gt;X17,"FAIL","PASS")))</f>
        <v/>
      </c>
    </row>
    <row r="18" spans="1:25" ht="30" customHeight="1" x14ac:dyDescent="0.25">
      <c r="A18" s="39">
        <f>IF('Statement of Marks'!A19="","",'Statement of Marks'!A19)</f>
        <v>11</v>
      </c>
      <c r="B18" s="39">
        <f>IF('Statement of Marks'!B19="","",'Statement of Marks'!B19)</f>
        <v>916</v>
      </c>
      <c r="C18" s="39">
        <f>IF('Statement of Marks'!C19="","",'Statement of Marks'!C19)</f>
        <v>13423</v>
      </c>
      <c r="D18" s="40" t="str">
        <f>IF('Statement of Marks'!D19="","",'Statement of Marks'!D19)</f>
        <v>JITENDRA SINGH</v>
      </c>
      <c r="E18" s="39" t="str">
        <f>CONCATENATE('Statement of Marks'!DT19,'Statement of Marks'!DV19)</f>
        <v xml:space="preserve">        </v>
      </c>
      <c r="F18" s="63">
        <f>COUNTIF('Subject-Wise Result'!G16:K16,"S")</f>
        <v>0</v>
      </c>
      <c r="G18" s="120"/>
      <c r="H18" s="120"/>
      <c r="I18" s="120"/>
      <c r="J18" s="120"/>
      <c r="K18" s="120"/>
      <c r="L18" s="120"/>
      <c r="M18" s="120"/>
      <c r="N18" s="120"/>
      <c r="O18" s="63" t="str">
        <f t="shared" si="1"/>
        <v/>
      </c>
      <c r="P18" s="63" t="str">
        <f t="shared" si="2"/>
        <v/>
      </c>
      <c r="Q18" s="63" t="str">
        <f t="shared" si="3"/>
        <v/>
      </c>
      <c r="R18" s="63" t="str">
        <f t="shared" si="4"/>
        <v/>
      </c>
      <c r="S18" s="63" t="str">
        <f t="shared" si="5"/>
        <v/>
      </c>
      <c r="T18" s="63" t="str">
        <f t="shared" si="6"/>
        <v/>
      </c>
      <c r="U18" s="63" t="str">
        <f t="shared" si="7"/>
        <v/>
      </c>
      <c r="V18" s="63" t="str">
        <f t="shared" si="8"/>
        <v/>
      </c>
      <c r="W18" s="63">
        <f t="shared" si="9"/>
        <v>0</v>
      </c>
      <c r="X18" s="63">
        <f t="shared" si="10"/>
        <v>0</v>
      </c>
      <c r="Y18" s="63" t="str">
        <f>IF(F18=0,"",IF(F18&gt;W18,'Subject-Wise Result'!O16,IF(F18&gt;X18,"FAIL","PASS")))</f>
        <v/>
      </c>
    </row>
    <row r="19" spans="1:25" ht="30" customHeight="1" x14ac:dyDescent="0.25">
      <c r="A19" s="39">
        <f>IF('Statement of Marks'!A20="","",'Statement of Marks'!A20)</f>
        <v>12</v>
      </c>
      <c r="B19" s="39">
        <f>IF('Statement of Marks'!B20="","",'Statement of Marks'!B20)</f>
        <v>917</v>
      </c>
      <c r="C19" s="39">
        <f>IF('Statement of Marks'!C20="","",'Statement of Marks'!C20)</f>
        <v>12939</v>
      </c>
      <c r="D19" s="40" t="str">
        <f>IF('Statement of Marks'!D20="","",'Statement of Marks'!D20)</f>
        <v>KOSHLENDRA SINGH BALLA</v>
      </c>
      <c r="E19" s="39" t="str">
        <f>CONCATENATE('Statement of Marks'!DT20,'Statement of Marks'!DV20)</f>
        <v xml:space="preserve">        </v>
      </c>
      <c r="F19" s="63">
        <f>COUNTIF('Subject-Wise Result'!G17:K17,"S")</f>
        <v>0</v>
      </c>
      <c r="G19" s="120"/>
      <c r="H19" s="120"/>
      <c r="I19" s="120"/>
      <c r="J19" s="120"/>
      <c r="K19" s="120"/>
      <c r="L19" s="120"/>
      <c r="M19" s="120"/>
      <c r="N19" s="120"/>
      <c r="O19" s="63" t="str">
        <f t="shared" si="1"/>
        <v/>
      </c>
      <c r="P19" s="63" t="str">
        <f t="shared" si="2"/>
        <v/>
      </c>
      <c r="Q19" s="63" t="str">
        <f t="shared" si="3"/>
        <v/>
      </c>
      <c r="R19" s="63" t="str">
        <f t="shared" si="4"/>
        <v/>
      </c>
      <c r="S19" s="63" t="str">
        <f t="shared" si="5"/>
        <v/>
      </c>
      <c r="T19" s="63" t="str">
        <f t="shared" si="6"/>
        <v/>
      </c>
      <c r="U19" s="63" t="str">
        <f t="shared" si="7"/>
        <v/>
      </c>
      <c r="V19" s="63" t="str">
        <f t="shared" si="8"/>
        <v/>
      </c>
      <c r="W19" s="63">
        <f t="shared" si="9"/>
        <v>0</v>
      </c>
      <c r="X19" s="63">
        <f t="shared" si="10"/>
        <v>0</v>
      </c>
      <c r="Y19" s="63" t="str">
        <f>IF(F19=0,"",IF(F19&gt;W19,'Subject-Wise Result'!O17,IF(F19&gt;X19,"FAIL","PASS")))</f>
        <v/>
      </c>
    </row>
    <row r="20" spans="1:25" ht="30" customHeight="1" x14ac:dyDescent="0.25">
      <c r="A20" s="39">
        <f>IF('Statement of Marks'!A21="","",'Statement of Marks'!A21)</f>
        <v>13</v>
      </c>
      <c r="B20" s="39">
        <f>IF('Statement of Marks'!B21="","",'Statement of Marks'!B21)</f>
        <v>918</v>
      </c>
      <c r="C20" s="39">
        <f>IF('Statement of Marks'!C21="","",'Statement of Marks'!C21)</f>
        <v>13263</v>
      </c>
      <c r="D20" s="40" t="str">
        <f>IF('Statement of Marks'!D21="","",'Statement of Marks'!D21)</f>
        <v>NARAYAN SINGH</v>
      </c>
      <c r="E20" s="39" t="str">
        <f>CONCATENATE('Statement of Marks'!DT21,'Statement of Marks'!DV21)</f>
        <v xml:space="preserve">        </v>
      </c>
      <c r="F20" s="63">
        <f>COUNTIF('Subject-Wise Result'!G18:K18,"S")</f>
        <v>0</v>
      </c>
      <c r="G20" s="120"/>
      <c r="H20" s="120"/>
      <c r="I20" s="120"/>
      <c r="J20" s="120"/>
      <c r="K20" s="120"/>
      <c r="L20" s="120"/>
      <c r="M20" s="120"/>
      <c r="N20" s="120"/>
      <c r="O20" s="63" t="str">
        <f t="shared" si="1"/>
        <v/>
      </c>
      <c r="P20" s="63" t="str">
        <f t="shared" si="2"/>
        <v/>
      </c>
      <c r="Q20" s="63" t="str">
        <f t="shared" si="3"/>
        <v/>
      </c>
      <c r="R20" s="63" t="str">
        <f t="shared" si="4"/>
        <v/>
      </c>
      <c r="S20" s="63" t="str">
        <f t="shared" si="5"/>
        <v/>
      </c>
      <c r="T20" s="63" t="str">
        <f t="shared" si="6"/>
        <v/>
      </c>
      <c r="U20" s="63" t="str">
        <f t="shared" si="7"/>
        <v/>
      </c>
      <c r="V20" s="63" t="str">
        <f t="shared" si="8"/>
        <v/>
      </c>
      <c r="W20" s="63">
        <f t="shared" si="9"/>
        <v>0</v>
      </c>
      <c r="X20" s="63">
        <f t="shared" si="10"/>
        <v>0</v>
      </c>
      <c r="Y20" s="63" t="str">
        <f>IF(F20=0,"",IF(F20&gt;W20,'Subject-Wise Result'!O18,IF(F20&gt;X20,"FAIL","PASS")))</f>
        <v/>
      </c>
    </row>
    <row r="21" spans="1:25" ht="30" customHeight="1" x14ac:dyDescent="0.25">
      <c r="A21" s="39">
        <f>IF('Statement of Marks'!A22="","",'Statement of Marks'!A22)</f>
        <v>14</v>
      </c>
      <c r="B21" s="39">
        <f>IF('Statement of Marks'!B22="","",'Statement of Marks'!B22)</f>
        <v>919</v>
      </c>
      <c r="C21" s="39">
        <f>IF('Statement of Marks'!C22="","",'Statement of Marks'!C22)</f>
        <v>12336</v>
      </c>
      <c r="D21" s="40" t="str">
        <f>IF('Statement of Marks'!D22="","",'Statement of Marks'!D22)</f>
        <v>NARESH KUMAR REGAR</v>
      </c>
      <c r="E21" s="39" t="str">
        <f>CONCATENATE('Statement of Marks'!DT22,'Statement of Marks'!DV22)</f>
        <v xml:space="preserve">        </v>
      </c>
      <c r="F21" s="63">
        <f>COUNTIF('Subject-Wise Result'!G19:K19,"S")</f>
        <v>0</v>
      </c>
      <c r="G21" s="120"/>
      <c r="H21" s="120"/>
      <c r="I21" s="120"/>
      <c r="J21" s="120"/>
      <c r="K21" s="120"/>
      <c r="L21" s="120"/>
      <c r="M21" s="120"/>
      <c r="N21" s="120"/>
      <c r="O21" s="63" t="str">
        <f t="shared" si="1"/>
        <v/>
      </c>
      <c r="P21" s="63" t="str">
        <f t="shared" si="2"/>
        <v/>
      </c>
      <c r="Q21" s="63" t="str">
        <f t="shared" si="3"/>
        <v/>
      </c>
      <c r="R21" s="63" t="str">
        <f t="shared" si="4"/>
        <v/>
      </c>
      <c r="S21" s="63" t="str">
        <f t="shared" si="5"/>
        <v/>
      </c>
      <c r="T21" s="63" t="str">
        <f t="shared" si="6"/>
        <v/>
      </c>
      <c r="U21" s="63" t="str">
        <f t="shared" si="7"/>
        <v/>
      </c>
      <c r="V21" s="63" t="str">
        <f t="shared" si="8"/>
        <v/>
      </c>
      <c r="W21" s="63">
        <f t="shared" si="9"/>
        <v>0</v>
      </c>
      <c r="X21" s="63">
        <f t="shared" si="10"/>
        <v>0</v>
      </c>
      <c r="Y21" s="63" t="str">
        <f>IF(F21=0,"",IF(F21&gt;W21,'Subject-Wise Result'!O19,IF(F21&gt;X21,"FAIL","PASS")))</f>
        <v/>
      </c>
    </row>
    <row r="22" spans="1:25" ht="30" customHeight="1" x14ac:dyDescent="0.25">
      <c r="A22" s="39">
        <f>IF('Statement of Marks'!A23="","",'Statement of Marks'!A23)</f>
        <v>15</v>
      </c>
      <c r="B22" s="39">
        <f>IF('Statement of Marks'!B23="","",'Statement of Marks'!B23)</f>
        <v>920</v>
      </c>
      <c r="C22" s="39">
        <f>IF('Statement of Marks'!C23="","",'Statement of Marks'!C23)</f>
        <v>12323</v>
      </c>
      <c r="D22" s="40" t="str">
        <f>IF('Statement of Marks'!D23="","",'Statement of Marks'!D23)</f>
        <v>NARESH MALI</v>
      </c>
      <c r="E22" s="39" t="str">
        <f>CONCATENATE('Statement of Marks'!DT23,'Statement of Marks'!DV23)</f>
        <v xml:space="preserve">        </v>
      </c>
      <c r="F22" s="63">
        <f>COUNTIF('Subject-Wise Result'!G20:K20,"S")</f>
        <v>0</v>
      </c>
      <c r="G22" s="120"/>
      <c r="H22" s="120"/>
      <c r="I22" s="120"/>
      <c r="J22" s="120"/>
      <c r="K22" s="120"/>
      <c r="L22" s="120"/>
      <c r="M22" s="120"/>
      <c r="N22" s="120"/>
      <c r="O22" s="63" t="str">
        <f t="shared" si="1"/>
        <v/>
      </c>
      <c r="P22" s="63" t="str">
        <f t="shared" si="2"/>
        <v/>
      </c>
      <c r="Q22" s="63" t="str">
        <f t="shared" si="3"/>
        <v/>
      </c>
      <c r="R22" s="63" t="str">
        <f t="shared" si="4"/>
        <v/>
      </c>
      <c r="S22" s="63" t="str">
        <f t="shared" si="5"/>
        <v/>
      </c>
      <c r="T22" s="63" t="str">
        <f t="shared" si="6"/>
        <v/>
      </c>
      <c r="U22" s="63" t="str">
        <f t="shared" si="7"/>
        <v/>
      </c>
      <c r="V22" s="63" t="str">
        <f t="shared" si="8"/>
        <v/>
      </c>
      <c r="W22" s="63">
        <f t="shared" si="9"/>
        <v>0</v>
      </c>
      <c r="X22" s="63">
        <f t="shared" si="10"/>
        <v>0</v>
      </c>
      <c r="Y22" s="63" t="str">
        <f>IF(F22=0,"",IF(F22&gt;W22,'Subject-Wise Result'!O20,IF(F22&gt;X22,"FAIL","PASS")))</f>
        <v/>
      </c>
    </row>
    <row r="23" spans="1:25" ht="30" customHeight="1" x14ac:dyDescent="0.25">
      <c r="A23" s="39">
        <f>IF('Statement of Marks'!A24="","",'Statement of Marks'!A24)</f>
        <v>16</v>
      </c>
      <c r="B23" s="39">
        <f>IF('Statement of Marks'!B24="","",'Statement of Marks'!B24)</f>
        <v>921</v>
      </c>
      <c r="C23" s="39">
        <f>IF('Statement of Marks'!C24="","",'Statement of Marks'!C24)</f>
        <v>12824</v>
      </c>
      <c r="D23" s="40" t="str">
        <f>IF('Statement of Marks'!D24="","",'Statement of Marks'!D24)</f>
        <v>PRAHLAD LOHAR</v>
      </c>
      <c r="E23" s="39" t="str">
        <f>CONCATENATE('Statement of Marks'!DT24,'Statement of Marks'!DV24)</f>
        <v xml:space="preserve">        </v>
      </c>
      <c r="F23" s="63">
        <f>COUNTIF('Subject-Wise Result'!G21:K21,"S")</f>
        <v>0</v>
      </c>
      <c r="G23" s="120"/>
      <c r="H23" s="120"/>
      <c r="I23" s="120"/>
      <c r="J23" s="120"/>
      <c r="K23" s="120"/>
      <c r="L23" s="120"/>
      <c r="M23" s="120"/>
      <c r="N23" s="120"/>
      <c r="O23" s="63" t="str">
        <f t="shared" si="1"/>
        <v/>
      </c>
      <c r="P23" s="63" t="str">
        <f t="shared" si="2"/>
        <v/>
      </c>
      <c r="Q23" s="63" t="str">
        <f t="shared" si="3"/>
        <v/>
      </c>
      <c r="R23" s="63" t="str">
        <f t="shared" si="4"/>
        <v/>
      </c>
      <c r="S23" s="63" t="str">
        <f t="shared" si="5"/>
        <v/>
      </c>
      <c r="T23" s="63" t="str">
        <f t="shared" si="6"/>
        <v/>
      </c>
      <c r="U23" s="63" t="str">
        <f t="shared" si="7"/>
        <v/>
      </c>
      <c r="V23" s="63" t="str">
        <f t="shared" si="8"/>
        <v/>
      </c>
      <c r="W23" s="63">
        <f t="shared" si="9"/>
        <v>0</v>
      </c>
      <c r="X23" s="63">
        <f t="shared" si="10"/>
        <v>0</v>
      </c>
      <c r="Y23" s="63" t="str">
        <f>IF(F23=0,"",IF(F23&gt;W23,'Subject-Wise Result'!O21,IF(F23&gt;X23,"FAIL","PASS")))</f>
        <v/>
      </c>
    </row>
    <row r="24" spans="1:25" ht="30" customHeight="1" x14ac:dyDescent="0.25">
      <c r="A24" s="39">
        <f>IF('Statement of Marks'!A25="","",'Statement of Marks'!A25)</f>
        <v>17</v>
      </c>
      <c r="B24" s="39">
        <f>IF('Statement of Marks'!B25="","",'Statement of Marks'!B25)</f>
        <v>922</v>
      </c>
      <c r="C24" s="39">
        <f>IF('Statement of Marks'!C25="","",'Statement of Marks'!C25)</f>
        <v>13188</v>
      </c>
      <c r="D24" s="40" t="str">
        <f>IF('Statement of Marks'!D25="","",'Statement of Marks'!D25)</f>
        <v>SHAILENDRA SINGH TANK</v>
      </c>
      <c r="E24" s="39" t="str">
        <f>CONCATENATE('Statement of Marks'!DT25,'Statement of Marks'!DV25)</f>
        <v xml:space="preserve">        </v>
      </c>
      <c r="F24" s="63">
        <f>COUNTIF('Subject-Wise Result'!G22:K22,"S")</f>
        <v>0</v>
      </c>
      <c r="G24" s="120"/>
      <c r="H24" s="120"/>
      <c r="I24" s="120"/>
      <c r="J24" s="120"/>
      <c r="K24" s="120"/>
      <c r="L24" s="120"/>
      <c r="M24" s="120"/>
      <c r="N24" s="120"/>
      <c r="O24" s="63" t="str">
        <f t="shared" si="1"/>
        <v/>
      </c>
      <c r="P24" s="63" t="str">
        <f t="shared" si="2"/>
        <v/>
      </c>
      <c r="Q24" s="63" t="str">
        <f t="shared" si="3"/>
        <v/>
      </c>
      <c r="R24" s="63" t="str">
        <f t="shared" si="4"/>
        <v/>
      </c>
      <c r="S24" s="63" t="str">
        <f t="shared" si="5"/>
        <v/>
      </c>
      <c r="T24" s="63" t="str">
        <f t="shared" si="6"/>
        <v/>
      </c>
      <c r="U24" s="63" t="str">
        <f t="shared" si="7"/>
        <v/>
      </c>
      <c r="V24" s="63" t="str">
        <f t="shared" si="8"/>
        <v/>
      </c>
      <c r="W24" s="63">
        <f t="shared" si="9"/>
        <v>0</v>
      </c>
      <c r="X24" s="63">
        <f t="shared" si="10"/>
        <v>0</v>
      </c>
      <c r="Y24" s="63" t="str">
        <f>IF(F24=0,"",IF(F24&gt;W24,'Subject-Wise Result'!O22,IF(F24&gt;X24,"FAIL","PASS")))</f>
        <v/>
      </c>
    </row>
    <row r="25" spans="1:25" ht="30" customHeight="1" x14ac:dyDescent="0.25">
      <c r="A25" s="39" t="str">
        <f>IF('Statement of Marks'!A26="","",'Statement of Marks'!A26)</f>
        <v/>
      </c>
      <c r="B25" s="39" t="str">
        <f>IF('Statement of Marks'!B26="","",'Statement of Marks'!B26)</f>
        <v/>
      </c>
      <c r="C25" s="39" t="str">
        <f>IF('Statement of Marks'!C26="","",'Statement of Marks'!C26)</f>
        <v/>
      </c>
      <c r="D25" s="40" t="str">
        <f>IF('Statement of Marks'!D26="","",'Statement of Marks'!D26)</f>
        <v/>
      </c>
      <c r="E25" s="39" t="str">
        <f>CONCATENATE('Statement of Marks'!DT26,'Statement of Marks'!DV26)</f>
        <v xml:space="preserve">        </v>
      </c>
      <c r="F25" s="63">
        <f>COUNTIF('Subject-Wise Result'!G23:K23,"S")</f>
        <v>0</v>
      </c>
      <c r="G25" s="120"/>
      <c r="H25" s="120"/>
      <c r="I25" s="120"/>
      <c r="J25" s="120"/>
      <c r="K25" s="120"/>
      <c r="L25" s="120"/>
      <c r="M25" s="120"/>
      <c r="N25" s="120"/>
      <c r="O25" s="63" t="str">
        <f t="shared" si="1"/>
        <v/>
      </c>
      <c r="P25" s="63" t="str">
        <f t="shared" si="2"/>
        <v/>
      </c>
      <c r="Q25" s="63" t="str">
        <f t="shared" si="3"/>
        <v/>
      </c>
      <c r="R25" s="63" t="str">
        <f t="shared" si="4"/>
        <v/>
      </c>
      <c r="S25" s="63" t="str">
        <f t="shared" si="5"/>
        <v/>
      </c>
      <c r="T25" s="63" t="str">
        <f t="shared" si="6"/>
        <v/>
      </c>
      <c r="U25" s="63" t="str">
        <f t="shared" si="7"/>
        <v/>
      </c>
      <c r="V25" s="63" t="str">
        <f t="shared" si="8"/>
        <v/>
      </c>
      <c r="W25" s="63">
        <f t="shared" si="9"/>
        <v>0</v>
      </c>
      <c r="X25" s="63">
        <f t="shared" si="10"/>
        <v>0</v>
      </c>
      <c r="Y25" s="63" t="str">
        <f>IF(F25=0,"",IF(F25&gt;W25,'Subject-Wise Result'!O23,IF(F25&gt;X25,"FAIL","PASS")))</f>
        <v/>
      </c>
    </row>
    <row r="26" spans="1:25" ht="30" customHeight="1" x14ac:dyDescent="0.25">
      <c r="A26" s="39" t="str">
        <f>IF('Statement of Marks'!A27="","",'Statement of Marks'!A27)</f>
        <v/>
      </c>
      <c r="B26" s="39" t="str">
        <f>IF('Statement of Marks'!B27="","",'Statement of Marks'!B27)</f>
        <v/>
      </c>
      <c r="C26" s="39" t="str">
        <f>IF('Statement of Marks'!C27="","",'Statement of Marks'!C27)</f>
        <v/>
      </c>
      <c r="D26" s="40" t="str">
        <f>IF('Statement of Marks'!D27="","",'Statement of Marks'!D27)</f>
        <v/>
      </c>
      <c r="E26" s="39" t="str">
        <f>CONCATENATE('Statement of Marks'!DT27,'Statement of Marks'!DV27)</f>
        <v xml:space="preserve">        </v>
      </c>
      <c r="F26" s="63">
        <f>COUNTIF('Subject-Wise Result'!G24:K24,"S")</f>
        <v>0</v>
      </c>
      <c r="G26" s="120"/>
      <c r="H26" s="120"/>
      <c r="I26" s="120"/>
      <c r="J26" s="120"/>
      <c r="K26" s="120"/>
      <c r="L26" s="120"/>
      <c r="M26" s="120"/>
      <c r="N26" s="120"/>
      <c r="O26" s="63" t="str">
        <f t="shared" si="1"/>
        <v/>
      </c>
      <c r="P26" s="63" t="str">
        <f t="shared" si="2"/>
        <v/>
      </c>
      <c r="Q26" s="63" t="str">
        <f t="shared" si="3"/>
        <v/>
      </c>
      <c r="R26" s="63" t="str">
        <f t="shared" si="4"/>
        <v/>
      </c>
      <c r="S26" s="63" t="str">
        <f t="shared" si="5"/>
        <v/>
      </c>
      <c r="T26" s="63" t="str">
        <f t="shared" si="6"/>
        <v/>
      </c>
      <c r="U26" s="63" t="str">
        <f t="shared" si="7"/>
        <v/>
      </c>
      <c r="V26" s="63" t="str">
        <f t="shared" si="8"/>
        <v/>
      </c>
      <c r="W26" s="63">
        <f t="shared" si="9"/>
        <v>0</v>
      </c>
      <c r="X26" s="63">
        <f t="shared" si="10"/>
        <v>0</v>
      </c>
      <c r="Y26" s="63" t="str">
        <f>IF(F26=0,"",IF(F26&gt;W26,'Subject-Wise Result'!O24,IF(F26&gt;X26,"FAIL","PASS")))</f>
        <v/>
      </c>
    </row>
    <row r="27" spans="1:25" ht="30" customHeight="1" x14ac:dyDescent="0.25">
      <c r="A27" s="39" t="str">
        <f>IF('Statement of Marks'!A28="","",'Statement of Marks'!A28)</f>
        <v/>
      </c>
      <c r="B27" s="39" t="str">
        <f>IF('Statement of Marks'!B28="","",'Statement of Marks'!B28)</f>
        <v/>
      </c>
      <c r="C27" s="39" t="str">
        <f>IF('Statement of Marks'!C28="","",'Statement of Marks'!C28)</f>
        <v/>
      </c>
      <c r="D27" s="40" t="str">
        <f>IF('Statement of Marks'!D28="","",'Statement of Marks'!D28)</f>
        <v/>
      </c>
      <c r="E27" s="39" t="str">
        <f>CONCATENATE('Statement of Marks'!DT28,'Statement of Marks'!DV28)</f>
        <v xml:space="preserve">        </v>
      </c>
      <c r="F27" s="63">
        <f>COUNTIF('Subject-Wise Result'!G25:K25,"S")</f>
        <v>0</v>
      </c>
      <c r="G27" s="120"/>
      <c r="H27" s="120"/>
      <c r="I27" s="120"/>
      <c r="J27" s="120"/>
      <c r="K27" s="120"/>
      <c r="L27" s="120"/>
      <c r="M27" s="120"/>
      <c r="N27" s="120"/>
      <c r="O27" s="63" t="str">
        <f t="shared" si="1"/>
        <v/>
      </c>
      <c r="P27" s="63" t="str">
        <f t="shared" si="2"/>
        <v/>
      </c>
      <c r="Q27" s="63" t="str">
        <f t="shared" si="3"/>
        <v/>
      </c>
      <c r="R27" s="63" t="str">
        <f t="shared" si="4"/>
        <v/>
      </c>
      <c r="S27" s="63" t="str">
        <f t="shared" si="5"/>
        <v/>
      </c>
      <c r="T27" s="63" t="str">
        <f t="shared" si="6"/>
        <v/>
      </c>
      <c r="U27" s="63" t="str">
        <f t="shared" si="7"/>
        <v/>
      </c>
      <c r="V27" s="63" t="str">
        <f t="shared" si="8"/>
        <v/>
      </c>
      <c r="W27" s="63">
        <f t="shared" si="9"/>
        <v>0</v>
      </c>
      <c r="X27" s="63">
        <f t="shared" si="10"/>
        <v>0</v>
      </c>
      <c r="Y27" s="63" t="str">
        <f>IF(F27=0,"",IF(F27&gt;W27,'Subject-Wise Result'!O25,IF(F27&gt;X27,"FAIL","PASS")))</f>
        <v/>
      </c>
    </row>
    <row r="28" spans="1:25" ht="30" customHeight="1" x14ac:dyDescent="0.25">
      <c r="A28" s="39" t="str">
        <f>IF('Statement of Marks'!A29="","",'Statement of Marks'!A29)</f>
        <v/>
      </c>
      <c r="B28" s="39" t="str">
        <f>IF('Statement of Marks'!B29="","",'Statement of Marks'!B29)</f>
        <v/>
      </c>
      <c r="C28" s="39" t="str">
        <f>IF('Statement of Marks'!C29="","",'Statement of Marks'!C29)</f>
        <v/>
      </c>
      <c r="D28" s="40" t="str">
        <f>IF('Statement of Marks'!D29="","",'Statement of Marks'!D29)</f>
        <v/>
      </c>
      <c r="E28" s="39" t="str">
        <f>CONCATENATE('Statement of Marks'!DT29,'Statement of Marks'!DV29)</f>
        <v xml:space="preserve">        </v>
      </c>
      <c r="F28" s="63">
        <f>COUNTIF('Subject-Wise Result'!G26:K26,"S")</f>
        <v>0</v>
      </c>
      <c r="G28" s="120"/>
      <c r="H28" s="120"/>
      <c r="I28" s="120"/>
      <c r="J28" s="120"/>
      <c r="K28" s="120"/>
      <c r="L28" s="120"/>
      <c r="M28" s="120"/>
      <c r="N28" s="120"/>
      <c r="O28" s="63" t="str">
        <f t="shared" si="1"/>
        <v/>
      </c>
      <c r="P28" s="63" t="str">
        <f t="shared" si="2"/>
        <v/>
      </c>
      <c r="Q28" s="63" t="str">
        <f t="shared" si="3"/>
        <v/>
      </c>
      <c r="R28" s="63" t="str">
        <f t="shared" si="4"/>
        <v/>
      </c>
      <c r="S28" s="63" t="str">
        <f t="shared" si="5"/>
        <v/>
      </c>
      <c r="T28" s="63" t="str">
        <f t="shared" si="6"/>
        <v/>
      </c>
      <c r="U28" s="63" t="str">
        <f t="shared" si="7"/>
        <v/>
      </c>
      <c r="V28" s="63" t="str">
        <f t="shared" si="8"/>
        <v/>
      </c>
      <c r="W28" s="63">
        <f t="shared" si="9"/>
        <v>0</v>
      </c>
      <c r="X28" s="63">
        <f t="shared" si="10"/>
        <v>0</v>
      </c>
      <c r="Y28" s="63" t="str">
        <f>IF(F28=0,"",IF(F28&gt;W28,'Subject-Wise Result'!O26,IF(F28&gt;X28,"FAIL","PASS")))</f>
        <v/>
      </c>
    </row>
    <row r="29" spans="1:25" ht="30" customHeight="1" x14ac:dyDescent="0.25">
      <c r="A29" s="39" t="str">
        <f>IF('Statement of Marks'!A30="","",'Statement of Marks'!A30)</f>
        <v/>
      </c>
      <c r="B29" s="39" t="str">
        <f>IF('Statement of Marks'!B30="","",'Statement of Marks'!B30)</f>
        <v/>
      </c>
      <c r="C29" s="39" t="str">
        <f>IF('Statement of Marks'!C30="","",'Statement of Marks'!C30)</f>
        <v/>
      </c>
      <c r="D29" s="40" t="str">
        <f>IF('Statement of Marks'!D30="","",'Statement of Marks'!D30)</f>
        <v/>
      </c>
      <c r="E29" s="39" t="str">
        <f>CONCATENATE('Statement of Marks'!DT30,'Statement of Marks'!DV30)</f>
        <v xml:space="preserve">        </v>
      </c>
      <c r="F29" s="63">
        <f>COUNTIF('Subject-Wise Result'!G27:K27,"S")</f>
        <v>0</v>
      </c>
      <c r="G29" s="120"/>
      <c r="H29" s="120"/>
      <c r="I29" s="120"/>
      <c r="J29" s="120"/>
      <c r="K29" s="120"/>
      <c r="L29" s="120"/>
      <c r="M29" s="120"/>
      <c r="N29" s="120"/>
      <c r="O29" s="63" t="str">
        <f t="shared" si="1"/>
        <v/>
      </c>
      <c r="P29" s="63" t="str">
        <f t="shared" si="2"/>
        <v/>
      </c>
      <c r="Q29" s="63" t="str">
        <f t="shared" si="3"/>
        <v/>
      </c>
      <c r="R29" s="63" t="str">
        <f t="shared" si="4"/>
        <v/>
      </c>
      <c r="S29" s="63" t="str">
        <f t="shared" si="5"/>
        <v/>
      </c>
      <c r="T29" s="63" t="str">
        <f t="shared" si="6"/>
        <v/>
      </c>
      <c r="U29" s="63" t="str">
        <f t="shared" si="7"/>
        <v/>
      </c>
      <c r="V29" s="63" t="str">
        <f t="shared" si="8"/>
        <v/>
      </c>
      <c r="W29" s="63">
        <f t="shared" si="9"/>
        <v>0</v>
      </c>
      <c r="X29" s="63">
        <f t="shared" si="10"/>
        <v>0</v>
      </c>
      <c r="Y29" s="63" t="str">
        <f>IF(F29=0,"",IF(F29&gt;W29,'Subject-Wise Result'!O27,IF(F29&gt;X29,"FAIL","PASS")))</f>
        <v/>
      </c>
    </row>
    <row r="30" spans="1:25" ht="30" customHeight="1" x14ac:dyDescent="0.25">
      <c r="A30" s="39" t="str">
        <f>IF('Statement of Marks'!A31="","",'Statement of Marks'!A31)</f>
        <v/>
      </c>
      <c r="B30" s="39" t="str">
        <f>IF('Statement of Marks'!B31="","",'Statement of Marks'!B31)</f>
        <v/>
      </c>
      <c r="C30" s="39" t="str">
        <f>IF('Statement of Marks'!C31="","",'Statement of Marks'!C31)</f>
        <v/>
      </c>
      <c r="D30" s="40" t="str">
        <f>IF('Statement of Marks'!D31="","",'Statement of Marks'!D31)</f>
        <v/>
      </c>
      <c r="E30" s="39" t="str">
        <f>CONCATENATE('Statement of Marks'!DT31,'Statement of Marks'!DV31)</f>
        <v xml:space="preserve">        </v>
      </c>
      <c r="F30" s="63">
        <f>COUNTIF('Subject-Wise Result'!G28:K28,"S")</f>
        <v>0</v>
      </c>
      <c r="G30" s="120"/>
      <c r="H30" s="120"/>
      <c r="I30" s="120"/>
      <c r="J30" s="120"/>
      <c r="K30" s="120"/>
      <c r="L30" s="120"/>
      <c r="M30" s="120"/>
      <c r="N30" s="120"/>
      <c r="O30" s="63" t="str">
        <f t="shared" si="1"/>
        <v/>
      </c>
      <c r="P30" s="63" t="str">
        <f t="shared" si="2"/>
        <v/>
      </c>
      <c r="Q30" s="63" t="str">
        <f t="shared" si="3"/>
        <v/>
      </c>
      <c r="R30" s="63" t="str">
        <f t="shared" si="4"/>
        <v/>
      </c>
      <c r="S30" s="63" t="str">
        <f t="shared" si="5"/>
        <v/>
      </c>
      <c r="T30" s="63" t="str">
        <f t="shared" si="6"/>
        <v/>
      </c>
      <c r="U30" s="63" t="str">
        <f t="shared" si="7"/>
        <v/>
      </c>
      <c r="V30" s="63" t="str">
        <f t="shared" si="8"/>
        <v/>
      </c>
      <c r="W30" s="63">
        <f t="shared" si="9"/>
        <v>0</v>
      </c>
      <c r="X30" s="63">
        <f t="shared" si="10"/>
        <v>0</v>
      </c>
      <c r="Y30" s="63" t="str">
        <f>IF(F30=0,"",IF(F30&gt;W30,'Subject-Wise Result'!O28,IF(F30&gt;X30,"FAIL","PASS")))</f>
        <v/>
      </c>
    </row>
    <row r="31" spans="1:25" ht="30" customHeight="1" x14ac:dyDescent="0.25">
      <c r="A31" s="39" t="str">
        <f>IF('Statement of Marks'!A32="","",'Statement of Marks'!A32)</f>
        <v/>
      </c>
      <c r="B31" s="39" t="str">
        <f>IF('Statement of Marks'!B32="","",'Statement of Marks'!B32)</f>
        <v/>
      </c>
      <c r="C31" s="39" t="str">
        <f>IF('Statement of Marks'!C32="","",'Statement of Marks'!C32)</f>
        <v/>
      </c>
      <c r="D31" s="40" t="str">
        <f>IF('Statement of Marks'!D32="","",'Statement of Marks'!D32)</f>
        <v/>
      </c>
      <c r="E31" s="39" t="str">
        <f>CONCATENATE('Statement of Marks'!DT32,'Statement of Marks'!DV32)</f>
        <v xml:space="preserve">        </v>
      </c>
      <c r="F31" s="63">
        <f>COUNTIF('Subject-Wise Result'!G29:K29,"S")</f>
        <v>0</v>
      </c>
      <c r="G31" s="120"/>
      <c r="H31" s="120"/>
      <c r="I31" s="120"/>
      <c r="J31" s="120"/>
      <c r="K31" s="120"/>
      <c r="L31" s="120"/>
      <c r="M31" s="120"/>
      <c r="N31" s="120"/>
      <c r="O31" s="63" t="str">
        <f t="shared" si="1"/>
        <v/>
      </c>
      <c r="P31" s="63" t="str">
        <f t="shared" si="2"/>
        <v/>
      </c>
      <c r="Q31" s="63" t="str">
        <f t="shared" si="3"/>
        <v/>
      </c>
      <c r="R31" s="63" t="str">
        <f t="shared" si="4"/>
        <v/>
      </c>
      <c r="S31" s="63" t="str">
        <f t="shared" si="5"/>
        <v/>
      </c>
      <c r="T31" s="63" t="str">
        <f t="shared" si="6"/>
        <v/>
      </c>
      <c r="U31" s="63" t="str">
        <f t="shared" si="7"/>
        <v/>
      </c>
      <c r="V31" s="63" t="str">
        <f t="shared" si="8"/>
        <v/>
      </c>
      <c r="W31" s="63">
        <f t="shared" si="9"/>
        <v>0</v>
      </c>
      <c r="X31" s="63">
        <f t="shared" si="10"/>
        <v>0</v>
      </c>
      <c r="Y31" s="63" t="str">
        <f>IF(F31=0,"",IF(F31&gt;W31,'Subject-Wise Result'!O29,IF(F31&gt;X31,"FAIL","PASS")))</f>
        <v/>
      </c>
    </row>
    <row r="32" spans="1:25" ht="30" customHeight="1" x14ac:dyDescent="0.25">
      <c r="A32" s="39" t="str">
        <f>IF('Statement of Marks'!A33="","",'Statement of Marks'!A33)</f>
        <v/>
      </c>
      <c r="B32" s="39" t="str">
        <f>IF('Statement of Marks'!B33="","",'Statement of Marks'!B33)</f>
        <v/>
      </c>
      <c r="C32" s="39" t="str">
        <f>IF('Statement of Marks'!C33="","",'Statement of Marks'!C33)</f>
        <v/>
      </c>
      <c r="D32" s="40" t="str">
        <f>IF('Statement of Marks'!D33="","",'Statement of Marks'!D33)</f>
        <v/>
      </c>
      <c r="E32" s="39" t="str">
        <f>CONCATENATE('Statement of Marks'!DT33,'Statement of Marks'!DV33)</f>
        <v xml:space="preserve">        </v>
      </c>
      <c r="F32" s="63">
        <f>COUNTIF('Subject-Wise Result'!G30:K30,"S")</f>
        <v>0</v>
      </c>
      <c r="G32" s="120"/>
      <c r="H32" s="120"/>
      <c r="I32" s="120"/>
      <c r="J32" s="120"/>
      <c r="K32" s="120"/>
      <c r="L32" s="120"/>
      <c r="M32" s="120"/>
      <c r="N32" s="120"/>
      <c r="O32" s="63" t="str">
        <f t="shared" si="1"/>
        <v/>
      </c>
      <c r="P32" s="63" t="str">
        <f t="shared" si="2"/>
        <v/>
      </c>
      <c r="Q32" s="63" t="str">
        <f t="shared" si="3"/>
        <v/>
      </c>
      <c r="R32" s="63" t="str">
        <f t="shared" si="4"/>
        <v/>
      </c>
      <c r="S32" s="63" t="str">
        <f t="shared" si="5"/>
        <v/>
      </c>
      <c r="T32" s="63" t="str">
        <f t="shared" si="6"/>
        <v/>
      </c>
      <c r="U32" s="63" t="str">
        <f t="shared" si="7"/>
        <v/>
      </c>
      <c r="V32" s="63" t="str">
        <f t="shared" si="8"/>
        <v/>
      </c>
      <c r="W32" s="63">
        <f t="shared" si="9"/>
        <v>0</v>
      </c>
      <c r="X32" s="63">
        <f t="shared" si="10"/>
        <v>0</v>
      </c>
      <c r="Y32" s="63" t="str">
        <f>IF(F32=0,"",IF(F32&gt;W32,'Subject-Wise Result'!O30,IF(F32&gt;X32,"FAIL","PASS")))</f>
        <v/>
      </c>
    </row>
    <row r="33" spans="1:25" ht="30" customHeight="1" x14ac:dyDescent="0.25">
      <c r="A33" s="39" t="str">
        <f>IF('Statement of Marks'!A34="","",'Statement of Marks'!A34)</f>
        <v/>
      </c>
      <c r="B33" s="39" t="str">
        <f>IF('Statement of Marks'!B34="","",'Statement of Marks'!B34)</f>
        <v/>
      </c>
      <c r="C33" s="39" t="str">
        <f>IF('Statement of Marks'!C34="","",'Statement of Marks'!C34)</f>
        <v/>
      </c>
      <c r="D33" s="40" t="str">
        <f>IF('Statement of Marks'!D34="","",'Statement of Marks'!D34)</f>
        <v/>
      </c>
      <c r="E33" s="39" t="str">
        <f>CONCATENATE('Statement of Marks'!DT34,'Statement of Marks'!DV34)</f>
        <v xml:space="preserve">        </v>
      </c>
      <c r="F33" s="63">
        <f>COUNTIF('Subject-Wise Result'!G31:K31,"S")</f>
        <v>0</v>
      </c>
      <c r="G33" s="120"/>
      <c r="H33" s="120"/>
      <c r="I33" s="120"/>
      <c r="J33" s="120"/>
      <c r="K33" s="120"/>
      <c r="L33" s="120"/>
      <c r="M33" s="120"/>
      <c r="N33" s="120"/>
      <c r="O33" s="63" t="str">
        <f t="shared" si="1"/>
        <v/>
      </c>
      <c r="P33" s="63" t="str">
        <f t="shared" si="2"/>
        <v/>
      </c>
      <c r="Q33" s="63" t="str">
        <f t="shared" si="3"/>
        <v/>
      </c>
      <c r="R33" s="63" t="str">
        <f t="shared" si="4"/>
        <v/>
      </c>
      <c r="S33" s="63" t="str">
        <f t="shared" si="5"/>
        <v/>
      </c>
      <c r="T33" s="63" t="str">
        <f t="shared" si="6"/>
        <v/>
      </c>
      <c r="U33" s="63" t="str">
        <f t="shared" si="7"/>
        <v/>
      </c>
      <c r="V33" s="63" t="str">
        <f t="shared" si="8"/>
        <v/>
      </c>
      <c r="W33" s="63">
        <f t="shared" si="9"/>
        <v>0</v>
      </c>
      <c r="X33" s="63">
        <f t="shared" si="10"/>
        <v>0</v>
      </c>
      <c r="Y33" s="63" t="str">
        <f>IF(F33=0,"",IF(F33&gt;W33,'Subject-Wise Result'!O31,IF(F33&gt;X33,"FAIL","PASS")))</f>
        <v/>
      </c>
    </row>
    <row r="34" spans="1:25" ht="30" customHeight="1" x14ac:dyDescent="0.25">
      <c r="A34" s="39" t="str">
        <f>IF('Statement of Marks'!A35="","",'Statement of Marks'!A35)</f>
        <v/>
      </c>
      <c r="B34" s="39" t="str">
        <f>IF('Statement of Marks'!B35="","",'Statement of Marks'!B35)</f>
        <v/>
      </c>
      <c r="C34" s="39" t="str">
        <f>IF('Statement of Marks'!C35="","",'Statement of Marks'!C35)</f>
        <v/>
      </c>
      <c r="D34" s="40" t="str">
        <f>IF('Statement of Marks'!D35="","",'Statement of Marks'!D35)</f>
        <v/>
      </c>
      <c r="E34" s="39" t="str">
        <f>CONCATENATE('Statement of Marks'!DT35,'Statement of Marks'!DV35)</f>
        <v xml:space="preserve">        </v>
      </c>
      <c r="F34" s="63">
        <f>COUNTIF('Subject-Wise Result'!G32:K32,"S")</f>
        <v>0</v>
      </c>
      <c r="G34" s="120"/>
      <c r="H34" s="120"/>
      <c r="I34" s="120"/>
      <c r="J34" s="120"/>
      <c r="K34" s="120"/>
      <c r="L34" s="120"/>
      <c r="M34" s="120"/>
      <c r="N34" s="120"/>
      <c r="O34" s="63" t="str">
        <f t="shared" si="1"/>
        <v/>
      </c>
      <c r="P34" s="63" t="str">
        <f t="shared" si="2"/>
        <v/>
      </c>
      <c r="Q34" s="63" t="str">
        <f t="shared" si="3"/>
        <v/>
      </c>
      <c r="R34" s="63" t="str">
        <f t="shared" si="4"/>
        <v/>
      </c>
      <c r="S34" s="63" t="str">
        <f t="shared" si="5"/>
        <v/>
      </c>
      <c r="T34" s="63" t="str">
        <f t="shared" si="6"/>
        <v/>
      </c>
      <c r="U34" s="63" t="str">
        <f t="shared" si="7"/>
        <v/>
      </c>
      <c r="V34" s="63" t="str">
        <f t="shared" si="8"/>
        <v/>
      </c>
      <c r="W34" s="63">
        <f t="shared" si="9"/>
        <v>0</v>
      </c>
      <c r="X34" s="63">
        <f t="shared" si="10"/>
        <v>0</v>
      </c>
      <c r="Y34" s="63" t="str">
        <f>IF(F34=0,"",IF(F34&gt;W34,'Subject-Wise Result'!O32,IF(F34&gt;X34,"FAIL","PASS")))</f>
        <v/>
      </c>
    </row>
    <row r="35" spans="1:25" ht="30" customHeight="1" x14ac:dyDescent="0.25">
      <c r="A35" s="39" t="str">
        <f>IF('Statement of Marks'!A36="","",'Statement of Marks'!A36)</f>
        <v/>
      </c>
      <c r="B35" s="39" t="str">
        <f>IF('Statement of Marks'!B36="","",'Statement of Marks'!B36)</f>
        <v/>
      </c>
      <c r="C35" s="39" t="str">
        <f>IF('Statement of Marks'!C36="","",'Statement of Marks'!C36)</f>
        <v/>
      </c>
      <c r="D35" s="40" t="str">
        <f>IF('Statement of Marks'!D36="","",'Statement of Marks'!D36)</f>
        <v/>
      </c>
      <c r="E35" s="39" t="str">
        <f>CONCATENATE('Statement of Marks'!DT36,'Statement of Marks'!DV36)</f>
        <v xml:space="preserve">        </v>
      </c>
      <c r="F35" s="63">
        <f>COUNTIF('Subject-Wise Result'!G33:K33,"S")</f>
        <v>0</v>
      </c>
      <c r="G35" s="120"/>
      <c r="H35" s="120"/>
      <c r="I35" s="120"/>
      <c r="J35" s="120"/>
      <c r="K35" s="120"/>
      <c r="L35" s="120"/>
      <c r="M35" s="120"/>
      <c r="N35" s="120"/>
      <c r="O35" s="63" t="str">
        <f t="shared" si="1"/>
        <v/>
      </c>
      <c r="P35" s="63" t="str">
        <f t="shared" si="2"/>
        <v/>
      </c>
      <c r="Q35" s="63" t="str">
        <f t="shared" si="3"/>
        <v/>
      </c>
      <c r="R35" s="63" t="str">
        <f t="shared" si="4"/>
        <v/>
      </c>
      <c r="S35" s="63" t="str">
        <f t="shared" si="5"/>
        <v/>
      </c>
      <c r="T35" s="63" t="str">
        <f t="shared" si="6"/>
        <v/>
      </c>
      <c r="U35" s="63" t="str">
        <f t="shared" si="7"/>
        <v/>
      </c>
      <c r="V35" s="63" t="str">
        <f t="shared" si="8"/>
        <v/>
      </c>
      <c r="W35" s="63">
        <f t="shared" si="9"/>
        <v>0</v>
      </c>
      <c r="X35" s="63">
        <f t="shared" si="10"/>
        <v>0</v>
      </c>
      <c r="Y35" s="63" t="str">
        <f>IF(F35=0,"",IF(F35&gt;W35,'Subject-Wise Result'!O33,IF(F35&gt;X35,"FAIL","PASS")))</f>
        <v/>
      </c>
    </row>
    <row r="36" spans="1:25" ht="30" customHeight="1" x14ac:dyDescent="0.25">
      <c r="A36" s="39" t="str">
        <f>IF('Statement of Marks'!A37="","",'Statement of Marks'!A37)</f>
        <v/>
      </c>
      <c r="B36" s="39" t="str">
        <f>IF('Statement of Marks'!B37="","",'Statement of Marks'!B37)</f>
        <v/>
      </c>
      <c r="C36" s="39" t="str">
        <f>IF('Statement of Marks'!C37="","",'Statement of Marks'!C37)</f>
        <v/>
      </c>
      <c r="D36" s="40" t="str">
        <f>IF('Statement of Marks'!D37="","",'Statement of Marks'!D37)</f>
        <v/>
      </c>
      <c r="E36" s="39" t="str">
        <f>CONCATENATE('Statement of Marks'!DT37,'Statement of Marks'!DV37)</f>
        <v xml:space="preserve">        </v>
      </c>
      <c r="F36" s="63">
        <f>COUNTIF('Subject-Wise Result'!G34:K34,"S")</f>
        <v>0</v>
      </c>
      <c r="G36" s="120"/>
      <c r="H36" s="120"/>
      <c r="I36" s="120"/>
      <c r="J36" s="120"/>
      <c r="K36" s="120"/>
      <c r="L36" s="120"/>
      <c r="M36" s="120"/>
      <c r="N36" s="120"/>
      <c r="O36" s="63" t="str">
        <f t="shared" si="1"/>
        <v/>
      </c>
      <c r="P36" s="63" t="str">
        <f t="shared" si="2"/>
        <v/>
      </c>
      <c r="Q36" s="63" t="str">
        <f t="shared" si="3"/>
        <v/>
      </c>
      <c r="R36" s="63" t="str">
        <f t="shared" si="4"/>
        <v/>
      </c>
      <c r="S36" s="63" t="str">
        <f t="shared" si="5"/>
        <v/>
      </c>
      <c r="T36" s="63" t="str">
        <f t="shared" si="6"/>
        <v/>
      </c>
      <c r="U36" s="63" t="str">
        <f t="shared" si="7"/>
        <v/>
      </c>
      <c r="V36" s="63" t="str">
        <f t="shared" si="8"/>
        <v/>
      </c>
      <c r="W36" s="63">
        <f t="shared" si="9"/>
        <v>0</v>
      </c>
      <c r="X36" s="63">
        <f t="shared" si="10"/>
        <v>0</v>
      </c>
      <c r="Y36" s="63" t="str">
        <f>IF(F36=0,"",IF(F36&gt;W36,'Subject-Wise Result'!O34,IF(F36&gt;X36,"FAIL","PASS")))</f>
        <v/>
      </c>
    </row>
    <row r="37" spans="1:25" ht="30" customHeight="1" x14ac:dyDescent="0.25">
      <c r="A37" s="39" t="str">
        <f>IF('Statement of Marks'!A38="","",'Statement of Marks'!A38)</f>
        <v/>
      </c>
      <c r="B37" s="39" t="str">
        <f>IF('Statement of Marks'!B38="","",'Statement of Marks'!B38)</f>
        <v/>
      </c>
      <c r="C37" s="39" t="str">
        <f>IF('Statement of Marks'!C38="","",'Statement of Marks'!C38)</f>
        <v/>
      </c>
      <c r="D37" s="40" t="str">
        <f>IF('Statement of Marks'!D38="","",'Statement of Marks'!D38)</f>
        <v/>
      </c>
      <c r="E37" s="39" t="str">
        <f>CONCATENATE('Statement of Marks'!DT38,'Statement of Marks'!DV38)</f>
        <v xml:space="preserve">        </v>
      </c>
      <c r="F37" s="63">
        <f>COUNTIF('Subject-Wise Result'!G35:K35,"S")</f>
        <v>0</v>
      </c>
      <c r="G37" s="120"/>
      <c r="H37" s="120"/>
      <c r="I37" s="120"/>
      <c r="J37" s="120"/>
      <c r="K37" s="120"/>
      <c r="L37" s="120"/>
      <c r="M37" s="120"/>
      <c r="N37" s="120"/>
      <c r="O37" s="63" t="str">
        <f t="shared" si="1"/>
        <v/>
      </c>
      <c r="P37" s="63" t="str">
        <f t="shared" si="2"/>
        <v/>
      </c>
      <c r="Q37" s="63" t="str">
        <f t="shared" si="3"/>
        <v/>
      </c>
      <c r="R37" s="63" t="str">
        <f t="shared" si="4"/>
        <v/>
      </c>
      <c r="S37" s="63" t="str">
        <f t="shared" si="5"/>
        <v/>
      </c>
      <c r="T37" s="63" t="str">
        <f t="shared" si="6"/>
        <v/>
      </c>
      <c r="U37" s="63" t="str">
        <f t="shared" si="7"/>
        <v/>
      </c>
      <c r="V37" s="63" t="str">
        <f t="shared" si="8"/>
        <v/>
      </c>
      <c r="W37" s="63">
        <f t="shared" si="9"/>
        <v>0</v>
      </c>
      <c r="X37" s="63">
        <f t="shared" si="10"/>
        <v>0</v>
      </c>
      <c r="Y37" s="63" t="str">
        <f>IF(F37=0,"",IF(F37&gt;W37,'Subject-Wise Result'!O35,IF(F37&gt;X37,"FAIL","PASS")))</f>
        <v/>
      </c>
    </row>
    <row r="38" spans="1:25" ht="30" customHeight="1" x14ac:dyDescent="0.25">
      <c r="A38" s="39" t="str">
        <f>IF('Statement of Marks'!A39="","",'Statement of Marks'!A39)</f>
        <v/>
      </c>
      <c r="B38" s="39" t="str">
        <f>IF('Statement of Marks'!B39="","",'Statement of Marks'!B39)</f>
        <v/>
      </c>
      <c r="C38" s="39" t="str">
        <f>IF('Statement of Marks'!C39="","",'Statement of Marks'!C39)</f>
        <v/>
      </c>
      <c r="D38" s="40" t="str">
        <f>IF('Statement of Marks'!D39="","",'Statement of Marks'!D39)</f>
        <v/>
      </c>
      <c r="E38" s="39" t="str">
        <f>CONCATENATE('Statement of Marks'!DT39,'Statement of Marks'!DV39)</f>
        <v xml:space="preserve">        </v>
      </c>
      <c r="F38" s="63">
        <f>COUNTIF('Subject-Wise Result'!G36:K36,"S")</f>
        <v>0</v>
      </c>
      <c r="G38" s="120"/>
      <c r="H38" s="120"/>
      <c r="I38" s="120"/>
      <c r="J38" s="120"/>
      <c r="K38" s="120"/>
      <c r="L38" s="120"/>
      <c r="M38" s="120"/>
      <c r="N38" s="120"/>
      <c r="O38" s="63" t="str">
        <f t="shared" si="1"/>
        <v/>
      </c>
      <c r="P38" s="63" t="str">
        <f t="shared" si="2"/>
        <v/>
      </c>
      <c r="Q38" s="63" t="str">
        <f t="shared" si="3"/>
        <v/>
      </c>
      <c r="R38" s="63" t="str">
        <f t="shared" si="4"/>
        <v/>
      </c>
      <c r="S38" s="63" t="str">
        <f t="shared" si="5"/>
        <v/>
      </c>
      <c r="T38" s="63" t="str">
        <f t="shared" si="6"/>
        <v/>
      </c>
      <c r="U38" s="63" t="str">
        <f t="shared" si="7"/>
        <v/>
      </c>
      <c r="V38" s="63" t="str">
        <f t="shared" si="8"/>
        <v/>
      </c>
      <c r="W38" s="63">
        <f t="shared" si="9"/>
        <v>0</v>
      </c>
      <c r="X38" s="63">
        <f t="shared" si="10"/>
        <v>0</v>
      </c>
      <c r="Y38" s="63" t="str">
        <f>IF(F38=0,"",IF(F38&gt;W38,'Subject-Wise Result'!O36,IF(F38&gt;X38,"FAIL","PASS")))</f>
        <v/>
      </c>
    </row>
    <row r="39" spans="1:25" ht="30" customHeight="1" x14ac:dyDescent="0.25">
      <c r="A39" s="39" t="str">
        <f>IF('Statement of Marks'!A40="","",'Statement of Marks'!A40)</f>
        <v/>
      </c>
      <c r="B39" s="39" t="str">
        <f>IF('Statement of Marks'!B40="","",'Statement of Marks'!B40)</f>
        <v/>
      </c>
      <c r="C39" s="39" t="str">
        <f>IF('Statement of Marks'!C40="","",'Statement of Marks'!C40)</f>
        <v/>
      </c>
      <c r="D39" s="40" t="str">
        <f>IF('Statement of Marks'!D40="","",'Statement of Marks'!D40)</f>
        <v/>
      </c>
      <c r="E39" s="39" t="str">
        <f>CONCATENATE('Statement of Marks'!DT40,'Statement of Marks'!DV40)</f>
        <v xml:space="preserve">        </v>
      </c>
      <c r="F39" s="63">
        <f>COUNTIF('Subject-Wise Result'!G37:K37,"S")</f>
        <v>0</v>
      </c>
      <c r="G39" s="120"/>
      <c r="H39" s="120"/>
      <c r="I39" s="120"/>
      <c r="J39" s="120"/>
      <c r="K39" s="120"/>
      <c r="L39" s="120"/>
      <c r="M39" s="120"/>
      <c r="N39" s="120"/>
      <c r="O39" s="63" t="str">
        <f t="shared" si="1"/>
        <v/>
      </c>
      <c r="P39" s="63" t="str">
        <f t="shared" si="2"/>
        <v/>
      </c>
      <c r="Q39" s="63" t="str">
        <f t="shared" si="3"/>
        <v/>
      </c>
      <c r="R39" s="63" t="str">
        <f t="shared" si="4"/>
        <v/>
      </c>
      <c r="S39" s="63" t="str">
        <f t="shared" si="5"/>
        <v/>
      </c>
      <c r="T39" s="63" t="str">
        <f t="shared" si="6"/>
        <v/>
      </c>
      <c r="U39" s="63" t="str">
        <f t="shared" si="7"/>
        <v/>
      </c>
      <c r="V39" s="63" t="str">
        <f t="shared" si="8"/>
        <v/>
      </c>
      <c r="W39" s="63">
        <f t="shared" si="9"/>
        <v>0</v>
      </c>
      <c r="X39" s="63">
        <f t="shared" si="10"/>
        <v>0</v>
      </c>
      <c r="Y39" s="63" t="str">
        <f>IF(F39=0,"",IF(F39&gt;W39,'Subject-Wise Result'!O37,IF(F39&gt;X39,"FAIL","PASS")))</f>
        <v/>
      </c>
    </row>
    <row r="40" spans="1:25" ht="30" customHeight="1" x14ac:dyDescent="0.25">
      <c r="A40" s="39" t="str">
        <f>IF('Statement of Marks'!A41="","",'Statement of Marks'!A41)</f>
        <v/>
      </c>
      <c r="B40" s="39" t="str">
        <f>IF('Statement of Marks'!B41="","",'Statement of Marks'!B41)</f>
        <v/>
      </c>
      <c r="C40" s="39" t="str">
        <f>IF('Statement of Marks'!C41="","",'Statement of Marks'!C41)</f>
        <v/>
      </c>
      <c r="D40" s="40" t="str">
        <f>IF('Statement of Marks'!D41="","",'Statement of Marks'!D41)</f>
        <v/>
      </c>
      <c r="E40" s="39" t="str">
        <f>CONCATENATE('Statement of Marks'!DT41,'Statement of Marks'!DV41)</f>
        <v xml:space="preserve">        </v>
      </c>
      <c r="F40" s="63">
        <f>COUNTIF('Subject-Wise Result'!G38:K38,"S")</f>
        <v>0</v>
      </c>
      <c r="G40" s="120"/>
      <c r="H40" s="120"/>
      <c r="I40" s="120"/>
      <c r="J40" s="120"/>
      <c r="K40" s="120"/>
      <c r="L40" s="120"/>
      <c r="M40" s="120"/>
      <c r="N40" s="120"/>
      <c r="O40" s="63" t="str">
        <f t="shared" ref="O40:O71" si="11">IF(G40="","",IF(OR(G40="AB",G40&lt;36),"F","P"))</f>
        <v/>
      </c>
      <c r="P40" s="63" t="str">
        <f t="shared" ref="P40:P71" si="12">IF(H40="","",IF(OR(H40="AB",H40&lt;36),"F","P"))</f>
        <v/>
      </c>
      <c r="Q40" s="63" t="str">
        <f t="shared" ref="Q40:Q71" si="13">IF(I40="","",IF(OR(I40="AB",I40&lt;36),"F","P"))</f>
        <v/>
      </c>
      <c r="R40" s="63" t="str">
        <f t="shared" ref="R40:R71" si="14">IF(J40="","",IF(OR(J40="AB",J40&lt;36),"F","P"))</f>
        <v/>
      </c>
      <c r="S40" s="63" t="str">
        <f t="shared" ref="S40:S71" si="15">IF(K40="","",IF(OR(K40="AB",K40&lt;36),"F","P"))</f>
        <v/>
      </c>
      <c r="T40" s="63" t="str">
        <f t="shared" ref="T40:T71" si="16">IF(L40="","",IF(OR(L40="AB",L40&lt;36),"F","P"))</f>
        <v/>
      </c>
      <c r="U40" s="63" t="str">
        <f t="shared" ref="U40:U71" si="17">IF(M40="","",IF(OR(M40="AB",M40&lt;36),"F","P"))</f>
        <v/>
      </c>
      <c r="V40" s="63" t="str">
        <f t="shared" ref="V40:V71" si="18">IF(N40="","",IF(OR(N40="AB",N40&lt;36),"F","P"))</f>
        <v/>
      </c>
      <c r="W40" s="63">
        <f t="shared" ref="W40:W71" si="19">COUNTA(G40:N40)</f>
        <v>0</v>
      </c>
      <c r="X40" s="63">
        <f t="shared" ref="X40:X71" si="20">COUNTIF(O40:V40,"P")</f>
        <v>0</v>
      </c>
      <c r="Y40" s="63" t="str">
        <f>IF(F40=0,"",IF(F40&gt;W40,'Subject-Wise Result'!O38,IF(F40&gt;X40,"FAIL","PASS")))</f>
        <v/>
      </c>
    </row>
    <row r="41" spans="1:25" ht="30" customHeight="1" x14ac:dyDescent="0.25">
      <c r="A41" s="39" t="str">
        <f>IF('Statement of Marks'!A42="","",'Statement of Marks'!A42)</f>
        <v/>
      </c>
      <c r="B41" s="39" t="str">
        <f>IF('Statement of Marks'!B42="","",'Statement of Marks'!B42)</f>
        <v/>
      </c>
      <c r="C41" s="39" t="str">
        <f>IF('Statement of Marks'!C42="","",'Statement of Marks'!C42)</f>
        <v/>
      </c>
      <c r="D41" s="40" t="str">
        <f>IF('Statement of Marks'!D42="","",'Statement of Marks'!D42)</f>
        <v/>
      </c>
      <c r="E41" s="39" t="str">
        <f>CONCATENATE('Statement of Marks'!DT42,'Statement of Marks'!DV42)</f>
        <v xml:space="preserve">        </v>
      </c>
      <c r="F41" s="63">
        <f>COUNTIF('Subject-Wise Result'!G39:K39,"S")</f>
        <v>0</v>
      </c>
      <c r="G41" s="120"/>
      <c r="H41" s="120"/>
      <c r="I41" s="120"/>
      <c r="J41" s="120"/>
      <c r="K41" s="120"/>
      <c r="L41" s="120"/>
      <c r="M41" s="120"/>
      <c r="N41" s="120"/>
      <c r="O41" s="63" t="str">
        <f t="shared" si="11"/>
        <v/>
      </c>
      <c r="P41" s="63" t="str">
        <f t="shared" si="12"/>
        <v/>
      </c>
      <c r="Q41" s="63" t="str">
        <f t="shared" si="13"/>
        <v/>
      </c>
      <c r="R41" s="63" t="str">
        <f t="shared" si="14"/>
        <v/>
      </c>
      <c r="S41" s="63" t="str">
        <f t="shared" si="15"/>
        <v/>
      </c>
      <c r="T41" s="63" t="str">
        <f t="shared" si="16"/>
        <v/>
      </c>
      <c r="U41" s="63" t="str">
        <f t="shared" si="17"/>
        <v/>
      </c>
      <c r="V41" s="63" t="str">
        <f t="shared" si="18"/>
        <v/>
      </c>
      <c r="W41" s="63">
        <f t="shared" si="19"/>
        <v>0</v>
      </c>
      <c r="X41" s="63">
        <f t="shared" si="20"/>
        <v>0</v>
      </c>
      <c r="Y41" s="63" t="str">
        <f>IF(F41=0,"",IF(F41&gt;W41,'Subject-Wise Result'!O39,IF(F41&gt;X41,"FAIL","PASS")))</f>
        <v/>
      </c>
    </row>
    <row r="42" spans="1:25" ht="30" customHeight="1" x14ac:dyDescent="0.25">
      <c r="A42" s="39" t="str">
        <f>IF('Statement of Marks'!A43="","",'Statement of Marks'!A43)</f>
        <v/>
      </c>
      <c r="B42" s="39" t="str">
        <f>IF('Statement of Marks'!B43="","",'Statement of Marks'!B43)</f>
        <v/>
      </c>
      <c r="C42" s="39" t="str">
        <f>IF('Statement of Marks'!C43="","",'Statement of Marks'!C43)</f>
        <v/>
      </c>
      <c r="D42" s="40" t="str">
        <f>IF('Statement of Marks'!D43="","",'Statement of Marks'!D43)</f>
        <v/>
      </c>
      <c r="E42" s="39" t="str">
        <f>CONCATENATE('Statement of Marks'!DT43,'Statement of Marks'!DV43)</f>
        <v xml:space="preserve">        </v>
      </c>
      <c r="F42" s="63">
        <f>COUNTIF('Subject-Wise Result'!G40:K40,"S")</f>
        <v>0</v>
      </c>
      <c r="G42" s="120"/>
      <c r="H42" s="120"/>
      <c r="I42" s="120"/>
      <c r="J42" s="120"/>
      <c r="K42" s="120"/>
      <c r="L42" s="120"/>
      <c r="M42" s="120"/>
      <c r="N42" s="120"/>
      <c r="O42" s="63" t="str">
        <f t="shared" si="11"/>
        <v/>
      </c>
      <c r="P42" s="63" t="str">
        <f t="shared" si="12"/>
        <v/>
      </c>
      <c r="Q42" s="63" t="str">
        <f t="shared" si="13"/>
        <v/>
      </c>
      <c r="R42" s="63" t="str">
        <f t="shared" si="14"/>
        <v/>
      </c>
      <c r="S42" s="63" t="str">
        <f t="shared" si="15"/>
        <v/>
      </c>
      <c r="T42" s="63" t="str">
        <f t="shared" si="16"/>
        <v/>
      </c>
      <c r="U42" s="63" t="str">
        <f t="shared" si="17"/>
        <v/>
      </c>
      <c r="V42" s="63" t="str">
        <f t="shared" si="18"/>
        <v/>
      </c>
      <c r="W42" s="63">
        <f t="shared" si="19"/>
        <v>0</v>
      </c>
      <c r="X42" s="63">
        <f t="shared" si="20"/>
        <v>0</v>
      </c>
      <c r="Y42" s="63" t="str">
        <f>IF(F42=0,"",IF(F42&gt;W42,'Subject-Wise Result'!O40,IF(F42&gt;X42,"FAIL","PASS")))</f>
        <v/>
      </c>
    </row>
    <row r="43" spans="1:25" ht="30" customHeight="1" x14ac:dyDescent="0.25">
      <c r="A43" s="39" t="str">
        <f>IF('Statement of Marks'!A44="","",'Statement of Marks'!A44)</f>
        <v/>
      </c>
      <c r="B43" s="39" t="str">
        <f>IF('Statement of Marks'!B44="","",'Statement of Marks'!B44)</f>
        <v/>
      </c>
      <c r="C43" s="39" t="str">
        <f>IF('Statement of Marks'!C44="","",'Statement of Marks'!C44)</f>
        <v/>
      </c>
      <c r="D43" s="40" t="str">
        <f>IF('Statement of Marks'!D44="","",'Statement of Marks'!D44)</f>
        <v/>
      </c>
      <c r="E43" s="39" t="str">
        <f>CONCATENATE('Statement of Marks'!DT44,'Statement of Marks'!DV44)</f>
        <v xml:space="preserve">        </v>
      </c>
      <c r="F43" s="63">
        <f>COUNTIF('Subject-Wise Result'!G41:K41,"S")</f>
        <v>0</v>
      </c>
      <c r="G43" s="120"/>
      <c r="H43" s="120"/>
      <c r="I43" s="120"/>
      <c r="J43" s="120"/>
      <c r="K43" s="120"/>
      <c r="L43" s="120"/>
      <c r="M43" s="120"/>
      <c r="N43" s="120"/>
      <c r="O43" s="63" t="str">
        <f t="shared" si="11"/>
        <v/>
      </c>
      <c r="P43" s="63" t="str">
        <f t="shared" si="12"/>
        <v/>
      </c>
      <c r="Q43" s="63" t="str">
        <f t="shared" si="13"/>
        <v/>
      </c>
      <c r="R43" s="63" t="str">
        <f t="shared" si="14"/>
        <v/>
      </c>
      <c r="S43" s="63" t="str">
        <f t="shared" si="15"/>
        <v/>
      </c>
      <c r="T43" s="63" t="str">
        <f t="shared" si="16"/>
        <v/>
      </c>
      <c r="U43" s="63" t="str">
        <f t="shared" si="17"/>
        <v/>
      </c>
      <c r="V43" s="63" t="str">
        <f t="shared" si="18"/>
        <v/>
      </c>
      <c r="W43" s="63">
        <f t="shared" si="19"/>
        <v>0</v>
      </c>
      <c r="X43" s="63">
        <f t="shared" si="20"/>
        <v>0</v>
      </c>
      <c r="Y43" s="63" t="str">
        <f>IF(F43=0,"",IF(F43&gt;W43,'Subject-Wise Result'!O41,IF(F43&gt;X43,"FAIL","PASS")))</f>
        <v/>
      </c>
    </row>
    <row r="44" spans="1:25" ht="30" customHeight="1" x14ac:dyDescent="0.25">
      <c r="A44" s="39" t="str">
        <f>IF('Statement of Marks'!A45="","",'Statement of Marks'!A45)</f>
        <v/>
      </c>
      <c r="B44" s="39" t="str">
        <f>IF('Statement of Marks'!B45="","",'Statement of Marks'!B45)</f>
        <v/>
      </c>
      <c r="C44" s="39" t="str">
        <f>IF('Statement of Marks'!C45="","",'Statement of Marks'!C45)</f>
        <v/>
      </c>
      <c r="D44" s="40" t="str">
        <f>IF('Statement of Marks'!D45="","",'Statement of Marks'!D45)</f>
        <v/>
      </c>
      <c r="E44" s="39" t="str">
        <f>CONCATENATE('Statement of Marks'!DT45,'Statement of Marks'!DV45)</f>
        <v xml:space="preserve">        </v>
      </c>
      <c r="F44" s="63">
        <f>COUNTIF('Subject-Wise Result'!G42:K42,"S")</f>
        <v>0</v>
      </c>
      <c r="G44" s="120"/>
      <c r="H44" s="120"/>
      <c r="I44" s="120"/>
      <c r="J44" s="120"/>
      <c r="K44" s="120"/>
      <c r="L44" s="120"/>
      <c r="M44" s="120"/>
      <c r="N44" s="120"/>
      <c r="O44" s="63" t="str">
        <f t="shared" si="11"/>
        <v/>
      </c>
      <c r="P44" s="63" t="str">
        <f t="shared" si="12"/>
        <v/>
      </c>
      <c r="Q44" s="63" t="str">
        <f t="shared" si="13"/>
        <v/>
      </c>
      <c r="R44" s="63" t="str">
        <f t="shared" si="14"/>
        <v/>
      </c>
      <c r="S44" s="63" t="str">
        <f t="shared" si="15"/>
        <v/>
      </c>
      <c r="T44" s="63" t="str">
        <f t="shared" si="16"/>
        <v/>
      </c>
      <c r="U44" s="63" t="str">
        <f t="shared" si="17"/>
        <v/>
      </c>
      <c r="V44" s="63" t="str">
        <f t="shared" si="18"/>
        <v/>
      </c>
      <c r="W44" s="63">
        <f t="shared" si="19"/>
        <v>0</v>
      </c>
      <c r="X44" s="63">
        <f t="shared" si="20"/>
        <v>0</v>
      </c>
      <c r="Y44" s="63" t="str">
        <f>IF(F44=0,"",IF(F44&gt;W44,'Subject-Wise Result'!O42,IF(F44&gt;X44,"FAIL","PASS")))</f>
        <v/>
      </c>
    </row>
    <row r="45" spans="1:25" ht="30" customHeight="1" x14ac:dyDescent="0.25">
      <c r="A45" s="39" t="str">
        <f>IF('Statement of Marks'!A46="","",'Statement of Marks'!A46)</f>
        <v/>
      </c>
      <c r="B45" s="39" t="str">
        <f>IF('Statement of Marks'!B46="","",'Statement of Marks'!B46)</f>
        <v/>
      </c>
      <c r="C45" s="39" t="str">
        <f>IF('Statement of Marks'!C46="","",'Statement of Marks'!C46)</f>
        <v/>
      </c>
      <c r="D45" s="40" t="str">
        <f>IF('Statement of Marks'!D46="","",'Statement of Marks'!D46)</f>
        <v/>
      </c>
      <c r="E45" s="39" t="str">
        <f>CONCATENATE('Statement of Marks'!DT46,'Statement of Marks'!DV46)</f>
        <v xml:space="preserve">        </v>
      </c>
      <c r="F45" s="63">
        <f>COUNTIF('Subject-Wise Result'!G43:K43,"S")</f>
        <v>0</v>
      </c>
      <c r="G45" s="120"/>
      <c r="H45" s="120"/>
      <c r="I45" s="120"/>
      <c r="J45" s="120"/>
      <c r="K45" s="120"/>
      <c r="L45" s="120"/>
      <c r="M45" s="120"/>
      <c r="N45" s="120"/>
      <c r="O45" s="63" t="str">
        <f t="shared" si="11"/>
        <v/>
      </c>
      <c r="P45" s="63" t="str">
        <f t="shared" si="12"/>
        <v/>
      </c>
      <c r="Q45" s="63" t="str">
        <f t="shared" si="13"/>
        <v/>
      </c>
      <c r="R45" s="63" t="str">
        <f t="shared" si="14"/>
        <v/>
      </c>
      <c r="S45" s="63" t="str">
        <f t="shared" si="15"/>
        <v/>
      </c>
      <c r="T45" s="63" t="str">
        <f t="shared" si="16"/>
        <v/>
      </c>
      <c r="U45" s="63" t="str">
        <f t="shared" si="17"/>
        <v/>
      </c>
      <c r="V45" s="63" t="str">
        <f t="shared" si="18"/>
        <v/>
      </c>
      <c r="W45" s="63">
        <f t="shared" si="19"/>
        <v>0</v>
      </c>
      <c r="X45" s="63">
        <f t="shared" si="20"/>
        <v>0</v>
      </c>
      <c r="Y45" s="63" t="str">
        <f>IF(F45=0,"",IF(F45&gt;W45,'Subject-Wise Result'!O43,IF(F45&gt;X45,"FAIL","PASS")))</f>
        <v/>
      </c>
    </row>
    <row r="46" spans="1:25" ht="30" customHeight="1" x14ac:dyDescent="0.25">
      <c r="A46" s="39" t="str">
        <f>IF('Statement of Marks'!A47="","",'Statement of Marks'!A47)</f>
        <v/>
      </c>
      <c r="B46" s="39" t="str">
        <f>IF('Statement of Marks'!B47="","",'Statement of Marks'!B47)</f>
        <v/>
      </c>
      <c r="C46" s="39" t="str">
        <f>IF('Statement of Marks'!C47="","",'Statement of Marks'!C47)</f>
        <v/>
      </c>
      <c r="D46" s="40" t="str">
        <f>IF('Statement of Marks'!D47="","",'Statement of Marks'!D47)</f>
        <v/>
      </c>
      <c r="E46" s="39" t="str">
        <f>CONCATENATE('Statement of Marks'!DT47,'Statement of Marks'!DV47)</f>
        <v xml:space="preserve">        </v>
      </c>
      <c r="F46" s="63">
        <f>COUNTIF('Subject-Wise Result'!G44:K44,"S")</f>
        <v>0</v>
      </c>
      <c r="G46" s="120"/>
      <c r="H46" s="120"/>
      <c r="I46" s="120"/>
      <c r="J46" s="120"/>
      <c r="K46" s="120"/>
      <c r="L46" s="120"/>
      <c r="M46" s="120"/>
      <c r="N46" s="120"/>
      <c r="O46" s="63" t="str">
        <f t="shared" si="11"/>
        <v/>
      </c>
      <c r="P46" s="63" t="str">
        <f t="shared" si="12"/>
        <v/>
      </c>
      <c r="Q46" s="63" t="str">
        <f t="shared" si="13"/>
        <v/>
      </c>
      <c r="R46" s="63" t="str">
        <f t="shared" si="14"/>
        <v/>
      </c>
      <c r="S46" s="63" t="str">
        <f t="shared" si="15"/>
        <v/>
      </c>
      <c r="T46" s="63" t="str">
        <f t="shared" si="16"/>
        <v/>
      </c>
      <c r="U46" s="63" t="str">
        <f t="shared" si="17"/>
        <v/>
      </c>
      <c r="V46" s="63" t="str">
        <f t="shared" si="18"/>
        <v/>
      </c>
      <c r="W46" s="63">
        <f t="shared" si="19"/>
        <v>0</v>
      </c>
      <c r="X46" s="63">
        <f t="shared" si="20"/>
        <v>0</v>
      </c>
      <c r="Y46" s="63" t="str">
        <f>IF(F46=0,"",IF(F46&gt;W46,'Subject-Wise Result'!O44,IF(F46&gt;X46,"FAIL","PASS")))</f>
        <v/>
      </c>
    </row>
    <row r="47" spans="1:25" ht="30" customHeight="1" x14ac:dyDescent="0.25">
      <c r="A47" s="39" t="str">
        <f>IF('Statement of Marks'!A48="","",'Statement of Marks'!A48)</f>
        <v/>
      </c>
      <c r="B47" s="39" t="str">
        <f>IF('Statement of Marks'!B48="","",'Statement of Marks'!B48)</f>
        <v/>
      </c>
      <c r="C47" s="39" t="str">
        <f>IF('Statement of Marks'!C48="","",'Statement of Marks'!C48)</f>
        <v/>
      </c>
      <c r="D47" s="40" t="str">
        <f>IF('Statement of Marks'!D48="","",'Statement of Marks'!D48)</f>
        <v/>
      </c>
      <c r="E47" s="39" t="str">
        <f>CONCATENATE('Statement of Marks'!DT48,'Statement of Marks'!DV48)</f>
        <v xml:space="preserve">        </v>
      </c>
      <c r="F47" s="63">
        <f>COUNTIF('Subject-Wise Result'!G45:K45,"S")</f>
        <v>0</v>
      </c>
      <c r="G47" s="120"/>
      <c r="H47" s="120"/>
      <c r="I47" s="120"/>
      <c r="J47" s="120"/>
      <c r="K47" s="120"/>
      <c r="L47" s="120"/>
      <c r="M47" s="120"/>
      <c r="N47" s="120"/>
      <c r="O47" s="63" t="str">
        <f t="shared" si="11"/>
        <v/>
      </c>
      <c r="P47" s="63" t="str">
        <f t="shared" si="12"/>
        <v/>
      </c>
      <c r="Q47" s="63" t="str">
        <f t="shared" si="13"/>
        <v/>
      </c>
      <c r="R47" s="63" t="str">
        <f t="shared" si="14"/>
        <v/>
      </c>
      <c r="S47" s="63" t="str">
        <f t="shared" si="15"/>
        <v/>
      </c>
      <c r="T47" s="63" t="str">
        <f t="shared" si="16"/>
        <v/>
      </c>
      <c r="U47" s="63" t="str">
        <f t="shared" si="17"/>
        <v/>
      </c>
      <c r="V47" s="63" t="str">
        <f t="shared" si="18"/>
        <v/>
      </c>
      <c r="W47" s="63">
        <f t="shared" si="19"/>
        <v>0</v>
      </c>
      <c r="X47" s="63">
        <f t="shared" si="20"/>
        <v>0</v>
      </c>
      <c r="Y47" s="63" t="str">
        <f>IF(F47=0,"",IF(F47&gt;W47,'Subject-Wise Result'!O45,IF(F47&gt;X47,"FAIL","PASS")))</f>
        <v/>
      </c>
    </row>
    <row r="48" spans="1:25" ht="30" customHeight="1" x14ac:dyDescent="0.25">
      <c r="A48" s="39" t="str">
        <f>IF('Statement of Marks'!A49="","",'Statement of Marks'!A49)</f>
        <v/>
      </c>
      <c r="B48" s="39" t="str">
        <f>IF('Statement of Marks'!B49="","",'Statement of Marks'!B49)</f>
        <v/>
      </c>
      <c r="C48" s="39" t="str">
        <f>IF('Statement of Marks'!C49="","",'Statement of Marks'!C49)</f>
        <v/>
      </c>
      <c r="D48" s="40" t="str">
        <f>IF('Statement of Marks'!D49="","",'Statement of Marks'!D49)</f>
        <v/>
      </c>
      <c r="E48" s="39" t="str">
        <f>CONCATENATE('Statement of Marks'!DT49,'Statement of Marks'!DV49)</f>
        <v xml:space="preserve">        </v>
      </c>
      <c r="F48" s="63">
        <f>COUNTIF('Subject-Wise Result'!G46:K46,"S")</f>
        <v>0</v>
      </c>
      <c r="G48" s="120"/>
      <c r="H48" s="120"/>
      <c r="I48" s="120"/>
      <c r="J48" s="120"/>
      <c r="K48" s="120"/>
      <c r="L48" s="120"/>
      <c r="M48" s="120"/>
      <c r="N48" s="120"/>
      <c r="O48" s="63" t="str">
        <f t="shared" si="11"/>
        <v/>
      </c>
      <c r="P48" s="63" t="str">
        <f t="shared" si="12"/>
        <v/>
      </c>
      <c r="Q48" s="63" t="str">
        <f t="shared" si="13"/>
        <v/>
      </c>
      <c r="R48" s="63" t="str">
        <f t="shared" si="14"/>
        <v/>
      </c>
      <c r="S48" s="63" t="str">
        <f t="shared" si="15"/>
        <v/>
      </c>
      <c r="T48" s="63" t="str">
        <f t="shared" si="16"/>
        <v/>
      </c>
      <c r="U48" s="63" t="str">
        <f t="shared" si="17"/>
        <v/>
      </c>
      <c r="V48" s="63" t="str">
        <f t="shared" si="18"/>
        <v/>
      </c>
      <c r="W48" s="63">
        <f t="shared" si="19"/>
        <v>0</v>
      </c>
      <c r="X48" s="63">
        <f t="shared" si="20"/>
        <v>0</v>
      </c>
      <c r="Y48" s="63" t="str">
        <f>IF(F48=0,"",IF(F48&gt;W48,'Subject-Wise Result'!O46,IF(F48&gt;X48,"FAIL","PASS")))</f>
        <v/>
      </c>
    </row>
    <row r="49" spans="1:25" ht="30" customHeight="1" x14ac:dyDescent="0.25">
      <c r="A49" s="39" t="str">
        <f>IF('Statement of Marks'!A50="","",'Statement of Marks'!A50)</f>
        <v/>
      </c>
      <c r="B49" s="39" t="str">
        <f>IF('Statement of Marks'!B50="","",'Statement of Marks'!B50)</f>
        <v/>
      </c>
      <c r="C49" s="39" t="str">
        <f>IF('Statement of Marks'!C50="","",'Statement of Marks'!C50)</f>
        <v/>
      </c>
      <c r="D49" s="40" t="str">
        <f>IF('Statement of Marks'!D50="","",'Statement of Marks'!D50)</f>
        <v/>
      </c>
      <c r="E49" s="39" t="str">
        <f>CONCATENATE('Statement of Marks'!DT50,'Statement of Marks'!DV50)</f>
        <v xml:space="preserve">        </v>
      </c>
      <c r="F49" s="63">
        <f>COUNTIF('Subject-Wise Result'!G47:K47,"S")</f>
        <v>0</v>
      </c>
      <c r="G49" s="120"/>
      <c r="H49" s="120"/>
      <c r="I49" s="120"/>
      <c r="J49" s="120"/>
      <c r="K49" s="120"/>
      <c r="L49" s="120"/>
      <c r="M49" s="120"/>
      <c r="N49" s="120"/>
      <c r="O49" s="63" t="str">
        <f t="shared" si="11"/>
        <v/>
      </c>
      <c r="P49" s="63" t="str">
        <f t="shared" si="12"/>
        <v/>
      </c>
      <c r="Q49" s="63" t="str">
        <f t="shared" si="13"/>
        <v/>
      </c>
      <c r="R49" s="63" t="str">
        <f t="shared" si="14"/>
        <v/>
      </c>
      <c r="S49" s="63" t="str">
        <f t="shared" si="15"/>
        <v/>
      </c>
      <c r="T49" s="63" t="str">
        <f t="shared" si="16"/>
        <v/>
      </c>
      <c r="U49" s="63" t="str">
        <f t="shared" si="17"/>
        <v/>
      </c>
      <c r="V49" s="63" t="str">
        <f t="shared" si="18"/>
        <v/>
      </c>
      <c r="W49" s="63">
        <f t="shared" si="19"/>
        <v>0</v>
      </c>
      <c r="X49" s="63">
        <f t="shared" si="20"/>
        <v>0</v>
      </c>
      <c r="Y49" s="63" t="str">
        <f>IF(F49=0,"",IF(F49&gt;W49,'Subject-Wise Result'!O47,IF(F49&gt;X49,"FAIL","PASS")))</f>
        <v/>
      </c>
    </row>
    <row r="50" spans="1:25" ht="30" customHeight="1" x14ac:dyDescent="0.25">
      <c r="A50" s="39" t="str">
        <f>IF('Statement of Marks'!A51="","",'Statement of Marks'!A51)</f>
        <v/>
      </c>
      <c r="B50" s="39" t="str">
        <f>IF('Statement of Marks'!B51="","",'Statement of Marks'!B51)</f>
        <v/>
      </c>
      <c r="C50" s="39" t="str">
        <f>IF('Statement of Marks'!C51="","",'Statement of Marks'!C51)</f>
        <v/>
      </c>
      <c r="D50" s="40" t="str">
        <f>IF('Statement of Marks'!D51="","",'Statement of Marks'!D51)</f>
        <v/>
      </c>
      <c r="E50" s="39" t="str">
        <f>CONCATENATE('Statement of Marks'!DT51,'Statement of Marks'!DV51)</f>
        <v xml:space="preserve">        </v>
      </c>
      <c r="F50" s="63">
        <f>COUNTIF('Subject-Wise Result'!G48:K48,"S")</f>
        <v>0</v>
      </c>
      <c r="G50" s="120"/>
      <c r="H50" s="120"/>
      <c r="I50" s="120"/>
      <c r="J50" s="120"/>
      <c r="K50" s="120"/>
      <c r="L50" s="120"/>
      <c r="M50" s="120"/>
      <c r="N50" s="120"/>
      <c r="O50" s="63" t="str">
        <f t="shared" si="11"/>
        <v/>
      </c>
      <c r="P50" s="63" t="str">
        <f t="shared" si="12"/>
        <v/>
      </c>
      <c r="Q50" s="63" t="str">
        <f t="shared" si="13"/>
        <v/>
      </c>
      <c r="R50" s="63" t="str">
        <f t="shared" si="14"/>
        <v/>
      </c>
      <c r="S50" s="63" t="str">
        <f t="shared" si="15"/>
        <v/>
      </c>
      <c r="T50" s="63" t="str">
        <f t="shared" si="16"/>
        <v/>
      </c>
      <c r="U50" s="63" t="str">
        <f t="shared" si="17"/>
        <v/>
      </c>
      <c r="V50" s="63" t="str">
        <f t="shared" si="18"/>
        <v/>
      </c>
      <c r="W50" s="63">
        <f t="shared" si="19"/>
        <v>0</v>
      </c>
      <c r="X50" s="63">
        <f t="shared" si="20"/>
        <v>0</v>
      </c>
      <c r="Y50" s="63" t="str">
        <f>IF(F50=0,"",IF(F50&gt;W50,'Subject-Wise Result'!O48,IF(F50&gt;X50,"FAIL","PASS")))</f>
        <v/>
      </c>
    </row>
    <row r="51" spans="1:25" ht="30" customHeight="1" x14ac:dyDescent="0.25">
      <c r="A51" s="39" t="str">
        <f>IF('Statement of Marks'!A52="","",'Statement of Marks'!A52)</f>
        <v/>
      </c>
      <c r="B51" s="39" t="str">
        <f>IF('Statement of Marks'!B52="","",'Statement of Marks'!B52)</f>
        <v/>
      </c>
      <c r="C51" s="39" t="str">
        <f>IF('Statement of Marks'!C52="","",'Statement of Marks'!C52)</f>
        <v/>
      </c>
      <c r="D51" s="40" t="str">
        <f>IF('Statement of Marks'!D52="","",'Statement of Marks'!D52)</f>
        <v/>
      </c>
      <c r="E51" s="39" t="str">
        <f>CONCATENATE('Statement of Marks'!DT52,'Statement of Marks'!DV52)</f>
        <v xml:space="preserve">        </v>
      </c>
      <c r="F51" s="63">
        <f>COUNTIF('Subject-Wise Result'!G49:K49,"S")</f>
        <v>0</v>
      </c>
      <c r="G51" s="120"/>
      <c r="H51" s="120"/>
      <c r="I51" s="120"/>
      <c r="J51" s="120"/>
      <c r="K51" s="120"/>
      <c r="L51" s="120"/>
      <c r="M51" s="120"/>
      <c r="N51" s="120"/>
      <c r="O51" s="63" t="str">
        <f t="shared" si="11"/>
        <v/>
      </c>
      <c r="P51" s="63" t="str">
        <f t="shared" si="12"/>
        <v/>
      </c>
      <c r="Q51" s="63" t="str">
        <f t="shared" si="13"/>
        <v/>
      </c>
      <c r="R51" s="63" t="str">
        <f t="shared" si="14"/>
        <v/>
      </c>
      <c r="S51" s="63" t="str">
        <f t="shared" si="15"/>
        <v/>
      </c>
      <c r="T51" s="63" t="str">
        <f t="shared" si="16"/>
        <v/>
      </c>
      <c r="U51" s="63" t="str">
        <f t="shared" si="17"/>
        <v/>
      </c>
      <c r="V51" s="63" t="str">
        <f t="shared" si="18"/>
        <v/>
      </c>
      <c r="W51" s="63">
        <f t="shared" si="19"/>
        <v>0</v>
      </c>
      <c r="X51" s="63">
        <f t="shared" si="20"/>
        <v>0</v>
      </c>
      <c r="Y51" s="63" t="str">
        <f>IF(F51=0,"",IF(F51&gt;W51,'Subject-Wise Result'!O49,IF(F51&gt;X51,"FAIL","PASS")))</f>
        <v/>
      </c>
    </row>
    <row r="52" spans="1:25" ht="30" customHeight="1" x14ac:dyDescent="0.25">
      <c r="A52" s="39" t="str">
        <f>IF('Statement of Marks'!A53="","",'Statement of Marks'!A53)</f>
        <v/>
      </c>
      <c r="B52" s="39" t="str">
        <f>IF('Statement of Marks'!B53="","",'Statement of Marks'!B53)</f>
        <v/>
      </c>
      <c r="C52" s="39" t="str">
        <f>IF('Statement of Marks'!C53="","",'Statement of Marks'!C53)</f>
        <v/>
      </c>
      <c r="D52" s="40" t="str">
        <f>IF('Statement of Marks'!D53="","",'Statement of Marks'!D53)</f>
        <v/>
      </c>
      <c r="E52" s="39" t="str">
        <f>CONCATENATE('Statement of Marks'!DT53,'Statement of Marks'!DV53)</f>
        <v xml:space="preserve">        </v>
      </c>
      <c r="F52" s="63">
        <f>COUNTIF('Subject-Wise Result'!G50:K50,"S")</f>
        <v>0</v>
      </c>
      <c r="G52" s="120"/>
      <c r="H52" s="120"/>
      <c r="I52" s="120"/>
      <c r="J52" s="120"/>
      <c r="K52" s="120"/>
      <c r="L52" s="120"/>
      <c r="M52" s="120"/>
      <c r="N52" s="120"/>
      <c r="O52" s="63" t="str">
        <f t="shared" si="11"/>
        <v/>
      </c>
      <c r="P52" s="63" t="str">
        <f t="shared" si="12"/>
        <v/>
      </c>
      <c r="Q52" s="63" t="str">
        <f t="shared" si="13"/>
        <v/>
      </c>
      <c r="R52" s="63" t="str">
        <f t="shared" si="14"/>
        <v/>
      </c>
      <c r="S52" s="63" t="str">
        <f t="shared" si="15"/>
        <v/>
      </c>
      <c r="T52" s="63" t="str">
        <f t="shared" si="16"/>
        <v/>
      </c>
      <c r="U52" s="63" t="str">
        <f t="shared" si="17"/>
        <v/>
      </c>
      <c r="V52" s="63" t="str">
        <f t="shared" si="18"/>
        <v/>
      </c>
      <c r="W52" s="63">
        <f t="shared" si="19"/>
        <v>0</v>
      </c>
      <c r="X52" s="63">
        <f t="shared" si="20"/>
        <v>0</v>
      </c>
      <c r="Y52" s="63" t="str">
        <f>IF(F52=0,"",IF(F52&gt;W52,'Subject-Wise Result'!O50,IF(F52&gt;X52,"FAIL","PASS")))</f>
        <v/>
      </c>
    </row>
    <row r="53" spans="1:25" ht="30" customHeight="1" x14ac:dyDescent="0.25">
      <c r="A53" s="39" t="str">
        <f>IF('Statement of Marks'!A54="","",'Statement of Marks'!A54)</f>
        <v/>
      </c>
      <c r="B53" s="39" t="str">
        <f>IF('Statement of Marks'!B54="","",'Statement of Marks'!B54)</f>
        <v/>
      </c>
      <c r="C53" s="39" t="str">
        <f>IF('Statement of Marks'!C54="","",'Statement of Marks'!C54)</f>
        <v/>
      </c>
      <c r="D53" s="40" t="str">
        <f>IF('Statement of Marks'!D54="","",'Statement of Marks'!D54)</f>
        <v/>
      </c>
      <c r="E53" s="39" t="str">
        <f>CONCATENATE('Statement of Marks'!DT54,'Statement of Marks'!DV54)</f>
        <v xml:space="preserve">        </v>
      </c>
      <c r="F53" s="63">
        <f>COUNTIF('Subject-Wise Result'!G51:K51,"S")</f>
        <v>0</v>
      </c>
      <c r="G53" s="120"/>
      <c r="H53" s="120"/>
      <c r="I53" s="120"/>
      <c r="J53" s="120"/>
      <c r="K53" s="120"/>
      <c r="L53" s="120"/>
      <c r="M53" s="120"/>
      <c r="N53" s="120"/>
      <c r="O53" s="63" t="str">
        <f t="shared" si="11"/>
        <v/>
      </c>
      <c r="P53" s="63" t="str">
        <f t="shared" si="12"/>
        <v/>
      </c>
      <c r="Q53" s="63" t="str">
        <f t="shared" si="13"/>
        <v/>
      </c>
      <c r="R53" s="63" t="str">
        <f t="shared" si="14"/>
        <v/>
      </c>
      <c r="S53" s="63" t="str">
        <f t="shared" si="15"/>
        <v/>
      </c>
      <c r="T53" s="63" t="str">
        <f t="shared" si="16"/>
        <v/>
      </c>
      <c r="U53" s="63" t="str">
        <f t="shared" si="17"/>
        <v/>
      </c>
      <c r="V53" s="63" t="str">
        <f t="shared" si="18"/>
        <v/>
      </c>
      <c r="W53" s="63">
        <f t="shared" si="19"/>
        <v>0</v>
      </c>
      <c r="X53" s="63">
        <f t="shared" si="20"/>
        <v>0</v>
      </c>
      <c r="Y53" s="63" t="str">
        <f>IF(F53=0,"",IF(F53&gt;W53,'Subject-Wise Result'!O51,IF(F53&gt;X53,"FAIL","PASS")))</f>
        <v/>
      </c>
    </row>
    <row r="54" spans="1:25" ht="30" customHeight="1" x14ac:dyDescent="0.25">
      <c r="A54" s="39" t="str">
        <f>IF('Statement of Marks'!A55="","",'Statement of Marks'!A55)</f>
        <v/>
      </c>
      <c r="B54" s="39" t="str">
        <f>IF('Statement of Marks'!B55="","",'Statement of Marks'!B55)</f>
        <v/>
      </c>
      <c r="C54" s="39" t="str">
        <f>IF('Statement of Marks'!C55="","",'Statement of Marks'!C55)</f>
        <v/>
      </c>
      <c r="D54" s="40" t="str">
        <f>IF('Statement of Marks'!D55="","",'Statement of Marks'!D55)</f>
        <v/>
      </c>
      <c r="E54" s="39" t="str">
        <f>CONCATENATE('Statement of Marks'!DT55,'Statement of Marks'!DV55)</f>
        <v xml:space="preserve">        </v>
      </c>
      <c r="F54" s="63">
        <f>COUNTIF('Subject-Wise Result'!G52:K52,"S")</f>
        <v>0</v>
      </c>
      <c r="G54" s="120"/>
      <c r="H54" s="120"/>
      <c r="I54" s="120"/>
      <c r="J54" s="120"/>
      <c r="K54" s="120"/>
      <c r="L54" s="120"/>
      <c r="M54" s="120"/>
      <c r="N54" s="120"/>
      <c r="O54" s="63" t="str">
        <f t="shared" si="11"/>
        <v/>
      </c>
      <c r="P54" s="63" t="str">
        <f t="shared" si="12"/>
        <v/>
      </c>
      <c r="Q54" s="63" t="str">
        <f t="shared" si="13"/>
        <v/>
      </c>
      <c r="R54" s="63" t="str">
        <f t="shared" si="14"/>
        <v/>
      </c>
      <c r="S54" s="63" t="str">
        <f t="shared" si="15"/>
        <v/>
      </c>
      <c r="T54" s="63" t="str">
        <f t="shared" si="16"/>
        <v/>
      </c>
      <c r="U54" s="63" t="str">
        <f t="shared" si="17"/>
        <v/>
      </c>
      <c r="V54" s="63" t="str">
        <f t="shared" si="18"/>
        <v/>
      </c>
      <c r="W54" s="63">
        <f t="shared" si="19"/>
        <v>0</v>
      </c>
      <c r="X54" s="63">
        <f t="shared" si="20"/>
        <v>0</v>
      </c>
      <c r="Y54" s="63" t="str">
        <f>IF(F54=0,"",IF(F54&gt;W54,'Subject-Wise Result'!O52,IF(F54&gt;X54,"FAIL","PASS")))</f>
        <v/>
      </c>
    </row>
    <row r="55" spans="1:25" ht="30" customHeight="1" x14ac:dyDescent="0.25">
      <c r="A55" s="39" t="str">
        <f>IF('Statement of Marks'!A56="","",'Statement of Marks'!A56)</f>
        <v/>
      </c>
      <c r="B55" s="39" t="str">
        <f>IF('Statement of Marks'!B56="","",'Statement of Marks'!B56)</f>
        <v/>
      </c>
      <c r="C55" s="39" t="str">
        <f>IF('Statement of Marks'!C56="","",'Statement of Marks'!C56)</f>
        <v/>
      </c>
      <c r="D55" s="40" t="str">
        <f>IF('Statement of Marks'!D56="","",'Statement of Marks'!D56)</f>
        <v/>
      </c>
      <c r="E55" s="39" t="str">
        <f>CONCATENATE('Statement of Marks'!DT56,'Statement of Marks'!DV56)</f>
        <v xml:space="preserve">        </v>
      </c>
      <c r="F55" s="63">
        <f>COUNTIF('Subject-Wise Result'!G53:K53,"S")</f>
        <v>0</v>
      </c>
      <c r="G55" s="120"/>
      <c r="H55" s="120"/>
      <c r="I55" s="120"/>
      <c r="J55" s="120"/>
      <c r="K55" s="120"/>
      <c r="L55" s="120"/>
      <c r="M55" s="120"/>
      <c r="N55" s="120"/>
      <c r="O55" s="63" t="str">
        <f t="shared" si="11"/>
        <v/>
      </c>
      <c r="P55" s="63" t="str">
        <f t="shared" si="12"/>
        <v/>
      </c>
      <c r="Q55" s="63" t="str">
        <f t="shared" si="13"/>
        <v/>
      </c>
      <c r="R55" s="63" t="str">
        <f t="shared" si="14"/>
        <v/>
      </c>
      <c r="S55" s="63" t="str">
        <f t="shared" si="15"/>
        <v/>
      </c>
      <c r="T55" s="63" t="str">
        <f t="shared" si="16"/>
        <v/>
      </c>
      <c r="U55" s="63" t="str">
        <f t="shared" si="17"/>
        <v/>
      </c>
      <c r="V55" s="63" t="str">
        <f t="shared" si="18"/>
        <v/>
      </c>
      <c r="W55" s="63">
        <f t="shared" si="19"/>
        <v>0</v>
      </c>
      <c r="X55" s="63">
        <f t="shared" si="20"/>
        <v>0</v>
      </c>
      <c r="Y55" s="63" t="str">
        <f>IF(F55=0,"",IF(F55&gt;W55,'Subject-Wise Result'!O53,IF(F55&gt;X55,"FAIL","PASS")))</f>
        <v/>
      </c>
    </row>
    <row r="56" spans="1:25" ht="30" customHeight="1" x14ac:dyDescent="0.25">
      <c r="A56" s="39" t="str">
        <f>IF('Statement of Marks'!A57="","",'Statement of Marks'!A57)</f>
        <v/>
      </c>
      <c r="B56" s="39" t="str">
        <f>IF('Statement of Marks'!B57="","",'Statement of Marks'!B57)</f>
        <v/>
      </c>
      <c r="C56" s="39" t="str">
        <f>IF('Statement of Marks'!C57="","",'Statement of Marks'!C57)</f>
        <v/>
      </c>
      <c r="D56" s="40" t="str">
        <f>IF('Statement of Marks'!D57="","",'Statement of Marks'!D57)</f>
        <v/>
      </c>
      <c r="E56" s="39" t="str">
        <f>CONCATENATE('Statement of Marks'!DT57,'Statement of Marks'!DV57)</f>
        <v xml:space="preserve">        </v>
      </c>
      <c r="F56" s="63">
        <f>COUNTIF('Subject-Wise Result'!G54:K54,"S")</f>
        <v>0</v>
      </c>
      <c r="G56" s="120"/>
      <c r="H56" s="120"/>
      <c r="I56" s="120"/>
      <c r="J56" s="120"/>
      <c r="K56" s="120"/>
      <c r="L56" s="120"/>
      <c r="M56" s="120"/>
      <c r="N56" s="120"/>
      <c r="O56" s="63" t="str">
        <f t="shared" si="11"/>
        <v/>
      </c>
      <c r="P56" s="63" t="str">
        <f t="shared" si="12"/>
        <v/>
      </c>
      <c r="Q56" s="63" t="str">
        <f t="shared" si="13"/>
        <v/>
      </c>
      <c r="R56" s="63" t="str">
        <f t="shared" si="14"/>
        <v/>
      </c>
      <c r="S56" s="63" t="str">
        <f t="shared" si="15"/>
        <v/>
      </c>
      <c r="T56" s="63" t="str">
        <f t="shared" si="16"/>
        <v/>
      </c>
      <c r="U56" s="63" t="str">
        <f t="shared" si="17"/>
        <v/>
      </c>
      <c r="V56" s="63" t="str">
        <f t="shared" si="18"/>
        <v/>
      </c>
      <c r="W56" s="63">
        <f t="shared" si="19"/>
        <v>0</v>
      </c>
      <c r="X56" s="63">
        <f t="shared" si="20"/>
        <v>0</v>
      </c>
      <c r="Y56" s="63" t="str">
        <f>IF(F56=0,"",IF(F56&gt;W56,'Subject-Wise Result'!O54,IF(F56&gt;X56,"FAIL","PASS")))</f>
        <v/>
      </c>
    </row>
    <row r="57" spans="1:25" ht="30" customHeight="1" x14ac:dyDescent="0.25">
      <c r="A57" s="39" t="str">
        <f>IF('Statement of Marks'!A58="","",'Statement of Marks'!A58)</f>
        <v/>
      </c>
      <c r="B57" s="39" t="str">
        <f>IF('Statement of Marks'!B58="","",'Statement of Marks'!B58)</f>
        <v/>
      </c>
      <c r="C57" s="39" t="str">
        <f>IF('Statement of Marks'!C58="","",'Statement of Marks'!C58)</f>
        <v/>
      </c>
      <c r="D57" s="40" t="str">
        <f>IF('Statement of Marks'!D58="","",'Statement of Marks'!D58)</f>
        <v/>
      </c>
      <c r="E57" s="39" t="str">
        <f>CONCATENATE('Statement of Marks'!DT58,'Statement of Marks'!DV58)</f>
        <v xml:space="preserve">        </v>
      </c>
      <c r="F57" s="63">
        <f>COUNTIF('Subject-Wise Result'!G55:K55,"S")</f>
        <v>0</v>
      </c>
      <c r="G57" s="120"/>
      <c r="H57" s="120"/>
      <c r="I57" s="120"/>
      <c r="J57" s="120"/>
      <c r="K57" s="120"/>
      <c r="L57" s="120"/>
      <c r="M57" s="120"/>
      <c r="N57" s="120"/>
      <c r="O57" s="63" t="str">
        <f t="shared" si="11"/>
        <v/>
      </c>
      <c r="P57" s="63" t="str">
        <f t="shared" si="12"/>
        <v/>
      </c>
      <c r="Q57" s="63" t="str">
        <f t="shared" si="13"/>
        <v/>
      </c>
      <c r="R57" s="63" t="str">
        <f t="shared" si="14"/>
        <v/>
      </c>
      <c r="S57" s="63" t="str">
        <f t="shared" si="15"/>
        <v/>
      </c>
      <c r="T57" s="63" t="str">
        <f t="shared" si="16"/>
        <v/>
      </c>
      <c r="U57" s="63" t="str">
        <f t="shared" si="17"/>
        <v/>
      </c>
      <c r="V57" s="63" t="str">
        <f t="shared" si="18"/>
        <v/>
      </c>
      <c r="W57" s="63">
        <f t="shared" si="19"/>
        <v>0</v>
      </c>
      <c r="X57" s="63">
        <f t="shared" si="20"/>
        <v>0</v>
      </c>
      <c r="Y57" s="63" t="str">
        <f>IF(F57=0,"",IF(F57&gt;W57,'Subject-Wise Result'!O55,IF(F57&gt;X57,"FAIL","PASS")))</f>
        <v/>
      </c>
    </row>
    <row r="58" spans="1:25" ht="30" customHeight="1" x14ac:dyDescent="0.25">
      <c r="A58" s="39" t="str">
        <f>IF('Statement of Marks'!A59="","",'Statement of Marks'!A59)</f>
        <v/>
      </c>
      <c r="B58" s="39" t="str">
        <f>IF('Statement of Marks'!B59="","",'Statement of Marks'!B59)</f>
        <v/>
      </c>
      <c r="C58" s="39" t="str">
        <f>IF('Statement of Marks'!C59="","",'Statement of Marks'!C59)</f>
        <v/>
      </c>
      <c r="D58" s="40" t="str">
        <f>IF('Statement of Marks'!D59="","",'Statement of Marks'!D59)</f>
        <v/>
      </c>
      <c r="E58" s="39" t="str">
        <f>CONCATENATE('Statement of Marks'!DT59,'Statement of Marks'!DV59)</f>
        <v xml:space="preserve">        </v>
      </c>
      <c r="F58" s="63">
        <f>COUNTIF('Subject-Wise Result'!G56:K56,"S")</f>
        <v>0</v>
      </c>
      <c r="G58" s="120"/>
      <c r="H58" s="120"/>
      <c r="I58" s="120"/>
      <c r="J58" s="120"/>
      <c r="K58" s="120"/>
      <c r="L58" s="120"/>
      <c r="M58" s="120"/>
      <c r="N58" s="120"/>
      <c r="O58" s="63" t="str">
        <f t="shared" si="11"/>
        <v/>
      </c>
      <c r="P58" s="63" t="str">
        <f t="shared" si="12"/>
        <v/>
      </c>
      <c r="Q58" s="63" t="str">
        <f t="shared" si="13"/>
        <v/>
      </c>
      <c r="R58" s="63" t="str">
        <f t="shared" si="14"/>
        <v/>
      </c>
      <c r="S58" s="63" t="str">
        <f t="shared" si="15"/>
        <v/>
      </c>
      <c r="T58" s="63" t="str">
        <f t="shared" si="16"/>
        <v/>
      </c>
      <c r="U58" s="63" t="str">
        <f t="shared" si="17"/>
        <v/>
      </c>
      <c r="V58" s="63" t="str">
        <f t="shared" si="18"/>
        <v/>
      </c>
      <c r="W58" s="63">
        <f t="shared" si="19"/>
        <v>0</v>
      </c>
      <c r="X58" s="63">
        <f t="shared" si="20"/>
        <v>0</v>
      </c>
      <c r="Y58" s="63" t="str">
        <f>IF(F58=0,"",IF(F58&gt;W58,'Subject-Wise Result'!O56,IF(F58&gt;X58,"FAIL","PASS")))</f>
        <v/>
      </c>
    </row>
    <row r="59" spans="1:25" ht="30" customHeight="1" x14ac:dyDescent="0.25">
      <c r="A59" s="39" t="str">
        <f>IF('Statement of Marks'!A60="","",'Statement of Marks'!A60)</f>
        <v/>
      </c>
      <c r="B59" s="39" t="str">
        <f>IF('Statement of Marks'!B60="","",'Statement of Marks'!B60)</f>
        <v/>
      </c>
      <c r="C59" s="39" t="str">
        <f>IF('Statement of Marks'!C60="","",'Statement of Marks'!C60)</f>
        <v/>
      </c>
      <c r="D59" s="40" t="str">
        <f>IF('Statement of Marks'!D60="","",'Statement of Marks'!D60)</f>
        <v/>
      </c>
      <c r="E59" s="39" t="str">
        <f>CONCATENATE('Statement of Marks'!DT60,'Statement of Marks'!DV60)</f>
        <v xml:space="preserve">        </v>
      </c>
      <c r="F59" s="63">
        <f>COUNTIF('Subject-Wise Result'!G57:K57,"S")</f>
        <v>0</v>
      </c>
      <c r="G59" s="120"/>
      <c r="H59" s="120"/>
      <c r="I59" s="120"/>
      <c r="J59" s="120"/>
      <c r="K59" s="120"/>
      <c r="L59" s="120"/>
      <c r="M59" s="120"/>
      <c r="N59" s="120"/>
      <c r="O59" s="63" t="str">
        <f t="shared" si="11"/>
        <v/>
      </c>
      <c r="P59" s="63" t="str">
        <f t="shared" si="12"/>
        <v/>
      </c>
      <c r="Q59" s="63" t="str">
        <f t="shared" si="13"/>
        <v/>
      </c>
      <c r="R59" s="63" t="str">
        <f t="shared" si="14"/>
        <v/>
      </c>
      <c r="S59" s="63" t="str">
        <f t="shared" si="15"/>
        <v/>
      </c>
      <c r="T59" s="63" t="str">
        <f t="shared" si="16"/>
        <v/>
      </c>
      <c r="U59" s="63" t="str">
        <f t="shared" si="17"/>
        <v/>
      </c>
      <c r="V59" s="63" t="str">
        <f t="shared" si="18"/>
        <v/>
      </c>
      <c r="W59" s="63">
        <f t="shared" si="19"/>
        <v>0</v>
      </c>
      <c r="X59" s="63">
        <f t="shared" si="20"/>
        <v>0</v>
      </c>
      <c r="Y59" s="63" t="str">
        <f>IF(F59=0,"",IF(F59&gt;W59,'Subject-Wise Result'!O57,IF(F59&gt;X59,"FAIL","PASS")))</f>
        <v/>
      </c>
    </row>
    <row r="60" spans="1:25" ht="30" customHeight="1" x14ac:dyDescent="0.25">
      <c r="A60" s="39" t="str">
        <f>IF('Statement of Marks'!A61="","",'Statement of Marks'!A61)</f>
        <v/>
      </c>
      <c r="B60" s="39" t="str">
        <f>IF('Statement of Marks'!B61="","",'Statement of Marks'!B61)</f>
        <v/>
      </c>
      <c r="C60" s="39" t="str">
        <f>IF('Statement of Marks'!C61="","",'Statement of Marks'!C61)</f>
        <v/>
      </c>
      <c r="D60" s="40" t="str">
        <f>IF('Statement of Marks'!D61="","",'Statement of Marks'!D61)</f>
        <v/>
      </c>
      <c r="E60" s="39" t="str">
        <f>CONCATENATE('Statement of Marks'!DT61,'Statement of Marks'!DV61)</f>
        <v xml:space="preserve">        </v>
      </c>
      <c r="F60" s="63">
        <f>COUNTIF('Subject-Wise Result'!G58:K58,"S")</f>
        <v>0</v>
      </c>
      <c r="G60" s="120"/>
      <c r="H60" s="120"/>
      <c r="I60" s="120"/>
      <c r="J60" s="120"/>
      <c r="K60" s="120"/>
      <c r="L60" s="120"/>
      <c r="M60" s="120"/>
      <c r="N60" s="120"/>
      <c r="O60" s="63" t="str">
        <f t="shared" si="11"/>
        <v/>
      </c>
      <c r="P60" s="63" t="str">
        <f t="shared" si="12"/>
        <v/>
      </c>
      <c r="Q60" s="63" t="str">
        <f t="shared" si="13"/>
        <v/>
      </c>
      <c r="R60" s="63" t="str">
        <f t="shared" si="14"/>
        <v/>
      </c>
      <c r="S60" s="63" t="str">
        <f t="shared" si="15"/>
        <v/>
      </c>
      <c r="T60" s="63" t="str">
        <f t="shared" si="16"/>
        <v/>
      </c>
      <c r="U60" s="63" t="str">
        <f t="shared" si="17"/>
        <v/>
      </c>
      <c r="V60" s="63" t="str">
        <f t="shared" si="18"/>
        <v/>
      </c>
      <c r="W60" s="63">
        <f t="shared" si="19"/>
        <v>0</v>
      </c>
      <c r="X60" s="63">
        <f t="shared" si="20"/>
        <v>0</v>
      </c>
      <c r="Y60" s="63" t="str">
        <f>IF(F60=0,"",IF(F60&gt;W60,'Subject-Wise Result'!O58,IF(F60&gt;X60,"FAIL","PASS")))</f>
        <v/>
      </c>
    </row>
    <row r="61" spans="1:25" ht="30" customHeight="1" x14ac:dyDescent="0.25">
      <c r="A61" s="39" t="str">
        <f>IF('Statement of Marks'!A62="","",'Statement of Marks'!A62)</f>
        <v/>
      </c>
      <c r="B61" s="39" t="str">
        <f>IF('Statement of Marks'!B62="","",'Statement of Marks'!B62)</f>
        <v/>
      </c>
      <c r="C61" s="39" t="str">
        <f>IF('Statement of Marks'!C62="","",'Statement of Marks'!C62)</f>
        <v/>
      </c>
      <c r="D61" s="40" t="str">
        <f>IF('Statement of Marks'!D62="","",'Statement of Marks'!D62)</f>
        <v/>
      </c>
      <c r="E61" s="39" t="str">
        <f>CONCATENATE('Statement of Marks'!DT62,'Statement of Marks'!DV62)</f>
        <v xml:space="preserve">        </v>
      </c>
      <c r="F61" s="63">
        <f>COUNTIF('Subject-Wise Result'!G59:K59,"S")</f>
        <v>0</v>
      </c>
      <c r="G61" s="120"/>
      <c r="H61" s="120"/>
      <c r="I61" s="120"/>
      <c r="J61" s="120"/>
      <c r="K61" s="120"/>
      <c r="L61" s="120"/>
      <c r="M61" s="120"/>
      <c r="N61" s="120"/>
      <c r="O61" s="63" t="str">
        <f t="shared" si="11"/>
        <v/>
      </c>
      <c r="P61" s="63" t="str">
        <f t="shared" si="12"/>
        <v/>
      </c>
      <c r="Q61" s="63" t="str">
        <f t="shared" si="13"/>
        <v/>
      </c>
      <c r="R61" s="63" t="str">
        <f t="shared" si="14"/>
        <v/>
      </c>
      <c r="S61" s="63" t="str">
        <f t="shared" si="15"/>
        <v/>
      </c>
      <c r="T61" s="63" t="str">
        <f t="shared" si="16"/>
        <v/>
      </c>
      <c r="U61" s="63" t="str">
        <f t="shared" si="17"/>
        <v/>
      </c>
      <c r="V61" s="63" t="str">
        <f t="shared" si="18"/>
        <v/>
      </c>
      <c r="W61" s="63">
        <f t="shared" si="19"/>
        <v>0</v>
      </c>
      <c r="X61" s="63">
        <f t="shared" si="20"/>
        <v>0</v>
      </c>
      <c r="Y61" s="63" t="str">
        <f>IF(F61=0,"",IF(F61&gt;W61,'Subject-Wise Result'!O59,IF(F61&gt;X61,"FAIL","PASS")))</f>
        <v/>
      </c>
    </row>
    <row r="62" spans="1:25" ht="30" customHeight="1" x14ac:dyDescent="0.25">
      <c r="A62" s="39" t="str">
        <f>IF('Statement of Marks'!A63="","",'Statement of Marks'!A63)</f>
        <v/>
      </c>
      <c r="B62" s="39" t="str">
        <f>IF('Statement of Marks'!B63="","",'Statement of Marks'!B63)</f>
        <v/>
      </c>
      <c r="C62" s="39" t="str">
        <f>IF('Statement of Marks'!C63="","",'Statement of Marks'!C63)</f>
        <v/>
      </c>
      <c r="D62" s="40" t="str">
        <f>IF('Statement of Marks'!D63="","",'Statement of Marks'!D63)</f>
        <v/>
      </c>
      <c r="E62" s="39" t="str">
        <f>CONCATENATE('Statement of Marks'!DT63,'Statement of Marks'!DV63)</f>
        <v xml:space="preserve">        </v>
      </c>
      <c r="F62" s="63">
        <f>COUNTIF('Subject-Wise Result'!G60:K60,"S")</f>
        <v>0</v>
      </c>
      <c r="G62" s="120"/>
      <c r="H62" s="120"/>
      <c r="I62" s="120"/>
      <c r="J62" s="120"/>
      <c r="K62" s="120"/>
      <c r="L62" s="120"/>
      <c r="M62" s="120"/>
      <c r="N62" s="120"/>
      <c r="O62" s="63" t="str">
        <f t="shared" si="11"/>
        <v/>
      </c>
      <c r="P62" s="63" t="str">
        <f t="shared" si="12"/>
        <v/>
      </c>
      <c r="Q62" s="63" t="str">
        <f t="shared" si="13"/>
        <v/>
      </c>
      <c r="R62" s="63" t="str">
        <f t="shared" si="14"/>
        <v/>
      </c>
      <c r="S62" s="63" t="str">
        <f t="shared" si="15"/>
        <v/>
      </c>
      <c r="T62" s="63" t="str">
        <f t="shared" si="16"/>
        <v/>
      </c>
      <c r="U62" s="63" t="str">
        <f t="shared" si="17"/>
        <v/>
      </c>
      <c r="V62" s="63" t="str">
        <f t="shared" si="18"/>
        <v/>
      </c>
      <c r="W62" s="63">
        <f t="shared" si="19"/>
        <v>0</v>
      </c>
      <c r="X62" s="63">
        <f t="shared" si="20"/>
        <v>0</v>
      </c>
      <c r="Y62" s="63" t="str">
        <f>IF(F62=0,"",IF(F62&gt;W62,'Subject-Wise Result'!O60,IF(F62&gt;X62,"FAIL","PASS")))</f>
        <v/>
      </c>
    </row>
    <row r="63" spans="1:25" ht="30" customHeight="1" x14ac:dyDescent="0.25">
      <c r="A63" s="39" t="str">
        <f>IF('Statement of Marks'!A64="","",'Statement of Marks'!A64)</f>
        <v/>
      </c>
      <c r="B63" s="39" t="str">
        <f>IF('Statement of Marks'!B64="","",'Statement of Marks'!B64)</f>
        <v/>
      </c>
      <c r="C63" s="39" t="str">
        <f>IF('Statement of Marks'!C64="","",'Statement of Marks'!C64)</f>
        <v/>
      </c>
      <c r="D63" s="40" t="str">
        <f>IF('Statement of Marks'!D64="","",'Statement of Marks'!D64)</f>
        <v/>
      </c>
      <c r="E63" s="39" t="str">
        <f>CONCATENATE('Statement of Marks'!DT64,'Statement of Marks'!DV64)</f>
        <v xml:space="preserve">        </v>
      </c>
      <c r="F63" s="63">
        <f>COUNTIF('Subject-Wise Result'!G61:K61,"S")</f>
        <v>0</v>
      </c>
      <c r="G63" s="120"/>
      <c r="H63" s="120"/>
      <c r="I63" s="120"/>
      <c r="J63" s="120"/>
      <c r="K63" s="120"/>
      <c r="L63" s="120"/>
      <c r="M63" s="120"/>
      <c r="N63" s="120"/>
      <c r="O63" s="63" t="str">
        <f t="shared" si="11"/>
        <v/>
      </c>
      <c r="P63" s="63" t="str">
        <f t="shared" si="12"/>
        <v/>
      </c>
      <c r="Q63" s="63" t="str">
        <f t="shared" si="13"/>
        <v/>
      </c>
      <c r="R63" s="63" t="str">
        <f t="shared" si="14"/>
        <v/>
      </c>
      <c r="S63" s="63" t="str">
        <f t="shared" si="15"/>
        <v/>
      </c>
      <c r="T63" s="63" t="str">
        <f t="shared" si="16"/>
        <v/>
      </c>
      <c r="U63" s="63" t="str">
        <f t="shared" si="17"/>
        <v/>
      </c>
      <c r="V63" s="63" t="str">
        <f t="shared" si="18"/>
        <v/>
      </c>
      <c r="W63" s="63">
        <f t="shared" si="19"/>
        <v>0</v>
      </c>
      <c r="X63" s="63">
        <f t="shared" si="20"/>
        <v>0</v>
      </c>
      <c r="Y63" s="63" t="str">
        <f>IF(F63=0,"",IF(F63&gt;W63,'Subject-Wise Result'!O61,IF(F63&gt;X63,"FAIL","PASS")))</f>
        <v/>
      </c>
    </row>
    <row r="64" spans="1:25" ht="30" customHeight="1" x14ac:dyDescent="0.25">
      <c r="A64" s="39" t="str">
        <f>IF('Statement of Marks'!A65="","",'Statement of Marks'!A65)</f>
        <v/>
      </c>
      <c r="B64" s="39" t="str">
        <f>IF('Statement of Marks'!B65="","",'Statement of Marks'!B65)</f>
        <v/>
      </c>
      <c r="C64" s="39" t="str">
        <f>IF('Statement of Marks'!C65="","",'Statement of Marks'!C65)</f>
        <v/>
      </c>
      <c r="D64" s="40" t="str">
        <f>IF('Statement of Marks'!D65="","",'Statement of Marks'!D65)</f>
        <v/>
      </c>
      <c r="E64" s="39" t="str">
        <f>CONCATENATE('Statement of Marks'!DT65,'Statement of Marks'!DV65)</f>
        <v xml:space="preserve">        </v>
      </c>
      <c r="F64" s="63">
        <f>COUNTIF('Subject-Wise Result'!G62:K62,"S")</f>
        <v>0</v>
      </c>
      <c r="G64" s="120"/>
      <c r="H64" s="120"/>
      <c r="I64" s="120"/>
      <c r="J64" s="120"/>
      <c r="K64" s="120"/>
      <c r="L64" s="120"/>
      <c r="M64" s="120"/>
      <c r="N64" s="120"/>
      <c r="O64" s="63" t="str">
        <f t="shared" si="11"/>
        <v/>
      </c>
      <c r="P64" s="63" t="str">
        <f t="shared" si="12"/>
        <v/>
      </c>
      <c r="Q64" s="63" t="str">
        <f t="shared" si="13"/>
        <v/>
      </c>
      <c r="R64" s="63" t="str">
        <f t="shared" si="14"/>
        <v/>
      </c>
      <c r="S64" s="63" t="str">
        <f t="shared" si="15"/>
        <v/>
      </c>
      <c r="T64" s="63" t="str">
        <f t="shared" si="16"/>
        <v/>
      </c>
      <c r="U64" s="63" t="str">
        <f t="shared" si="17"/>
        <v/>
      </c>
      <c r="V64" s="63" t="str">
        <f t="shared" si="18"/>
        <v/>
      </c>
      <c r="W64" s="63">
        <f t="shared" si="19"/>
        <v>0</v>
      </c>
      <c r="X64" s="63">
        <f t="shared" si="20"/>
        <v>0</v>
      </c>
      <c r="Y64" s="63" t="str">
        <f>IF(F64=0,"",IF(F64&gt;W64,'Subject-Wise Result'!O62,IF(F64&gt;X64,"FAIL","PASS")))</f>
        <v/>
      </c>
    </row>
    <row r="65" spans="1:25" ht="30" customHeight="1" x14ac:dyDescent="0.25">
      <c r="A65" s="39" t="str">
        <f>IF('Statement of Marks'!A66="","",'Statement of Marks'!A66)</f>
        <v/>
      </c>
      <c r="B65" s="39" t="str">
        <f>IF('Statement of Marks'!B66="","",'Statement of Marks'!B66)</f>
        <v/>
      </c>
      <c r="C65" s="39" t="str">
        <f>IF('Statement of Marks'!C66="","",'Statement of Marks'!C66)</f>
        <v/>
      </c>
      <c r="D65" s="40" t="str">
        <f>IF('Statement of Marks'!D66="","",'Statement of Marks'!D66)</f>
        <v/>
      </c>
      <c r="E65" s="39" t="str">
        <f>CONCATENATE('Statement of Marks'!DT66,'Statement of Marks'!DV66)</f>
        <v xml:space="preserve">        </v>
      </c>
      <c r="F65" s="63">
        <f>COUNTIF('Subject-Wise Result'!G63:K63,"S")</f>
        <v>0</v>
      </c>
      <c r="G65" s="120"/>
      <c r="H65" s="120"/>
      <c r="I65" s="120"/>
      <c r="J65" s="120"/>
      <c r="K65" s="120"/>
      <c r="L65" s="120"/>
      <c r="M65" s="120"/>
      <c r="N65" s="120"/>
      <c r="O65" s="63" t="str">
        <f t="shared" si="11"/>
        <v/>
      </c>
      <c r="P65" s="63" t="str">
        <f t="shared" si="12"/>
        <v/>
      </c>
      <c r="Q65" s="63" t="str">
        <f t="shared" si="13"/>
        <v/>
      </c>
      <c r="R65" s="63" t="str">
        <f t="shared" si="14"/>
        <v/>
      </c>
      <c r="S65" s="63" t="str">
        <f t="shared" si="15"/>
        <v/>
      </c>
      <c r="T65" s="63" t="str">
        <f t="shared" si="16"/>
        <v/>
      </c>
      <c r="U65" s="63" t="str">
        <f t="shared" si="17"/>
        <v/>
      </c>
      <c r="V65" s="63" t="str">
        <f t="shared" si="18"/>
        <v/>
      </c>
      <c r="W65" s="63">
        <f t="shared" si="19"/>
        <v>0</v>
      </c>
      <c r="X65" s="63">
        <f t="shared" si="20"/>
        <v>0</v>
      </c>
      <c r="Y65" s="63" t="str">
        <f>IF(F65=0,"",IF(F65&gt;W65,'Subject-Wise Result'!O63,IF(F65&gt;X65,"FAIL","PASS")))</f>
        <v/>
      </c>
    </row>
    <row r="66" spans="1:25" ht="30" customHeight="1" x14ac:dyDescent="0.25">
      <c r="A66" s="39" t="str">
        <f>IF('Statement of Marks'!A67="","",'Statement of Marks'!A67)</f>
        <v/>
      </c>
      <c r="B66" s="39" t="str">
        <f>IF('Statement of Marks'!B67="","",'Statement of Marks'!B67)</f>
        <v/>
      </c>
      <c r="C66" s="39" t="str">
        <f>IF('Statement of Marks'!C67="","",'Statement of Marks'!C67)</f>
        <v/>
      </c>
      <c r="D66" s="40" t="str">
        <f>IF('Statement of Marks'!D67="","",'Statement of Marks'!D67)</f>
        <v/>
      </c>
      <c r="E66" s="39" t="str">
        <f>CONCATENATE('Statement of Marks'!DT67,'Statement of Marks'!DV67)</f>
        <v xml:space="preserve">        </v>
      </c>
      <c r="F66" s="63">
        <f>COUNTIF('Subject-Wise Result'!G64:K64,"S")</f>
        <v>0</v>
      </c>
      <c r="G66" s="120"/>
      <c r="H66" s="120"/>
      <c r="I66" s="120"/>
      <c r="J66" s="120"/>
      <c r="K66" s="120"/>
      <c r="L66" s="120"/>
      <c r="M66" s="120"/>
      <c r="N66" s="120"/>
      <c r="O66" s="63" t="str">
        <f t="shared" si="11"/>
        <v/>
      </c>
      <c r="P66" s="63" t="str">
        <f t="shared" si="12"/>
        <v/>
      </c>
      <c r="Q66" s="63" t="str">
        <f t="shared" si="13"/>
        <v/>
      </c>
      <c r="R66" s="63" t="str">
        <f t="shared" si="14"/>
        <v/>
      </c>
      <c r="S66" s="63" t="str">
        <f t="shared" si="15"/>
        <v/>
      </c>
      <c r="T66" s="63" t="str">
        <f t="shared" si="16"/>
        <v/>
      </c>
      <c r="U66" s="63" t="str">
        <f t="shared" si="17"/>
        <v/>
      </c>
      <c r="V66" s="63" t="str">
        <f t="shared" si="18"/>
        <v/>
      </c>
      <c r="W66" s="63">
        <f t="shared" si="19"/>
        <v>0</v>
      </c>
      <c r="X66" s="63">
        <f t="shared" si="20"/>
        <v>0</v>
      </c>
      <c r="Y66" s="63" t="str">
        <f>IF(F66=0,"",IF(F66&gt;W66,'Subject-Wise Result'!O64,IF(F66&gt;X66,"FAIL","PASS")))</f>
        <v/>
      </c>
    </row>
    <row r="67" spans="1:25" ht="30" customHeight="1" x14ac:dyDescent="0.25">
      <c r="A67" s="39" t="str">
        <f>IF('Statement of Marks'!A68="","",'Statement of Marks'!A68)</f>
        <v/>
      </c>
      <c r="B67" s="39" t="str">
        <f>IF('Statement of Marks'!B68="","",'Statement of Marks'!B68)</f>
        <v/>
      </c>
      <c r="C67" s="39" t="str">
        <f>IF('Statement of Marks'!C68="","",'Statement of Marks'!C68)</f>
        <v/>
      </c>
      <c r="D67" s="40" t="str">
        <f>IF('Statement of Marks'!D68="","",'Statement of Marks'!D68)</f>
        <v/>
      </c>
      <c r="E67" s="39" t="str">
        <f>CONCATENATE('Statement of Marks'!DT68,'Statement of Marks'!DV68)</f>
        <v xml:space="preserve">        </v>
      </c>
      <c r="F67" s="63">
        <f>COUNTIF('Subject-Wise Result'!G65:K65,"S")</f>
        <v>0</v>
      </c>
      <c r="G67" s="120"/>
      <c r="H67" s="120"/>
      <c r="I67" s="120"/>
      <c r="J67" s="120"/>
      <c r="K67" s="120"/>
      <c r="L67" s="120"/>
      <c r="M67" s="120"/>
      <c r="N67" s="120"/>
      <c r="O67" s="63" t="str">
        <f t="shared" si="11"/>
        <v/>
      </c>
      <c r="P67" s="63" t="str">
        <f t="shared" si="12"/>
        <v/>
      </c>
      <c r="Q67" s="63" t="str">
        <f t="shared" si="13"/>
        <v/>
      </c>
      <c r="R67" s="63" t="str">
        <f t="shared" si="14"/>
        <v/>
      </c>
      <c r="S67" s="63" t="str">
        <f t="shared" si="15"/>
        <v/>
      </c>
      <c r="T67" s="63" t="str">
        <f t="shared" si="16"/>
        <v/>
      </c>
      <c r="U67" s="63" t="str">
        <f t="shared" si="17"/>
        <v/>
      </c>
      <c r="V67" s="63" t="str">
        <f t="shared" si="18"/>
        <v/>
      </c>
      <c r="W67" s="63">
        <f t="shared" si="19"/>
        <v>0</v>
      </c>
      <c r="X67" s="63">
        <f t="shared" si="20"/>
        <v>0</v>
      </c>
      <c r="Y67" s="63" t="str">
        <f>IF(F67=0,"",IF(F67&gt;W67,'Subject-Wise Result'!O65,IF(F67&gt;X67,"FAIL","PASS")))</f>
        <v/>
      </c>
    </row>
    <row r="68" spans="1:25" ht="30" customHeight="1" x14ac:dyDescent="0.25">
      <c r="A68" s="39" t="str">
        <f>IF('Statement of Marks'!A69="","",'Statement of Marks'!A69)</f>
        <v/>
      </c>
      <c r="B68" s="39" t="str">
        <f>IF('Statement of Marks'!B69="","",'Statement of Marks'!B69)</f>
        <v/>
      </c>
      <c r="C68" s="39" t="str">
        <f>IF('Statement of Marks'!C69="","",'Statement of Marks'!C69)</f>
        <v/>
      </c>
      <c r="D68" s="40" t="str">
        <f>IF('Statement of Marks'!D69="","",'Statement of Marks'!D69)</f>
        <v/>
      </c>
      <c r="E68" s="39" t="str">
        <f>CONCATENATE('Statement of Marks'!DT69,'Statement of Marks'!DV69)</f>
        <v xml:space="preserve">        </v>
      </c>
      <c r="F68" s="63">
        <f>COUNTIF('Subject-Wise Result'!G66:K66,"S")</f>
        <v>0</v>
      </c>
      <c r="G68" s="120"/>
      <c r="H68" s="120"/>
      <c r="I68" s="120"/>
      <c r="J68" s="120"/>
      <c r="K68" s="120"/>
      <c r="L68" s="120"/>
      <c r="M68" s="120"/>
      <c r="N68" s="120"/>
      <c r="O68" s="63" t="str">
        <f t="shared" si="11"/>
        <v/>
      </c>
      <c r="P68" s="63" t="str">
        <f t="shared" si="12"/>
        <v/>
      </c>
      <c r="Q68" s="63" t="str">
        <f t="shared" si="13"/>
        <v/>
      </c>
      <c r="R68" s="63" t="str">
        <f t="shared" si="14"/>
        <v/>
      </c>
      <c r="S68" s="63" t="str">
        <f t="shared" si="15"/>
        <v/>
      </c>
      <c r="T68" s="63" t="str">
        <f t="shared" si="16"/>
        <v/>
      </c>
      <c r="U68" s="63" t="str">
        <f t="shared" si="17"/>
        <v/>
      </c>
      <c r="V68" s="63" t="str">
        <f t="shared" si="18"/>
        <v/>
      </c>
      <c r="W68" s="63">
        <f t="shared" si="19"/>
        <v>0</v>
      </c>
      <c r="X68" s="63">
        <f t="shared" si="20"/>
        <v>0</v>
      </c>
      <c r="Y68" s="63" t="str">
        <f>IF(F68=0,"",IF(F68&gt;W68,'Subject-Wise Result'!O66,IF(F68&gt;X68,"FAIL","PASS")))</f>
        <v/>
      </c>
    </row>
    <row r="69" spans="1:25" ht="30" customHeight="1" x14ac:dyDescent="0.25">
      <c r="A69" s="39" t="str">
        <f>IF('Statement of Marks'!A70="","",'Statement of Marks'!A70)</f>
        <v/>
      </c>
      <c r="B69" s="39" t="str">
        <f>IF('Statement of Marks'!B70="","",'Statement of Marks'!B70)</f>
        <v/>
      </c>
      <c r="C69" s="39" t="str">
        <f>IF('Statement of Marks'!C70="","",'Statement of Marks'!C70)</f>
        <v/>
      </c>
      <c r="D69" s="40" t="str">
        <f>IF('Statement of Marks'!D70="","",'Statement of Marks'!D70)</f>
        <v/>
      </c>
      <c r="E69" s="39" t="str">
        <f>CONCATENATE('Statement of Marks'!DT70,'Statement of Marks'!DV70)</f>
        <v xml:space="preserve">        </v>
      </c>
      <c r="F69" s="63">
        <f>COUNTIF('Subject-Wise Result'!G67:K67,"S")</f>
        <v>0</v>
      </c>
      <c r="G69" s="120"/>
      <c r="H69" s="120"/>
      <c r="I69" s="120"/>
      <c r="J69" s="120"/>
      <c r="K69" s="120"/>
      <c r="L69" s="120"/>
      <c r="M69" s="120"/>
      <c r="N69" s="120"/>
      <c r="O69" s="63" t="str">
        <f t="shared" si="11"/>
        <v/>
      </c>
      <c r="P69" s="63" t="str">
        <f t="shared" si="12"/>
        <v/>
      </c>
      <c r="Q69" s="63" t="str">
        <f t="shared" si="13"/>
        <v/>
      </c>
      <c r="R69" s="63" t="str">
        <f t="shared" si="14"/>
        <v/>
      </c>
      <c r="S69" s="63" t="str">
        <f t="shared" si="15"/>
        <v/>
      </c>
      <c r="T69" s="63" t="str">
        <f t="shared" si="16"/>
        <v/>
      </c>
      <c r="U69" s="63" t="str">
        <f t="shared" si="17"/>
        <v/>
      </c>
      <c r="V69" s="63" t="str">
        <f t="shared" si="18"/>
        <v/>
      </c>
      <c r="W69" s="63">
        <f t="shared" si="19"/>
        <v>0</v>
      </c>
      <c r="X69" s="63">
        <f t="shared" si="20"/>
        <v>0</v>
      </c>
      <c r="Y69" s="63" t="str">
        <f>IF(F69=0,"",IF(F69&gt;W69,'Subject-Wise Result'!O67,IF(F69&gt;X69,"FAIL","PASS")))</f>
        <v/>
      </c>
    </row>
    <row r="70" spans="1:25" ht="30" customHeight="1" x14ac:dyDescent="0.25">
      <c r="A70" s="39" t="str">
        <f>IF('Statement of Marks'!A71="","",'Statement of Marks'!A71)</f>
        <v/>
      </c>
      <c r="B70" s="39" t="str">
        <f>IF('Statement of Marks'!B71="","",'Statement of Marks'!B71)</f>
        <v/>
      </c>
      <c r="C70" s="39" t="str">
        <f>IF('Statement of Marks'!C71="","",'Statement of Marks'!C71)</f>
        <v/>
      </c>
      <c r="D70" s="40" t="str">
        <f>IF('Statement of Marks'!D71="","",'Statement of Marks'!D71)</f>
        <v/>
      </c>
      <c r="E70" s="39" t="str">
        <f>CONCATENATE('Statement of Marks'!DT71,'Statement of Marks'!DV71)</f>
        <v xml:space="preserve">        </v>
      </c>
      <c r="F70" s="63">
        <f>COUNTIF('Subject-Wise Result'!G68:K68,"S")</f>
        <v>0</v>
      </c>
      <c r="G70" s="120"/>
      <c r="H70" s="120"/>
      <c r="I70" s="120"/>
      <c r="J70" s="120"/>
      <c r="K70" s="120"/>
      <c r="L70" s="120"/>
      <c r="M70" s="120"/>
      <c r="N70" s="120"/>
      <c r="O70" s="63" t="str">
        <f t="shared" si="11"/>
        <v/>
      </c>
      <c r="P70" s="63" t="str">
        <f t="shared" si="12"/>
        <v/>
      </c>
      <c r="Q70" s="63" t="str">
        <f t="shared" si="13"/>
        <v/>
      </c>
      <c r="R70" s="63" t="str">
        <f t="shared" si="14"/>
        <v/>
      </c>
      <c r="S70" s="63" t="str">
        <f t="shared" si="15"/>
        <v/>
      </c>
      <c r="T70" s="63" t="str">
        <f t="shared" si="16"/>
        <v/>
      </c>
      <c r="U70" s="63" t="str">
        <f t="shared" si="17"/>
        <v/>
      </c>
      <c r="V70" s="63" t="str">
        <f t="shared" si="18"/>
        <v/>
      </c>
      <c r="W70" s="63">
        <f t="shared" si="19"/>
        <v>0</v>
      </c>
      <c r="X70" s="63">
        <f t="shared" si="20"/>
        <v>0</v>
      </c>
      <c r="Y70" s="63" t="str">
        <f>IF(F70=0,"",IF(F70&gt;W70,'Subject-Wise Result'!O68,IF(F70&gt;X70,"FAIL","PASS")))</f>
        <v/>
      </c>
    </row>
    <row r="71" spans="1:25" ht="30" customHeight="1" x14ac:dyDescent="0.25">
      <c r="A71" s="39" t="str">
        <f>IF('Statement of Marks'!A72="","",'Statement of Marks'!A72)</f>
        <v/>
      </c>
      <c r="B71" s="39" t="str">
        <f>IF('Statement of Marks'!B72="","",'Statement of Marks'!B72)</f>
        <v/>
      </c>
      <c r="C71" s="39" t="str">
        <f>IF('Statement of Marks'!C72="","",'Statement of Marks'!C72)</f>
        <v/>
      </c>
      <c r="D71" s="40" t="str">
        <f>IF('Statement of Marks'!D72="","",'Statement of Marks'!D72)</f>
        <v/>
      </c>
      <c r="E71" s="39" t="str">
        <f>CONCATENATE('Statement of Marks'!DT72,'Statement of Marks'!DV72)</f>
        <v xml:space="preserve">        </v>
      </c>
      <c r="F71" s="63">
        <f>COUNTIF('Subject-Wise Result'!G69:K69,"S")</f>
        <v>0</v>
      </c>
      <c r="G71" s="120"/>
      <c r="H71" s="120"/>
      <c r="I71" s="120"/>
      <c r="J71" s="120"/>
      <c r="K71" s="120"/>
      <c r="L71" s="120"/>
      <c r="M71" s="120"/>
      <c r="N71" s="120"/>
      <c r="O71" s="63" t="str">
        <f t="shared" si="11"/>
        <v/>
      </c>
      <c r="P71" s="63" t="str">
        <f t="shared" si="12"/>
        <v/>
      </c>
      <c r="Q71" s="63" t="str">
        <f t="shared" si="13"/>
        <v/>
      </c>
      <c r="R71" s="63" t="str">
        <f t="shared" si="14"/>
        <v/>
      </c>
      <c r="S71" s="63" t="str">
        <f t="shared" si="15"/>
        <v/>
      </c>
      <c r="T71" s="63" t="str">
        <f t="shared" si="16"/>
        <v/>
      </c>
      <c r="U71" s="63" t="str">
        <f t="shared" si="17"/>
        <v/>
      </c>
      <c r="V71" s="63" t="str">
        <f t="shared" si="18"/>
        <v/>
      </c>
      <c r="W71" s="63">
        <f t="shared" si="19"/>
        <v>0</v>
      </c>
      <c r="X71" s="63">
        <f t="shared" si="20"/>
        <v>0</v>
      </c>
      <c r="Y71" s="63" t="str">
        <f>IF(F71=0,"",IF(F71&gt;W71,'Subject-Wise Result'!O69,IF(F71&gt;X71,"FAIL","PASS")))</f>
        <v/>
      </c>
    </row>
    <row r="72" spans="1:25" ht="30" customHeight="1" x14ac:dyDescent="0.25">
      <c r="A72" s="39" t="str">
        <f>IF('Statement of Marks'!A73="","",'Statement of Marks'!A73)</f>
        <v/>
      </c>
      <c r="B72" s="39" t="str">
        <f>IF('Statement of Marks'!B73="","",'Statement of Marks'!B73)</f>
        <v/>
      </c>
      <c r="C72" s="39" t="str">
        <f>IF('Statement of Marks'!C73="","",'Statement of Marks'!C73)</f>
        <v/>
      </c>
      <c r="D72" s="40" t="str">
        <f>IF('Statement of Marks'!D73="","",'Statement of Marks'!D73)</f>
        <v/>
      </c>
      <c r="E72" s="39" t="str">
        <f>CONCATENATE('Statement of Marks'!DT73,'Statement of Marks'!DV73)</f>
        <v xml:space="preserve">        </v>
      </c>
      <c r="F72" s="63">
        <f>COUNTIF('Subject-Wise Result'!G70:K70,"S")</f>
        <v>0</v>
      </c>
      <c r="G72" s="120"/>
      <c r="H72" s="120"/>
      <c r="I72" s="120"/>
      <c r="J72" s="120"/>
      <c r="K72" s="120"/>
      <c r="L72" s="120"/>
      <c r="M72" s="120"/>
      <c r="N72" s="120"/>
      <c r="O72" s="63" t="str">
        <f t="shared" ref="O72:O108" si="21">IF(G72="","",IF(OR(G72="AB",G72&lt;36),"F","P"))</f>
        <v/>
      </c>
      <c r="P72" s="63" t="str">
        <f t="shared" ref="P72:P108" si="22">IF(H72="","",IF(OR(H72="AB",H72&lt;36),"F","P"))</f>
        <v/>
      </c>
      <c r="Q72" s="63" t="str">
        <f t="shared" ref="Q72:Q108" si="23">IF(I72="","",IF(OR(I72="AB",I72&lt;36),"F","P"))</f>
        <v/>
      </c>
      <c r="R72" s="63" t="str">
        <f t="shared" ref="R72:R108" si="24">IF(J72="","",IF(OR(J72="AB",J72&lt;36),"F","P"))</f>
        <v/>
      </c>
      <c r="S72" s="63" t="str">
        <f t="shared" ref="S72:S108" si="25">IF(K72="","",IF(OR(K72="AB",K72&lt;36),"F","P"))</f>
        <v/>
      </c>
      <c r="T72" s="63" t="str">
        <f t="shared" ref="T72:T108" si="26">IF(L72="","",IF(OR(L72="AB",L72&lt;36),"F","P"))</f>
        <v/>
      </c>
      <c r="U72" s="63" t="str">
        <f t="shared" ref="U72:U108" si="27">IF(M72="","",IF(OR(M72="AB",M72&lt;36),"F","P"))</f>
        <v/>
      </c>
      <c r="V72" s="63" t="str">
        <f t="shared" ref="V72:V108" si="28">IF(N72="","",IF(OR(N72="AB",N72&lt;36),"F","P"))</f>
        <v/>
      </c>
      <c r="W72" s="63">
        <f t="shared" ref="W72:W108" si="29">COUNTA(G72:N72)</f>
        <v>0</v>
      </c>
      <c r="X72" s="63">
        <f t="shared" ref="X72:X108" si="30">COUNTIF(O72:V72,"P")</f>
        <v>0</v>
      </c>
      <c r="Y72" s="63" t="str">
        <f>IF(F72=0,"",IF(F72&gt;W72,'Subject-Wise Result'!O70,IF(F72&gt;X72,"FAIL","PASS")))</f>
        <v/>
      </c>
    </row>
    <row r="73" spans="1:25" ht="30" customHeight="1" x14ac:dyDescent="0.25">
      <c r="A73" s="39" t="str">
        <f>IF('Statement of Marks'!A74="","",'Statement of Marks'!A74)</f>
        <v/>
      </c>
      <c r="B73" s="39" t="str">
        <f>IF('Statement of Marks'!B74="","",'Statement of Marks'!B74)</f>
        <v/>
      </c>
      <c r="C73" s="39" t="str">
        <f>IF('Statement of Marks'!C74="","",'Statement of Marks'!C74)</f>
        <v/>
      </c>
      <c r="D73" s="40" t="str">
        <f>IF('Statement of Marks'!D74="","",'Statement of Marks'!D74)</f>
        <v/>
      </c>
      <c r="E73" s="39" t="str">
        <f>CONCATENATE('Statement of Marks'!DT74,'Statement of Marks'!DV74)</f>
        <v xml:space="preserve">        </v>
      </c>
      <c r="F73" s="63">
        <f>COUNTIF('Subject-Wise Result'!G71:K71,"S")</f>
        <v>0</v>
      </c>
      <c r="G73" s="120"/>
      <c r="H73" s="120"/>
      <c r="I73" s="120"/>
      <c r="J73" s="120"/>
      <c r="K73" s="120"/>
      <c r="L73" s="120"/>
      <c r="M73" s="120"/>
      <c r="N73" s="120"/>
      <c r="O73" s="63" t="str">
        <f t="shared" si="21"/>
        <v/>
      </c>
      <c r="P73" s="63" t="str">
        <f t="shared" si="22"/>
        <v/>
      </c>
      <c r="Q73" s="63" t="str">
        <f t="shared" si="23"/>
        <v/>
      </c>
      <c r="R73" s="63" t="str">
        <f t="shared" si="24"/>
        <v/>
      </c>
      <c r="S73" s="63" t="str">
        <f t="shared" si="25"/>
        <v/>
      </c>
      <c r="T73" s="63" t="str">
        <f t="shared" si="26"/>
        <v/>
      </c>
      <c r="U73" s="63" t="str">
        <f t="shared" si="27"/>
        <v/>
      </c>
      <c r="V73" s="63" t="str">
        <f t="shared" si="28"/>
        <v/>
      </c>
      <c r="W73" s="63">
        <f t="shared" si="29"/>
        <v>0</v>
      </c>
      <c r="X73" s="63">
        <f t="shared" si="30"/>
        <v>0</v>
      </c>
      <c r="Y73" s="63" t="str">
        <f>IF(F73=0,"",IF(F73&gt;W73,'Subject-Wise Result'!O71,IF(F73&gt;X73,"FAIL","PASS")))</f>
        <v/>
      </c>
    </row>
    <row r="74" spans="1:25" ht="30" customHeight="1" x14ac:dyDescent="0.25">
      <c r="A74" s="39" t="str">
        <f>IF('Statement of Marks'!A75="","",'Statement of Marks'!A75)</f>
        <v/>
      </c>
      <c r="B74" s="39" t="str">
        <f>IF('Statement of Marks'!B75="","",'Statement of Marks'!B75)</f>
        <v/>
      </c>
      <c r="C74" s="39" t="str">
        <f>IF('Statement of Marks'!C75="","",'Statement of Marks'!C75)</f>
        <v/>
      </c>
      <c r="D74" s="40" t="str">
        <f>IF('Statement of Marks'!D75="","",'Statement of Marks'!D75)</f>
        <v/>
      </c>
      <c r="E74" s="39" t="str">
        <f>CONCATENATE('Statement of Marks'!DT75,'Statement of Marks'!DV75)</f>
        <v xml:space="preserve">        </v>
      </c>
      <c r="F74" s="63">
        <f>COUNTIF('Subject-Wise Result'!G72:K72,"S")</f>
        <v>0</v>
      </c>
      <c r="G74" s="120"/>
      <c r="H74" s="120"/>
      <c r="I74" s="120"/>
      <c r="J74" s="120"/>
      <c r="K74" s="120"/>
      <c r="L74" s="120"/>
      <c r="M74" s="120"/>
      <c r="N74" s="120"/>
      <c r="O74" s="63" t="str">
        <f t="shared" si="21"/>
        <v/>
      </c>
      <c r="P74" s="63" t="str">
        <f t="shared" si="22"/>
        <v/>
      </c>
      <c r="Q74" s="63" t="str">
        <f t="shared" si="23"/>
        <v/>
      </c>
      <c r="R74" s="63" t="str">
        <f t="shared" si="24"/>
        <v/>
      </c>
      <c r="S74" s="63" t="str">
        <f t="shared" si="25"/>
        <v/>
      </c>
      <c r="T74" s="63" t="str">
        <f t="shared" si="26"/>
        <v/>
      </c>
      <c r="U74" s="63" t="str">
        <f t="shared" si="27"/>
        <v/>
      </c>
      <c r="V74" s="63" t="str">
        <f t="shared" si="28"/>
        <v/>
      </c>
      <c r="W74" s="63">
        <f t="shared" si="29"/>
        <v>0</v>
      </c>
      <c r="X74" s="63">
        <f t="shared" si="30"/>
        <v>0</v>
      </c>
      <c r="Y74" s="63" t="str">
        <f>IF(F74=0,"",IF(F74&gt;W74,'Subject-Wise Result'!O72,IF(F74&gt;X74,"FAIL","PASS")))</f>
        <v/>
      </c>
    </row>
    <row r="75" spans="1:25" ht="30" customHeight="1" x14ac:dyDescent="0.25">
      <c r="A75" s="39" t="str">
        <f>IF('Statement of Marks'!A76="","",'Statement of Marks'!A76)</f>
        <v/>
      </c>
      <c r="B75" s="39" t="str">
        <f>IF('Statement of Marks'!B76="","",'Statement of Marks'!B76)</f>
        <v/>
      </c>
      <c r="C75" s="39" t="str">
        <f>IF('Statement of Marks'!C76="","",'Statement of Marks'!C76)</f>
        <v/>
      </c>
      <c r="D75" s="40" t="str">
        <f>IF('Statement of Marks'!D76="","",'Statement of Marks'!D76)</f>
        <v/>
      </c>
      <c r="E75" s="39" t="str">
        <f>CONCATENATE('Statement of Marks'!DT76,'Statement of Marks'!DV76)</f>
        <v xml:space="preserve">        </v>
      </c>
      <c r="F75" s="63">
        <f>COUNTIF('Subject-Wise Result'!G73:K73,"S")</f>
        <v>0</v>
      </c>
      <c r="G75" s="120"/>
      <c r="H75" s="120"/>
      <c r="I75" s="120"/>
      <c r="J75" s="120"/>
      <c r="K75" s="120"/>
      <c r="L75" s="120"/>
      <c r="M75" s="120"/>
      <c r="N75" s="120"/>
      <c r="O75" s="63" t="str">
        <f t="shared" si="21"/>
        <v/>
      </c>
      <c r="P75" s="63" t="str">
        <f t="shared" si="22"/>
        <v/>
      </c>
      <c r="Q75" s="63" t="str">
        <f t="shared" si="23"/>
        <v/>
      </c>
      <c r="R75" s="63" t="str">
        <f t="shared" si="24"/>
        <v/>
      </c>
      <c r="S75" s="63" t="str">
        <f t="shared" si="25"/>
        <v/>
      </c>
      <c r="T75" s="63" t="str">
        <f t="shared" si="26"/>
        <v/>
      </c>
      <c r="U75" s="63" t="str">
        <f t="shared" si="27"/>
        <v/>
      </c>
      <c r="V75" s="63" t="str">
        <f t="shared" si="28"/>
        <v/>
      </c>
      <c r="W75" s="63">
        <f t="shared" si="29"/>
        <v>0</v>
      </c>
      <c r="X75" s="63">
        <f t="shared" si="30"/>
        <v>0</v>
      </c>
      <c r="Y75" s="63" t="str">
        <f>IF(F75=0,"",IF(F75&gt;W75,'Subject-Wise Result'!O73,IF(F75&gt;X75,"FAIL","PASS")))</f>
        <v/>
      </c>
    </row>
    <row r="76" spans="1:25" ht="30" customHeight="1" x14ac:dyDescent="0.25">
      <c r="A76" s="39" t="str">
        <f>IF('Statement of Marks'!A77="","",'Statement of Marks'!A77)</f>
        <v/>
      </c>
      <c r="B76" s="39" t="str">
        <f>IF('Statement of Marks'!B77="","",'Statement of Marks'!B77)</f>
        <v/>
      </c>
      <c r="C76" s="39" t="str">
        <f>IF('Statement of Marks'!C77="","",'Statement of Marks'!C77)</f>
        <v/>
      </c>
      <c r="D76" s="40" t="str">
        <f>IF('Statement of Marks'!D77="","",'Statement of Marks'!D77)</f>
        <v/>
      </c>
      <c r="E76" s="39" t="str">
        <f>CONCATENATE('Statement of Marks'!DT77,'Statement of Marks'!DV77)</f>
        <v xml:space="preserve">        </v>
      </c>
      <c r="F76" s="63">
        <f>COUNTIF('Subject-Wise Result'!G74:K74,"S")</f>
        <v>0</v>
      </c>
      <c r="G76" s="120"/>
      <c r="H76" s="120"/>
      <c r="I76" s="120"/>
      <c r="J76" s="120"/>
      <c r="K76" s="120"/>
      <c r="L76" s="120"/>
      <c r="M76" s="120"/>
      <c r="N76" s="120"/>
      <c r="O76" s="63" t="str">
        <f t="shared" si="21"/>
        <v/>
      </c>
      <c r="P76" s="63" t="str">
        <f t="shared" si="22"/>
        <v/>
      </c>
      <c r="Q76" s="63" t="str">
        <f t="shared" si="23"/>
        <v/>
      </c>
      <c r="R76" s="63" t="str">
        <f t="shared" si="24"/>
        <v/>
      </c>
      <c r="S76" s="63" t="str">
        <f t="shared" si="25"/>
        <v/>
      </c>
      <c r="T76" s="63" t="str">
        <f t="shared" si="26"/>
        <v/>
      </c>
      <c r="U76" s="63" t="str">
        <f t="shared" si="27"/>
        <v/>
      </c>
      <c r="V76" s="63" t="str">
        <f t="shared" si="28"/>
        <v/>
      </c>
      <c r="W76" s="63">
        <f t="shared" si="29"/>
        <v>0</v>
      </c>
      <c r="X76" s="63">
        <f t="shared" si="30"/>
        <v>0</v>
      </c>
      <c r="Y76" s="63" t="str">
        <f>IF(F76=0,"",IF(F76&gt;W76,'Subject-Wise Result'!O74,IF(F76&gt;X76,"FAIL","PASS")))</f>
        <v/>
      </c>
    </row>
    <row r="77" spans="1:25" ht="30" customHeight="1" x14ac:dyDescent="0.25">
      <c r="A77" s="39" t="str">
        <f>IF('Statement of Marks'!A78="","",'Statement of Marks'!A78)</f>
        <v/>
      </c>
      <c r="B77" s="39" t="str">
        <f>IF('Statement of Marks'!B78="","",'Statement of Marks'!B78)</f>
        <v/>
      </c>
      <c r="C77" s="39" t="str">
        <f>IF('Statement of Marks'!C78="","",'Statement of Marks'!C78)</f>
        <v/>
      </c>
      <c r="D77" s="40" t="str">
        <f>IF('Statement of Marks'!D78="","",'Statement of Marks'!D78)</f>
        <v/>
      </c>
      <c r="E77" s="39" t="str">
        <f>CONCATENATE('Statement of Marks'!DT78,'Statement of Marks'!DV78)</f>
        <v xml:space="preserve">        </v>
      </c>
      <c r="F77" s="63">
        <f>COUNTIF('Subject-Wise Result'!G75:K75,"S")</f>
        <v>0</v>
      </c>
      <c r="G77" s="120"/>
      <c r="H77" s="120"/>
      <c r="I77" s="120"/>
      <c r="J77" s="120"/>
      <c r="K77" s="120"/>
      <c r="L77" s="120"/>
      <c r="M77" s="120"/>
      <c r="N77" s="120"/>
      <c r="O77" s="63" t="str">
        <f t="shared" si="21"/>
        <v/>
      </c>
      <c r="P77" s="63" t="str">
        <f t="shared" si="22"/>
        <v/>
      </c>
      <c r="Q77" s="63" t="str">
        <f t="shared" si="23"/>
        <v/>
      </c>
      <c r="R77" s="63" t="str">
        <f t="shared" si="24"/>
        <v/>
      </c>
      <c r="S77" s="63" t="str">
        <f t="shared" si="25"/>
        <v/>
      </c>
      <c r="T77" s="63" t="str">
        <f t="shared" si="26"/>
        <v/>
      </c>
      <c r="U77" s="63" t="str">
        <f t="shared" si="27"/>
        <v/>
      </c>
      <c r="V77" s="63" t="str">
        <f t="shared" si="28"/>
        <v/>
      </c>
      <c r="W77" s="63">
        <f t="shared" si="29"/>
        <v>0</v>
      </c>
      <c r="X77" s="63">
        <f t="shared" si="30"/>
        <v>0</v>
      </c>
      <c r="Y77" s="63" t="str">
        <f>IF(F77=0,"",IF(F77&gt;W77,'Subject-Wise Result'!O75,IF(F77&gt;X77,"FAIL","PASS")))</f>
        <v/>
      </c>
    </row>
    <row r="78" spans="1:25" ht="30" customHeight="1" x14ac:dyDescent="0.25">
      <c r="A78" s="39" t="str">
        <f>IF('Statement of Marks'!A79="","",'Statement of Marks'!A79)</f>
        <v/>
      </c>
      <c r="B78" s="39" t="str">
        <f>IF('Statement of Marks'!B79="","",'Statement of Marks'!B79)</f>
        <v/>
      </c>
      <c r="C78" s="39" t="str">
        <f>IF('Statement of Marks'!C79="","",'Statement of Marks'!C79)</f>
        <v/>
      </c>
      <c r="D78" s="40" t="str">
        <f>IF('Statement of Marks'!D79="","",'Statement of Marks'!D79)</f>
        <v/>
      </c>
      <c r="E78" s="39" t="str">
        <f>CONCATENATE('Statement of Marks'!DT79,'Statement of Marks'!DV79)</f>
        <v xml:space="preserve">        </v>
      </c>
      <c r="F78" s="63">
        <f>COUNTIF('Subject-Wise Result'!G76:K76,"S")</f>
        <v>0</v>
      </c>
      <c r="G78" s="120"/>
      <c r="H78" s="120"/>
      <c r="I78" s="120"/>
      <c r="J78" s="120"/>
      <c r="K78" s="120"/>
      <c r="L78" s="120"/>
      <c r="M78" s="120"/>
      <c r="N78" s="120"/>
      <c r="O78" s="63" t="str">
        <f t="shared" si="21"/>
        <v/>
      </c>
      <c r="P78" s="63" t="str">
        <f t="shared" si="22"/>
        <v/>
      </c>
      <c r="Q78" s="63" t="str">
        <f t="shared" si="23"/>
        <v/>
      </c>
      <c r="R78" s="63" t="str">
        <f t="shared" si="24"/>
        <v/>
      </c>
      <c r="S78" s="63" t="str">
        <f t="shared" si="25"/>
        <v/>
      </c>
      <c r="T78" s="63" t="str">
        <f t="shared" si="26"/>
        <v/>
      </c>
      <c r="U78" s="63" t="str">
        <f t="shared" si="27"/>
        <v/>
      </c>
      <c r="V78" s="63" t="str">
        <f t="shared" si="28"/>
        <v/>
      </c>
      <c r="W78" s="63">
        <f t="shared" si="29"/>
        <v>0</v>
      </c>
      <c r="X78" s="63">
        <f t="shared" si="30"/>
        <v>0</v>
      </c>
      <c r="Y78" s="63" t="str">
        <f>IF(F78=0,"",IF(F78&gt;W78,'Subject-Wise Result'!O76,IF(F78&gt;X78,"FAIL","PASS")))</f>
        <v/>
      </c>
    </row>
    <row r="79" spans="1:25" ht="30" customHeight="1" x14ac:dyDescent="0.25">
      <c r="A79" s="39" t="str">
        <f>IF('Statement of Marks'!A80="","",'Statement of Marks'!A80)</f>
        <v/>
      </c>
      <c r="B79" s="39" t="str">
        <f>IF('Statement of Marks'!B80="","",'Statement of Marks'!B80)</f>
        <v/>
      </c>
      <c r="C79" s="39" t="str">
        <f>IF('Statement of Marks'!C80="","",'Statement of Marks'!C80)</f>
        <v/>
      </c>
      <c r="D79" s="40" t="str">
        <f>IF('Statement of Marks'!D80="","",'Statement of Marks'!D80)</f>
        <v/>
      </c>
      <c r="E79" s="39" t="str">
        <f>CONCATENATE('Statement of Marks'!DT80,'Statement of Marks'!DV80)</f>
        <v xml:space="preserve">        </v>
      </c>
      <c r="F79" s="63">
        <f>COUNTIF('Subject-Wise Result'!G77:K77,"S")</f>
        <v>0</v>
      </c>
      <c r="G79" s="120"/>
      <c r="H79" s="120"/>
      <c r="I79" s="120"/>
      <c r="J79" s="120"/>
      <c r="K79" s="120"/>
      <c r="L79" s="120"/>
      <c r="M79" s="120"/>
      <c r="N79" s="120"/>
      <c r="O79" s="63" t="str">
        <f t="shared" si="21"/>
        <v/>
      </c>
      <c r="P79" s="63" t="str">
        <f t="shared" si="22"/>
        <v/>
      </c>
      <c r="Q79" s="63" t="str">
        <f t="shared" si="23"/>
        <v/>
      </c>
      <c r="R79" s="63" t="str">
        <f t="shared" si="24"/>
        <v/>
      </c>
      <c r="S79" s="63" t="str">
        <f t="shared" si="25"/>
        <v/>
      </c>
      <c r="T79" s="63" t="str">
        <f t="shared" si="26"/>
        <v/>
      </c>
      <c r="U79" s="63" t="str">
        <f t="shared" si="27"/>
        <v/>
      </c>
      <c r="V79" s="63" t="str">
        <f t="shared" si="28"/>
        <v/>
      </c>
      <c r="W79" s="63">
        <f t="shared" si="29"/>
        <v>0</v>
      </c>
      <c r="X79" s="63">
        <f t="shared" si="30"/>
        <v>0</v>
      </c>
      <c r="Y79" s="63" t="str">
        <f>IF(F79=0,"",IF(F79&gt;W79,'Subject-Wise Result'!O77,IF(F79&gt;X79,"FAIL","PASS")))</f>
        <v/>
      </c>
    </row>
    <row r="80" spans="1:25" ht="30" customHeight="1" x14ac:dyDescent="0.25">
      <c r="A80" s="39" t="str">
        <f>IF('Statement of Marks'!A81="","",'Statement of Marks'!A81)</f>
        <v/>
      </c>
      <c r="B80" s="39" t="str">
        <f>IF('Statement of Marks'!B81="","",'Statement of Marks'!B81)</f>
        <v/>
      </c>
      <c r="C80" s="39" t="str">
        <f>IF('Statement of Marks'!C81="","",'Statement of Marks'!C81)</f>
        <v/>
      </c>
      <c r="D80" s="40" t="str">
        <f>IF('Statement of Marks'!D81="","",'Statement of Marks'!D81)</f>
        <v/>
      </c>
      <c r="E80" s="39" t="str">
        <f>CONCATENATE('Statement of Marks'!DT81,'Statement of Marks'!DV81)</f>
        <v xml:space="preserve">        </v>
      </c>
      <c r="F80" s="63">
        <f>COUNTIF('Subject-Wise Result'!G78:K78,"S")</f>
        <v>0</v>
      </c>
      <c r="G80" s="120"/>
      <c r="H80" s="120"/>
      <c r="I80" s="120"/>
      <c r="J80" s="120"/>
      <c r="K80" s="120"/>
      <c r="L80" s="120"/>
      <c r="M80" s="120"/>
      <c r="N80" s="120"/>
      <c r="O80" s="63" t="str">
        <f t="shared" si="21"/>
        <v/>
      </c>
      <c r="P80" s="63" t="str">
        <f t="shared" si="22"/>
        <v/>
      </c>
      <c r="Q80" s="63" t="str">
        <f t="shared" si="23"/>
        <v/>
      </c>
      <c r="R80" s="63" t="str">
        <f t="shared" si="24"/>
        <v/>
      </c>
      <c r="S80" s="63" t="str">
        <f t="shared" si="25"/>
        <v/>
      </c>
      <c r="T80" s="63" t="str">
        <f t="shared" si="26"/>
        <v/>
      </c>
      <c r="U80" s="63" t="str">
        <f t="shared" si="27"/>
        <v/>
      </c>
      <c r="V80" s="63" t="str">
        <f t="shared" si="28"/>
        <v/>
      </c>
      <c r="W80" s="63">
        <f t="shared" si="29"/>
        <v>0</v>
      </c>
      <c r="X80" s="63">
        <f t="shared" si="30"/>
        <v>0</v>
      </c>
      <c r="Y80" s="63" t="str">
        <f>IF(F80=0,"",IF(F80&gt;W80,'Subject-Wise Result'!O78,IF(F80&gt;X80,"FAIL","PASS")))</f>
        <v/>
      </c>
    </row>
    <row r="81" spans="1:25" ht="30" customHeight="1" x14ac:dyDescent="0.25">
      <c r="A81" s="39" t="str">
        <f>IF('Statement of Marks'!A82="","",'Statement of Marks'!A82)</f>
        <v/>
      </c>
      <c r="B81" s="39" t="str">
        <f>IF('Statement of Marks'!B82="","",'Statement of Marks'!B82)</f>
        <v/>
      </c>
      <c r="C81" s="39" t="str">
        <f>IF('Statement of Marks'!C82="","",'Statement of Marks'!C82)</f>
        <v/>
      </c>
      <c r="D81" s="40" t="str">
        <f>IF('Statement of Marks'!D82="","",'Statement of Marks'!D82)</f>
        <v/>
      </c>
      <c r="E81" s="39" t="str">
        <f>CONCATENATE('Statement of Marks'!DT82,'Statement of Marks'!DV82)</f>
        <v xml:space="preserve">        </v>
      </c>
      <c r="F81" s="63">
        <f>COUNTIF('Subject-Wise Result'!G79:K79,"S")</f>
        <v>0</v>
      </c>
      <c r="G81" s="120"/>
      <c r="H81" s="120"/>
      <c r="I81" s="120"/>
      <c r="J81" s="120"/>
      <c r="K81" s="120"/>
      <c r="L81" s="120"/>
      <c r="M81" s="120"/>
      <c r="N81" s="120"/>
      <c r="O81" s="63" t="str">
        <f t="shared" si="21"/>
        <v/>
      </c>
      <c r="P81" s="63" t="str">
        <f t="shared" si="22"/>
        <v/>
      </c>
      <c r="Q81" s="63" t="str">
        <f t="shared" si="23"/>
        <v/>
      </c>
      <c r="R81" s="63" t="str">
        <f t="shared" si="24"/>
        <v/>
      </c>
      <c r="S81" s="63" t="str">
        <f t="shared" si="25"/>
        <v/>
      </c>
      <c r="T81" s="63" t="str">
        <f t="shared" si="26"/>
        <v/>
      </c>
      <c r="U81" s="63" t="str">
        <f t="shared" si="27"/>
        <v/>
      </c>
      <c r="V81" s="63" t="str">
        <f t="shared" si="28"/>
        <v/>
      </c>
      <c r="W81" s="63">
        <f t="shared" si="29"/>
        <v>0</v>
      </c>
      <c r="X81" s="63">
        <f t="shared" si="30"/>
        <v>0</v>
      </c>
      <c r="Y81" s="63" t="str">
        <f>IF(F81=0,"",IF(F81&gt;W81,'Subject-Wise Result'!O79,IF(F81&gt;X81,"FAIL","PASS")))</f>
        <v/>
      </c>
    </row>
    <row r="82" spans="1:25" ht="30" customHeight="1" x14ac:dyDescent="0.25">
      <c r="A82" s="39" t="str">
        <f>IF('Statement of Marks'!A83="","",'Statement of Marks'!A83)</f>
        <v/>
      </c>
      <c r="B82" s="39" t="str">
        <f>IF('Statement of Marks'!B83="","",'Statement of Marks'!B83)</f>
        <v/>
      </c>
      <c r="C82" s="39" t="str">
        <f>IF('Statement of Marks'!C83="","",'Statement of Marks'!C83)</f>
        <v/>
      </c>
      <c r="D82" s="40" t="str">
        <f>IF('Statement of Marks'!D83="","",'Statement of Marks'!D83)</f>
        <v/>
      </c>
      <c r="E82" s="39" t="str">
        <f>CONCATENATE('Statement of Marks'!DT83,'Statement of Marks'!DV83)</f>
        <v xml:space="preserve">        </v>
      </c>
      <c r="F82" s="63">
        <f>COUNTIF('Subject-Wise Result'!G80:K80,"S")</f>
        <v>0</v>
      </c>
      <c r="G82" s="120"/>
      <c r="H82" s="120"/>
      <c r="I82" s="120"/>
      <c r="J82" s="120"/>
      <c r="K82" s="120"/>
      <c r="L82" s="120"/>
      <c r="M82" s="120"/>
      <c r="N82" s="120"/>
      <c r="O82" s="63" t="str">
        <f t="shared" si="21"/>
        <v/>
      </c>
      <c r="P82" s="63" t="str">
        <f t="shared" si="22"/>
        <v/>
      </c>
      <c r="Q82" s="63" t="str">
        <f t="shared" si="23"/>
        <v/>
      </c>
      <c r="R82" s="63" t="str">
        <f t="shared" si="24"/>
        <v/>
      </c>
      <c r="S82" s="63" t="str">
        <f t="shared" si="25"/>
        <v/>
      </c>
      <c r="T82" s="63" t="str">
        <f t="shared" si="26"/>
        <v/>
      </c>
      <c r="U82" s="63" t="str">
        <f t="shared" si="27"/>
        <v/>
      </c>
      <c r="V82" s="63" t="str">
        <f t="shared" si="28"/>
        <v/>
      </c>
      <c r="W82" s="63">
        <f t="shared" si="29"/>
        <v>0</v>
      </c>
      <c r="X82" s="63">
        <f t="shared" si="30"/>
        <v>0</v>
      </c>
      <c r="Y82" s="63" t="str">
        <f>IF(F82=0,"",IF(F82&gt;W82,'Subject-Wise Result'!O80,IF(F82&gt;X82,"FAIL","PASS")))</f>
        <v/>
      </c>
    </row>
    <row r="83" spans="1:25" ht="30" customHeight="1" x14ac:dyDescent="0.25">
      <c r="A83" s="39" t="str">
        <f>IF('Statement of Marks'!A84="","",'Statement of Marks'!A84)</f>
        <v/>
      </c>
      <c r="B83" s="39" t="str">
        <f>IF('Statement of Marks'!B84="","",'Statement of Marks'!B84)</f>
        <v/>
      </c>
      <c r="C83" s="39" t="str">
        <f>IF('Statement of Marks'!C84="","",'Statement of Marks'!C84)</f>
        <v/>
      </c>
      <c r="D83" s="40" t="str">
        <f>IF('Statement of Marks'!D84="","",'Statement of Marks'!D84)</f>
        <v/>
      </c>
      <c r="E83" s="39" t="str">
        <f>CONCATENATE('Statement of Marks'!DT84,'Statement of Marks'!DV84)</f>
        <v xml:space="preserve">        </v>
      </c>
      <c r="F83" s="63">
        <f>COUNTIF('Subject-Wise Result'!G81:K81,"S")</f>
        <v>0</v>
      </c>
      <c r="G83" s="120"/>
      <c r="H83" s="120"/>
      <c r="I83" s="120"/>
      <c r="J83" s="120"/>
      <c r="K83" s="120"/>
      <c r="L83" s="120"/>
      <c r="M83" s="120"/>
      <c r="N83" s="120"/>
      <c r="O83" s="63" t="str">
        <f t="shared" si="21"/>
        <v/>
      </c>
      <c r="P83" s="63" t="str">
        <f t="shared" si="22"/>
        <v/>
      </c>
      <c r="Q83" s="63" t="str">
        <f t="shared" si="23"/>
        <v/>
      </c>
      <c r="R83" s="63" t="str">
        <f t="shared" si="24"/>
        <v/>
      </c>
      <c r="S83" s="63" t="str">
        <f t="shared" si="25"/>
        <v/>
      </c>
      <c r="T83" s="63" t="str">
        <f t="shared" si="26"/>
        <v/>
      </c>
      <c r="U83" s="63" t="str">
        <f t="shared" si="27"/>
        <v/>
      </c>
      <c r="V83" s="63" t="str">
        <f t="shared" si="28"/>
        <v/>
      </c>
      <c r="W83" s="63">
        <f t="shared" si="29"/>
        <v>0</v>
      </c>
      <c r="X83" s="63">
        <f t="shared" si="30"/>
        <v>0</v>
      </c>
      <c r="Y83" s="63" t="str">
        <f>IF(F83=0,"",IF(F83&gt;W83,'Subject-Wise Result'!O81,IF(F83&gt;X83,"FAIL","PASS")))</f>
        <v/>
      </c>
    </row>
    <row r="84" spans="1:25" ht="30" customHeight="1" x14ac:dyDescent="0.25">
      <c r="A84" s="39" t="str">
        <f>IF('Statement of Marks'!A85="","",'Statement of Marks'!A85)</f>
        <v/>
      </c>
      <c r="B84" s="39" t="str">
        <f>IF('Statement of Marks'!B85="","",'Statement of Marks'!B85)</f>
        <v/>
      </c>
      <c r="C84" s="39" t="str">
        <f>IF('Statement of Marks'!C85="","",'Statement of Marks'!C85)</f>
        <v/>
      </c>
      <c r="D84" s="40" t="str">
        <f>IF('Statement of Marks'!D85="","",'Statement of Marks'!D85)</f>
        <v/>
      </c>
      <c r="E84" s="39" t="str">
        <f>CONCATENATE('Statement of Marks'!DT85,'Statement of Marks'!DV85)</f>
        <v xml:space="preserve">        </v>
      </c>
      <c r="F84" s="63">
        <f>COUNTIF('Subject-Wise Result'!G82:K82,"S")</f>
        <v>0</v>
      </c>
      <c r="G84" s="120"/>
      <c r="H84" s="120"/>
      <c r="I84" s="120"/>
      <c r="J84" s="120"/>
      <c r="K84" s="120"/>
      <c r="L84" s="120"/>
      <c r="M84" s="120"/>
      <c r="N84" s="120"/>
      <c r="O84" s="63" t="str">
        <f t="shared" si="21"/>
        <v/>
      </c>
      <c r="P84" s="63" t="str">
        <f t="shared" si="22"/>
        <v/>
      </c>
      <c r="Q84" s="63" t="str">
        <f t="shared" si="23"/>
        <v/>
      </c>
      <c r="R84" s="63" t="str">
        <f t="shared" si="24"/>
        <v/>
      </c>
      <c r="S84" s="63" t="str">
        <f t="shared" si="25"/>
        <v/>
      </c>
      <c r="T84" s="63" t="str">
        <f t="shared" si="26"/>
        <v/>
      </c>
      <c r="U84" s="63" t="str">
        <f t="shared" si="27"/>
        <v/>
      </c>
      <c r="V84" s="63" t="str">
        <f t="shared" si="28"/>
        <v/>
      </c>
      <c r="W84" s="63">
        <f t="shared" si="29"/>
        <v>0</v>
      </c>
      <c r="X84" s="63">
        <f t="shared" si="30"/>
        <v>0</v>
      </c>
      <c r="Y84" s="63" t="str">
        <f>IF(F84=0,"",IF(F84&gt;W84,'Subject-Wise Result'!O82,IF(F84&gt;X84,"FAIL","PASS")))</f>
        <v/>
      </c>
    </row>
    <row r="85" spans="1:25" ht="30" customHeight="1" x14ac:dyDescent="0.25">
      <c r="A85" s="39" t="str">
        <f>IF('Statement of Marks'!A86="","",'Statement of Marks'!A86)</f>
        <v/>
      </c>
      <c r="B85" s="39" t="str">
        <f>IF('Statement of Marks'!B86="","",'Statement of Marks'!B86)</f>
        <v/>
      </c>
      <c r="C85" s="39" t="str">
        <f>IF('Statement of Marks'!C86="","",'Statement of Marks'!C86)</f>
        <v/>
      </c>
      <c r="D85" s="40" t="str">
        <f>IF('Statement of Marks'!D86="","",'Statement of Marks'!D86)</f>
        <v/>
      </c>
      <c r="E85" s="39" t="str">
        <f>CONCATENATE('Statement of Marks'!DT86,'Statement of Marks'!DV86)</f>
        <v xml:space="preserve">        </v>
      </c>
      <c r="F85" s="63">
        <f>COUNTIF('Subject-Wise Result'!G83:K83,"S")</f>
        <v>0</v>
      </c>
      <c r="G85" s="120"/>
      <c r="H85" s="120"/>
      <c r="I85" s="120"/>
      <c r="J85" s="120"/>
      <c r="K85" s="120"/>
      <c r="L85" s="120"/>
      <c r="M85" s="120"/>
      <c r="N85" s="120"/>
      <c r="O85" s="63" t="str">
        <f t="shared" si="21"/>
        <v/>
      </c>
      <c r="P85" s="63" t="str">
        <f t="shared" si="22"/>
        <v/>
      </c>
      <c r="Q85" s="63" t="str">
        <f t="shared" si="23"/>
        <v/>
      </c>
      <c r="R85" s="63" t="str">
        <f t="shared" si="24"/>
        <v/>
      </c>
      <c r="S85" s="63" t="str">
        <f t="shared" si="25"/>
        <v/>
      </c>
      <c r="T85" s="63" t="str">
        <f t="shared" si="26"/>
        <v/>
      </c>
      <c r="U85" s="63" t="str">
        <f t="shared" si="27"/>
        <v/>
      </c>
      <c r="V85" s="63" t="str">
        <f t="shared" si="28"/>
        <v/>
      </c>
      <c r="W85" s="63">
        <f t="shared" si="29"/>
        <v>0</v>
      </c>
      <c r="X85" s="63">
        <f t="shared" si="30"/>
        <v>0</v>
      </c>
      <c r="Y85" s="63" t="str">
        <f>IF(F85=0,"",IF(F85&gt;W85,'Subject-Wise Result'!O83,IF(F85&gt;X85,"FAIL","PASS")))</f>
        <v/>
      </c>
    </row>
    <row r="86" spans="1:25" ht="30" customHeight="1" x14ac:dyDescent="0.25">
      <c r="A86" s="39" t="str">
        <f>IF('Statement of Marks'!A87="","",'Statement of Marks'!A87)</f>
        <v/>
      </c>
      <c r="B86" s="39" t="str">
        <f>IF('Statement of Marks'!B87="","",'Statement of Marks'!B87)</f>
        <v/>
      </c>
      <c r="C86" s="39" t="str">
        <f>IF('Statement of Marks'!C87="","",'Statement of Marks'!C87)</f>
        <v/>
      </c>
      <c r="D86" s="40" t="str">
        <f>IF('Statement of Marks'!D87="","",'Statement of Marks'!D87)</f>
        <v/>
      </c>
      <c r="E86" s="39" t="str">
        <f>CONCATENATE('Statement of Marks'!DT87,'Statement of Marks'!DV87)</f>
        <v xml:space="preserve">        </v>
      </c>
      <c r="F86" s="63">
        <f>COUNTIF('Subject-Wise Result'!G84:K84,"S")</f>
        <v>0</v>
      </c>
      <c r="G86" s="120"/>
      <c r="H86" s="120"/>
      <c r="I86" s="120"/>
      <c r="J86" s="120"/>
      <c r="K86" s="120"/>
      <c r="L86" s="120"/>
      <c r="M86" s="120"/>
      <c r="N86" s="120"/>
      <c r="O86" s="63" t="str">
        <f t="shared" si="21"/>
        <v/>
      </c>
      <c r="P86" s="63" t="str">
        <f t="shared" si="22"/>
        <v/>
      </c>
      <c r="Q86" s="63" t="str">
        <f t="shared" si="23"/>
        <v/>
      </c>
      <c r="R86" s="63" t="str">
        <f t="shared" si="24"/>
        <v/>
      </c>
      <c r="S86" s="63" t="str">
        <f t="shared" si="25"/>
        <v/>
      </c>
      <c r="T86" s="63" t="str">
        <f t="shared" si="26"/>
        <v/>
      </c>
      <c r="U86" s="63" t="str">
        <f t="shared" si="27"/>
        <v/>
      </c>
      <c r="V86" s="63" t="str">
        <f t="shared" si="28"/>
        <v/>
      </c>
      <c r="W86" s="63">
        <f t="shared" si="29"/>
        <v>0</v>
      </c>
      <c r="X86" s="63">
        <f t="shared" si="30"/>
        <v>0</v>
      </c>
      <c r="Y86" s="63" t="str">
        <f>IF(F86=0,"",IF(F86&gt;W86,'Subject-Wise Result'!O84,IF(F86&gt;X86,"FAIL","PASS")))</f>
        <v/>
      </c>
    </row>
    <row r="87" spans="1:25" ht="30" customHeight="1" x14ac:dyDescent="0.25">
      <c r="A87" s="39" t="str">
        <f>IF('Statement of Marks'!A88="","",'Statement of Marks'!A88)</f>
        <v/>
      </c>
      <c r="B87" s="39" t="str">
        <f>IF('Statement of Marks'!B88="","",'Statement of Marks'!B88)</f>
        <v/>
      </c>
      <c r="C87" s="39" t="str">
        <f>IF('Statement of Marks'!C88="","",'Statement of Marks'!C88)</f>
        <v/>
      </c>
      <c r="D87" s="40" t="str">
        <f>IF('Statement of Marks'!D88="","",'Statement of Marks'!D88)</f>
        <v/>
      </c>
      <c r="E87" s="39" t="str">
        <f>CONCATENATE('Statement of Marks'!DT88,'Statement of Marks'!DV88)</f>
        <v xml:space="preserve">        </v>
      </c>
      <c r="F87" s="63">
        <f>COUNTIF('Subject-Wise Result'!G85:K85,"S")</f>
        <v>0</v>
      </c>
      <c r="G87" s="120"/>
      <c r="H87" s="120"/>
      <c r="I87" s="120"/>
      <c r="J87" s="120"/>
      <c r="K87" s="120"/>
      <c r="L87" s="120"/>
      <c r="M87" s="120"/>
      <c r="N87" s="120"/>
      <c r="O87" s="63" t="str">
        <f t="shared" si="21"/>
        <v/>
      </c>
      <c r="P87" s="63" t="str">
        <f t="shared" si="22"/>
        <v/>
      </c>
      <c r="Q87" s="63" t="str">
        <f t="shared" si="23"/>
        <v/>
      </c>
      <c r="R87" s="63" t="str">
        <f t="shared" si="24"/>
        <v/>
      </c>
      <c r="S87" s="63" t="str">
        <f t="shared" si="25"/>
        <v/>
      </c>
      <c r="T87" s="63" t="str">
        <f t="shared" si="26"/>
        <v/>
      </c>
      <c r="U87" s="63" t="str">
        <f t="shared" si="27"/>
        <v/>
      </c>
      <c r="V87" s="63" t="str">
        <f t="shared" si="28"/>
        <v/>
      </c>
      <c r="W87" s="63">
        <f t="shared" si="29"/>
        <v>0</v>
      </c>
      <c r="X87" s="63">
        <f t="shared" si="30"/>
        <v>0</v>
      </c>
      <c r="Y87" s="63" t="str">
        <f>IF(F87=0,"",IF(F87&gt;W87,'Subject-Wise Result'!O85,IF(F87&gt;X87,"FAIL","PASS")))</f>
        <v/>
      </c>
    </row>
    <row r="88" spans="1:25" ht="30" customHeight="1" x14ac:dyDescent="0.25">
      <c r="A88" s="39" t="str">
        <f>IF('Statement of Marks'!A89="","",'Statement of Marks'!A89)</f>
        <v/>
      </c>
      <c r="B88" s="39" t="str">
        <f>IF('Statement of Marks'!B89="","",'Statement of Marks'!B89)</f>
        <v/>
      </c>
      <c r="C88" s="39" t="str">
        <f>IF('Statement of Marks'!C89="","",'Statement of Marks'!C89)</f>
        <v/>
      </c>
      <c r="D88" s="40" t="str">
        <f>IF('Statement of Marks'!D89="","",'Statement of Marks'!D89)</f>
        <v/>
      </c>
      <c r="E88" s="39" t="str">
        <f>CONCATENATE('Statement of Marks'!DT89,'Statement of Marks'!DV89)</f>
        <v xml:space="preserve">        </v>
      </c>
      <c r="F88" s="63">
        <f>COUNTIF('Subject-Wise Result'!G86:K86,"S")</f>
        <v>0</v>
      </c>
      <c r="G88" s="120"/>
      <c r="H88" s="120"/>
      <c r="I88" s="120"/>
      <c r="J88" s="120"/>
      <c r="K88" s="120"/>
      <c r="L88" s="120"/>
      <c r="M88" s="120"/>
      <c r="N88" s="120"/>
      <c r="O88" s="63" t="str">
        <f t="shared" si="21"/>
        <v/>
      </c>
      <c r="P88" s="63" t="str">
        <f t="shared" si="22"/>
        <v/>
      </c>
      <c r="Q88" s="63" t="str">
        <f t="shared" si="23"/>
        <v/>
      </c>
      <c r="R88" s="63" t="str">
        <f t="shared" si="24"/>
        <v/>
      </c>
      <c r="S88" s="63" t="str">
        <f t="shared" si="25"/>
        <v/>
      </c>
      <c r="T88" s="63" t="str">
        <f t="shared" si="26"/>
        <v/>
      </c>
      <c r="U88" s="63" t="str">
        <f t="shared" si="27"/>
        <v/>
      </c>
      <c r="V88" s="63" t="str">
        <f t="shared" si="28"/>
        <v/>
      </c>
      <c r="W88" s="63">
        <f t="shared" si="29"/>
        <v>0</v>
      </c>
      <c r="X88" s="63">
        <f t="shared" si="30"/>
        <v>0</v>
      </c>
      <c r="Y88" s="63" t="str">
        <f>IF(F88=0,"",IF(F88&gt;W88,'Subject-Wise Result'!O86,IF(F88&gt;X88,"FAIL","PASS")))</f>
        <v/>
      </c>
    </row>
    <row r="89" spans="1:25" ht="30" customHeight="1" x14ac:dyDescent="0.25">
      <c r="A89" s="39" t="str">
        <f>IF('Statement of Marks'!A90="","",'Statement of Marks'!A90)</f>
        <v/>
      </c>
      <c r="B89" s="39" t="str">
        <f>IF('Statement of Marks'!B90="","",'Statement of Marks'!B90)</f>
        <v/>
      </c>
      <c r="C89" s="39" t="str">
        <f>IF('Statement of Marks'!C90="","",'Statement of Marks'!C90)</f>
        <v/>
      </c>
      <c r="D89" s="40" t="str">
        <f>IF('Statement of Marks'!D90="","",'Statement of Marks'!D90)</f>
        <v/>
      </c>
      <c r="E89" s="39" t="str">
        <f>CONCATENATE('Statement of Marks'!DT90,'Statement of Marks'!DV90)</f>
        <v xml:space="preserve">        </v>
      </c>
      <c r="F89" s="63">
        <f>COUNTIF('Subject-Wise Result'!G87:K87,"S")</f>
        <v>0</v>
      </c>
      <c r="G89" s="120"/>
      <c r="H89" s="120"/>
      <c r="I89" s="120"/>
      <c r="J89" s="120"/>
      <c r="K89" s="120"/>
      <c r="L89" s="120"/>
      <c r="M89" s="120"/>
      <c r="N89" s="120"/>
      <c r="O89" s="63" t="str">
        <f t="shared" si="21"/>
        <v/>
      </c>
      <c r="P89" s="63" t="str">
        <f t="shared" si="22"/>
        <v/>
      </c>
      <c r="Q89" s="63" t="str">
        <f t="shared" si="23"/>
        <v/>
      </c>
      <c r="R89" s="63" t="str">
        <f t="shared" si="24"/>
        <v/>
      </c>
      <c r="S89" s="63" t="str">
        <f t="shared" si="25"/>
        <v/>
      </c>
      <c r="T89" s="63" t="str">
        <f t="shared" si="26"/>
        <v/>
      </c>
      <c r="U89" s="63" t="str">
        <f t="shared" si="27"/>
        <v/>
      </c>
      <c r="V89" s="63" t="str">
        <f t="shared" si="28"/>
        <v/>
      </c>
      <c r="W89" s="63">
        <f t="shared" si="29"/>
        <v>0</v>
      </c>
      <c r="X89" s="63">
        <f t="shared" si="30"/>
        <v>0</v>
      </c>
      <c r="Y89" s="63" t="str">
        <f>IF(F89=0,"",IF(F89&gt;W89,'Subject-Wise Result'!O87,IF(F89&gt;X89,"FAIL","PASS")))</f>
        <v/>
      </c>
    </row>
    <row r="90" spans="1:25" ht="30" customHeight="1" x14ac:dyDescent="0.25">
      <c r="A90" s="39" t="str">
        <f>IF('Statement of Marks'!A91="","",'Statement of Marks'!A91)</f>
        <v/>
      </c>
      <c r="B90" s="39" t="str">
        <f>IF('Statement of Marks'!B91="","",'Statement of Marks'!B91)</f>
        <v/>
      </c>
      <c r="C90" s="39" t="str">
        <f>IF('Statement of Marks'!C91="","",'Statement of Marks'!C91)</f>
        <v/>
      </c>
      <c r="D90" s="40" t="str">
        <f>IF('Statement of Marks'!D91="","",'Statement of Marks'!D91)</f>
        <v/>
      </c>
      <c r="E90" s="39" t="str">
        <f>CONCATENATE('Statement of Marks'!DT91,'Statement of Marks'!DV91)</f>
        <v xml:space="preserve">        </v>
      </c>
      <c r="F90" s="63">
        <f>COUNTIF('Subject-Wise Result'!G88:K88,"S")</f>
        <v>0</v>
      </c>
      <c r="G90" s="120"/>
      <c r="H90" s="120"/>
      <c r="I90" s="120"/>
      <c r="J90" s="120"/>
      <c r="K90" s="120"/>
      <c r="L90" s="120"/>
      <c r="M90" s="120"/>
      <c r="N90" s="120"/>
      <c r="O90" s="63" t="str">
        <f t="shared" si="21"/>
        <v/>
      </c>
      <c r="P90" s="63" t="str">
        <f t="shared" si="22"/>
        <v/>
      </c>
      <c r="Q90" s="63" t="str">
        <f t="shared" si="23"/>
        <v/>
      </c>
      <c r="R90" s="63" t="str">
        <f t="shared" si="24"/>
        <v/>
      </c>
      <c r="S90" s="63" t="str">
        <f t="shared" si="25"/>
        <v/>
      </c>
      <c r="T90" s="63" t="str">
        <f t="shared" si="26"/>
        <v/>
      </c>
      <c r="U90" s="63" t="str">
        <f t="shared" si="27"/>
        <v/>
      </c>
      <c r="V90" s="63" t="str">
        <f t="shared" si="28"/>
        <v/>
      </c>
      <c r="W90" s="63">
        <f t="shared" si="29"/>
        <v>0</v>
      </c>
      <c r="X90" s="63">
        <f t="shared" si="30"/>
        <v>0</v>
      </c>
      <c r="Y90" s="63" t="str">
        <f>IF(F90=0,"",IF(F90&gt;W90,'Subject-Wise Result'!O88,IF(F90&gt;X90,"FAIL","PASS")))</f>
        <v/>
      </c>
    </row>
    <row r="91" spans="1:25" ht="30" customHeight="1" x14ac:dyDescent="0.25">
      <c r="A91" s="39" t="str">
        <f>IF('Statement of Marks'!A92="","",'Statement of Marks'!A92)</f>
        <v/>
      </c>
      <c r="B91" s="39" t="str">
        <f>IF('Statement of Marks'!B92="","",'Statement of Marks'!B92)</f>
        <v/>
      </c>
      <c r="C91" s="39" t="str">
        <f>IF('Statement of Marks'!C92="","",'Statement of Marks'!C92)</f>
        <v/>
      </c>
      <c r="D91" s="40" t="str">
        <f>IF('Statement of Marks'!D92="","",'Statement of Marks'!D92)</f>
        <v/>
      </c>
      <c r="E91" s="39" t="str">
        <f>CONCATENATE('Statement of Marks'!DT92,'Statement of Marks'!DV92)</f>
        <v xml:space="preserve">        </v>
      </c>
      <c r="F91" s="63">
        <f>COUNTIF('Subject-Wise Result'!G89:K89,"S")</f>
        <v>0</v>
      </c>
      <c r="G91" s="120"/>
      <c r="H91" s="120"/>
      <c r="I91" s="120"/>
      <c r="J91" s="120"/>
      <c r="K91" s="120"/>
      <c r="L91" s="120"/>
      <c r="M91" s="120"/>
      <c r="N91" s="120"/>
      <c r="O91" s="63" t="str">
        <f t="shared" si="21"/>
        <v/>
      </c>
      <c r="P91" s="63" t="str">
        <f t="shared" si="22"/>
        <v/>
      </c>
      <c r="Q91" s="63" t="str">
        <f t="shared" si="23"/>
        <v/>
      </c>
      <c r="R91" s="63" t="str">
        <f t="shared" si="24"/>
        <v/>
      </c>
      <c r="S91" s="63" t="str">
        <f t="shared" si="25"/>
        <v/>
      </c>
      <c r="T91" s="63" t="str">
        <f t="shared" si="26"/>
        <v/>
      </c>
      <c r="U91" s="63" t="str">
        <f t="shared" si="27"/>
        <v/>
      </c>
      <c r="V91" s="63" t="str">
        <f t="shared" si="28"/>
        <v/>
      </c>
      <c r="W91" s="63">
        <f t="shared" si="29"/>
        <v>0</v>
      </c>
      <c r="X91" s="63">
        <f t="shared" si="30"/>
        <v>0</v>
      </c>
      <c r="Y91" s="63" t="str">
        <f>IF(F91=0,"",IF(F91&gt;W91,'Subject-Wise Result'!O89,IF(F91&gt;X91,"FAIL","PASS")))</f>
        <v/>
      </c>
    </row>
    <row r="92" spans="1:25" ht="30" customHeight="1" x14ac:dyDescent="0.25">
      <c r="A92" s="39" t="str">
        <f>IF('Statement of Marks'!A93="","",'Statement of Marks'!A93)</f>
        <v/>
      </c>
      <c r="B92" s="39" t="str">
        <f>IF('Statement of Marks'!B93="","",'Statement of Marks'!B93)</f>
        <v/>
      </c>
      <c r="C92" s="39" t="str">
        <f>IF('Statement of Marks'!C93="","",'Statement of Marks'!C93)</f>
        <v/>
      </c>
      <c r="D92" s="40" t="str">
        <f>IF('Statement of Marks'!D93="","",'Statement of Marks'!D93)</f>
        <v/>
      </c>
      <c r="E92" s="39" t="str">
        <f>CONCATENATE('Statement of Marks'!DT93,'Statement of Marks'!DV93)</f>
        <v xml:space="preserve">        </v>
      </c>
      <c r="F92" s="63">
        <f>COUNTIF('Subject-Wise Result'!G90:K90,"S")</f>
        <v>0</v>
      </c>
      <c r="G92" s="120"/>
      <c r="H92" s="120"/>
      <c r="I92" s="120"/>
      <c r="J92" s="120"/>
      <c r="K92" s="120"/>
      <c r="L92" s="120"/>
      <c r="M92" s="120"/>
      <c r="N92" s="120"/>
      <c r="O92" s="63" t="str">
        <f t="shared" si="21"/>
        <v/>
      </c>
      <c r="P92" s="63" t="str">
        <f t="shared" si="22"/>
        <v/>
      </c>
      <c r="Q92" s="63" t="str">
        <f t="shared" si="23"/>
        <v/>
      </c>
      <c r="R92" s="63" t="str">
        <f t="shared" si="24"/>
        <v/>
      </c>
      <c r="S92" s="63" t="str">
        <f t="shared" si="25"/>
        <v/>
      </c>
      <c r="T92" s="63" t="str">
        <f t="shared" si="26"/>
        <v/>
      </c>
      <c r="U92" s="63" t="str">
        <f t="shared" si="27"/>
        <v/>
      </c>
      <c r="V92" s="63" t="str">
        <f t="shared" si="28"/>
        <v/>
      </c>
      <c r="W92" s="63">
        <f t="shared" si="29"/>
        <v>0</v>
      </c>
      <c r="X92" s="63">
        <f t="shared" si="30"/>
        <v>0</v>
      </c>
      <c r="Y92" s="63" t="str">
        <f>IF(F92=0,"",IF(F92&gt;W92,'Subject-Wise Result'!O90,IF(F92&gt;X92,"FAIL","PASS")))</f>
        <v/>
      </c>
    </row>
    <row r="93" spans="1:25" ht="30" customHeight="1" x14ac:dyDescent="0.25">
      <c r="A93" s="39" t="str">
        <f>IF('Statement of Marks'!A94="","",'Statement of Marks'!A94)</f>
        <v/>
      </c>
      <c r="B93" s="39" t="str">
        <f>IF('Statement of Marks'!B94="","",'Statement of Marks'!B94)</f>
        <v/>
      </c>
      <c r="C93" s="39" t="str">
        <f>IF('Statement of Marks'!C94="","",'Statement of Marks'!C94)</f>
        <v/>
      </c>
      <c r="D93" s="40" t="str">
        <f>IF('Statement of Marks'!D94="","",'Statement of Marks'!D94)</f>
        <v/>
      </c>
      <c r="E93" s="39" t="str">
        <f>CONCATENATE('Statement of Marks'!DT94,'Statement of Marks'!DV94)</f>
        <v xml:space="preserve">        </v>
      </c>
      <c r="F93" s="63">
        <f>COUNTIF('Subject-Wise Result'!G91:K91,"S")</f>
        <v>0</v>
      </c>
      <c r="G93" s="120"/>
      <c r="H93" s="120"/>
      <c r="I93" s="120"/>
      <c r="J93" s="120"/>
      <c r="K93" s="120"/>
      <c r="L93" s="120"/>
      <c r="M93" s="120"/>
      <c r="N93" s="120"/>
      <c r="O93" s="63" t="str">
        <f t="shared" si="21"/>
        <v/>
      </c>
      <c r="P93" s="63" t="str">
        <f t="shared" si="22"/>
        <v/>
      </c>
      <c r="Q93" s="63" t="str">
        <f t="shared" si="23"/>
        <v/>
      </c>
      <c r="R93" s="63" t="str">
        <f t="shared" si="24"/>
        <v/>
      </c>
      <c r="S93" s="63" t="str">
        <f t="shared" si="25"/>
        <v/>
      </c>
      <c r="T93" s="63" t="str">
        <f t="shared" si="26"/>
        <v/>
      </c>
      <c r="U93" s="63" t="str">
        <f t="shared" si="27"/>
        <v/>
      </c>
      <c r="V93" s="63" t="str">
        <f t="shared" si="28"/>
        <v/>
      </c>
      <c r="W93" s="63">
        <f t="shared" si="29"/>
        <v>0</v>
      </c>
      <c r="X93" s="63">
        <f t="shared" si="30"/>
        <v>0</v>
      </c>
      <c r="Y93" s="63" t="str">
        <f>IF(F93=0,"",IF(F93&gt;W93,'Subject-Wise Result'!O91,IF(F93&gt;X93,"FAIL","PASS")))</f>
        <v/>
      </c>
    </row>
    <row r="94" spans="1:25" ht="30" customHeight="1" x14ac:dyDescent="0.25">
      <c r="A94" s="39" t="str">
        <f>IF('Statement of Marks'!A95="","",'Statement of Marks'!A95)</f>
        <v/>
      </c>
      <c r="B94" s="39" t="str">
        <f>IF('Statement of Marks'!B95="","",'Statement of Marks'!B95)</f>
        <v/>
      </c>
      <c r="C94" s="39" t="str">
        <f>IF('Statement of Marks'!C95="","",'Statement of Marks'!C95)</f>
        <v/>
      </c>
      <c r="D94" s="40" t="str">
        <f>IF('Statement of Marks'!D95="","",'Statement of Marks'!D95)</f>
        <v/>
      </c>
      <c r="E94" s="39" t="str">
        <f>CONCATENATE('Statement of Marks'!DT95,'Statement of Marks'!DV95)</f>
        <v xml:space="preserve">        </v>
      </c>
      <c r="F94" s="63">
        <f>COUNTIF('Subject-Wise Result'!G92:K92,"S")</f>
        <v>0</v>
      </c>
      <c r="G94" s="120"/>
      <c r="H94" s="120"/>
      <c r="I94" s="120"/>
      <c r="J94" s="120"/>
      <c r="K94" s="120"/>
      <c r="L94" s="120"/>
      <c r="M94" s="120"/>
      <c r="N94" s="120"/>
      <c r="O94" s="63" t="str">
        <f t="shared" si="21"/>
        <v/>
      </c>
      <c r="P94" s="63" t="str">
        <f t="shared" si="22"/>
        <v/>
      </c>
      <c r="Q94" s="63" t="str">
        <f t="shared" si="23"/>
        <v/>
      </c>
      <c r="R94" s="63" t="str">
        <f t="shared" si="24"/>
        <v/>
      </c>
      <c r="S94" s="63" t="str">
        <f t="shared" si="25"/>
        <v/>
      </c>
      <c r="T94" s="63" t="str">
        <f t="shared" si="26"/>
        <v/>
      </c>
      <c r="U94" s="63" t="str">
        <f t="shared" si="27"/>
        <v/>
      </c>
      <c r="V94" s="63" t="str">
        <f t="shared" si="28"/>
        <v/>
      </c>
      <c r="W94" s="63">
        <f t="shared" si="29"/>
        <v>0</v>
      </c>
      <c r="X94" s="63">
        <f t="shared" si="30"/>
        <v>0</v>
      </c>
      <c r="Y94" s="63" t="str">
        <f>IF(F94=0,"",IF(F94&gt;W94,'Subject-Wise Result'!O92,IF(F94&gt;X94,"FAIL","PASS")))</f>
        <v/>
      </c>
    </row>
    <row r="95" spans="1:25" ht="30" customHeight="1" x14ac:dyDescent="0.25">
      <c r="A95" s="39" t="str">
        <f>IF('Statement of Marks'!A96="","",'Statement of Marks'!A96)</f>
        <v/>
      </c>
      <c r="B95" s="39" t="str">
        <f>IF('Statement of Marks'!B96="","",'Statement of Marks'!B96)</f>
        <v/>
      </c>
      <c r="C95" s="39" t="str">
        <f>IF('Statement of Marks'!C96="","",'Statement of Marks'!C96)</f>
        <v/>
      </c>
      <c r="D95" s="40" t="str">
        <f>IF('Statement of Marks'!D96="","",'Statement of Marks'!D96)</f>
        <v/>
      </c>
      <c r="E95" s="39" t="str">
        <f>CONCATENATE('Statement of Marks'!DT96,'Statement of Marks'!DV96)</f>
        <v xml:space="preserve">        </v>
      </c>
      <c r="F95" s="63">
        <f>COUNTIF('Subject-Wise Result'!G93:K93,"S")</f>
        <v>0</v>
      </c>
      <c r="G95" s="120"/>
      <c r="H95" s="120"/>
      <c r="I95" s="120"/>
      <c r="J95" s="120"/>
      <c r="K95" s="120"/>
      <c r="L95" s="120"/>
      <c r="M95" s="120"/>
      <c r="N95" s="120"/>
      <c r="O95" s="63" t="str">
        <f t="shared" si="21"/>
        <v/>
      </c>
      <c r="P95" s="63" t="str">
        <f t="shared" si="22"/>
        <v/>
      </c>
      <c r="Q95" s="63" t="str">
        <f t="shared" si="23"/>
        <v/>
      </c>
      <c r="R95" s="63" t="str">
        <f t="shared" si="24"/>
        <v/>
      </c>
      <c r="S95" s="63" t="str">
        <f t="shared" si="25"/>
        <v/>
      </c>
      <c r="T95" s="63" t="str">
        <f t="shared" si="26"/>
        <v/>
      </c>
      <c r="U95" s="63" t="str">
        <f t="shared" si="27"/>
        <v/>
      </c>
      <c r="V95" s="63" t="str">
        <f t="shared" si="28"/>
        <v/>
      </c>
      <c r="W95" s="63">
        <f t="shared" si="29"/>
        <v>0</v>
      </c>
      <c r="X95" s="63">
        <f t="shared" si="30"/>
        <v>0</v>
      </c>
      <c r="Y95" s="63" t="str">
        <f>IF(F95=0,"",IF(F95&gt;W95,'Subject-Wise Result'!O93,IF(F95&gt;X95,"FAIL","PASS")))</f>
        <v/>
      </c>
    </row>
    <row r="96" spans="1:25" ht="30" customHeight="1" x14ac:dyDescent="0.25">
      <c r="A96" s="39" t="str">
        <f>IF('Statement of Marks'!A97="","",'Statement of Marks'!A97)</f>
        <v/>
      </c>
      <c r="B96" s="39" t="str">
        <f>IF('Statement of Marks'!B97="","",'Statement of Marks'!B97)</f>
        <v/>
      </c>
      <c r="C96" s="39" t="str">
        <f>IF('Statement of Marks'!C97="","",'Statement of Marks'!C97)</f>
        <v/>
      </c>
      <c r="D96" s="40" t="str">
        <f>IF('Statement of Marks'!D97="","",'Statement of Marks'!D97)</f>
        <v/>
      </c>
      <c r="E96" s="39" t="str">
        <f>CONCATENATE('Statement of Marks'!DT97,'Statement of Marks'!DV97)</f>
        <v xml:space="preserve">        </v>
      </c>
      <c r="F96" s="63">
        <f>COUNTIF('Subject-Wise Result'!G94:K94,"S")</f>
        <v>0</v>
      </c>
      <c r="G96" s="120"/>
      <c r="H96" s="120"/>
      <c r="I96" s="120"/>
      <c r="J96" s="120"/>
      <c r="K96" s="120"/>
      <c r="L96" s="120"/>
      <c r="M96" s="120"/>
      <c r="N96" s="120"/>
      <c r="O96" s="63" t="str">
        <f t="shared" si="21"/>
        <v/>
      </c>
      <c r="P96" s="63" t="str">
        <f t="shared" si="22"/>
        <v/>
      </c>
      <c r="Q96" s="63" t="str">
        <f t="shared" si="23"/>
        <v/>
      </c>
      <c r="R96" s="63" t="str">
        <f t="shared" si="24"/>
        <v/>
      </c>
      <c r="S96" s="63" t="str">
        <f t="shared" si="25"/>
        <v/>
      </c>
      <c r="T96" s="63" t="str">
        <f t="shared" si="26"/>
        <v/>
      </c>
      <c r="U96" s="63" t="str">
        <f t="shared" si="27"/>
        <v/>
      </c>
      <c r="V96" s="63" t="str">
        <f t="shared" si="28"/>
        <v/>
      </c>
      <c r="W96" s="63">
        <f t="shared" si="29"/>
        <v>0</v>
      </c>
      <c r="X96" s="63">
        <f t="shared" si="30"/>
        <v>0</v>
      </c>
      <c r="Y96" s="63" t="str">
        <f>IF(F96=0,"",IF(F96&gt;W96,'Subject-Wise Result'!O94,IF(F96&gt;X96,"FAIL","PASS")))</f>
        <v/>
      </c>
    </row>
    <row r="97" spans="1:25" ht="30" customHeight="1" x14ac:dyDescent="0.25">
      <c r="A97" s="39" t="str">
        <f>IF('Statement of Marks'!A98="","",'Statement of Marks'!A98)</f>
        <v/>
      </c>
      <c r="B97" s="39" t="str">
        <f>IF('Statement of Marks'!B98="","",'Statement of Marks'!B98)</f>
        <v/>
      </c>
      <c r="C97" s="39" t="str">
        <f>IF('Statement of Marks'!C98="","",'Statement of Marks'!C98)</f>
        <v/>
      </c>
      <c r="D97" s="40" t="str">
        <f>IF('Statement of Marks'!D98="","",'Statement of Marks'!D98)</f>
        <v/>
      </c>
      <c r="E97" s="39" t="str">
        <f>CONCATENATE('Statement of Marks'!DT98,'Statement of Marks'!DV98)</f>
        <v xml:space="preserve">        </v>
      </c>
      <c r="F97" s="63">
        <f>COUNTIF('Subject-Wise Result'!G95:K95,"S")</f>
        <v>0</v>
      </c>
      <c r="G97" s="120"/>
      <c r="H97" s="120"/>
      <c r="I97" s="120"/>
      <c r="J97" s="120"/>
      <c r="K97" s="120"/>
      <c r="L97" s="120"/>
      <c r="M97" s="120"/>
      <c r="N97" s="120"/>
      <c r="O97" s="63" t="str">
        <f t="shared" si="21"/>
        <v/>
      </c>
      <c r="P97" s="63" t="str">
        <f t="shared" si="22"/>
        <v/>
      </c>
      <c r="Q97" s="63" t="str">
        <f t="shared" si="23"/>
        <v/>
      </c>
      <c r="R97" s="63" t="str">
        <f t="shared" si="24"/>
        <v/>
      </c>
      <c r="S97" s="63" t="str">
        <f t="shared" si="25"/>
        <v/>
      </c>
      <c r="T97" s="63" t="str">
        <f t="shared" si="26"/>
        <v/>
      </c>
      <c r="U97" s="63" t="str">
        <f t="shared" si="27"/>
        <v/>
      </c>
      <c r="V97" s="63" t="str">
        <f t="shared" si="28"/>
        <v/>
      </c>
      <c r="W97" s="63">
        <f t="shared" si="29"/>
        <v>0</v>
      </c>
      <c r="X97" s="63">
        <f t="shared" si="30"/>
        <v>0</v>
      </c>
      <c r="Y97" s="63" t="str">
        <f>IF(F97=0,"",IF(F97&gt;W97,'Subject-Wise Result'!O95,IF(F97&gt;X97,"FAIL","PASS")))</f>
        <v/>
      </c>
    </row>
    <row r="98" spans="1:25" ht="30" customHeight="1" x14ac:dyDescent="0.25">
      <c r="A98" s="39" t="str">
        <f>IF('Statement of Marks'!A99="","",'Statement of Marks'!A99)</f>
        <v/>
      </c>
      <c r="B98" s="39" t="str">
        <f>IF('Statement of Marks'!B99="","",'Statement of Marks'!B99)</f>
        <v/>
      </c>
      <c r="C98" s="39" t="str">
        <f>IF('Statement of Marks'!C99="","",'Statement of Marks'!C99)</f>
        <v/>
      </c>
      <c r="D98" s="40" t="str">
        <f>IF('Statement of Marks'!D99="","",'Statement of Marks'!D99)</f>
        <v/>
      </c>
      <c r="E98" s="39" t="str">
        <f>CONCATENATE('Statement of Marks'!DT99,'Statement of Marks'!DV99)</f>
        <v xml:space="preserve">        </v>
      </c>
      <c r="F98" s="63">
        <f>COUNTIF('Subject-Wise Result'!G96:K96,"S")</f>
        <v>0</v>
      </c>
      <c r="G98" s="120"/>
      <c r="H98" s="120"/>
      <c r="I98" s="120"/>
      <c r="J98" s="120"/>
      <c r="K98" s="120"/>
      <c r="L98" s="120"/>
      <c r="M98" s="120"/>
      <c r="N98" s="120"/>
      <c r="O98" s="63" t="str">
        <f t="shared" si="21"/>
        <v/>
      </c>
      <c r="P98" s="63" t="str">
        <f t="shared" si="22"/>
        <v/>
      </c>
      <c r="Q98" s="63" t="str">
        <f t="shared" si="23"/>
        <v/>
      </c>
      <c r="R98" s="63" t="str">
        <f t="shared" si="24"/>
        <v/>
      </c>
      <c r="S98" s="63" t="str">
        <f t="shared" si="25"/>
        <v/>
      </c>
      <c r="T98" s="63" t="str">
        <f t="shared" si="26"/>
        <v/>
      </c>
      <c r="U98" s="63" t="str">
        <f t="shared" si="27"/>
        <v/>
      </c>
      <c r="V98" s="63" t="str">
        <f t="shared" si="28"/>
        <v/>
      </c>
      <c r="W98" s="63">
        <f t="shared" si="29"/>
        <v>0</v>
      </c>
      <c r="X98" s="63">
        <f t="shared" si="30"/>
        <v>0</v>
      </c>
      <c r="Y98" s="63" t="str">
        <f>IF(F98=0,"",IF(F98&gt;W98,'Subject-Wise Result'!O96,IF(F98&gt;X98,"FAIL","PASS")))</f>
        <v/>
      </c>
    </row>
    <row r="99" spans="1:25" ht="30" customHeight="1" x14ac:dyDescent="0.25">
      <c r="A99" s="39" t="str">
        <f>IF('Statement of Marks'!A100="","",'Statement of Marks'!A100)</f>
        <v/>
      </c>
      <c r="B99" s="39" t="str">
        <f>IF('Statement of Marks'!B100="","",'Statement of Marks'!B100)</f>
        <v/>
      </c>
      <c r="C99" s="39" t="str">
        <f>IF('Statement of Marks'!C100="","",'Statement of Marks'!C100)</f>
        <v/>
      </c>
      <c r="D99" s="40" t="str">
        <f>IF('Statement of Marks'!D100="","",'Statement of Marks'!D100)</f>
        <v/>
      </c>
      <c r="E99" s="39" t="str">
        <f>CONCATENATE('Statement of Marks'!DT100,'Statement of Marks'!DV100)</f>
        <v xml:space="preserve">        </v>
      </c>
      <c r="F99" s="63">
        <f>COUNTIF('Subject-Wise Result'!G97:K97,"S")</f>
        <v>0</v>
      </c>
      <c r="G99" s="120"/>
      <c r="H99" s="120"/>
      <c r="I99" s="120"/>
      <c r="J99" s="120"/>
      <c r="K99" s="120"/>
      <c r="L99" s="120"/>
      <c r="M99" s="120"/>
      <c r="N99" s="120"/>
      <c r="O99" s="63" t="str">
        <f t="shared" si="21"/>
        <v/>
      </c>
      <c r="P99" s="63" t="str">
        <f t="shared" si="22"/>
        <v/>
      </c>
      <c r="Q99" s="63" t="str">
        <f t="shared" si="23"/>
        <v/>
      </c>
      <c r="R99" s="63" t="str">
        <f t="shared" si="24"/>
        <v/>
      </c>
      <c r="S99" s="63" t="str">
        <f t="shared" si="25"/>
        <v/>
      </c>
      <c r="T99" s="63" t="str">
        <f t="shared" si="26"/>
        <v/>
      </c>
      <c r="U99" s="63" t="str">
        <f t="shared" si="27"/>
        <v/>
      </c>
      <c r="V99" s="63" t="str">
        <f t="shared" si="28"/>
        <v/>
      </c>
      <c r="W99" s="63">
        <f t="shared" si="29"/>
        <v>0</v>
      </c>
      <c r="X99" s="63">
        <f t="shared" si="30"/>
        <v>0</v>
      </c>
      <c r="Y99" s="63" t="str">
        <f>IF(F99=0,"",IF(F99&gt;W99,'Subject-Wise Result'!O97,IF(F99&gt;X99,"FAIL","PASS")))</f>
        <v/>
      </c>
    </row>
    <row r="100" spans="1:25" ht="30" customHeight="1" x14ac:dyDescent="0.25">
      <c r="A100" s="39" t="str">
        <f>IF('Statement of Marks'!A101="","",'Statement of Marks'!A101)</f>
        <v/>
      </c>
      <c r="B100" s="39" t="str">
        <f>IF('Statement of Marks'!B101="","",'Statement of Marks'!B101)</f>
        <v/>
      </c>
      <c r="C100" s="39" t="str">
        <f>IF('Statement of Marks'!C101="","",'Statement of Marks'!C101)</f>
        <v/>
      </c>
      <c r="D100" s="40" t="str">
        <f>IF('Statement of Marks'!D101="","",'Statement of Marks'!D101)</f>
        <v/>
      </c>
      <c r="E100" s="39" t="str">
        <f>CONCATENATE('Statement of Marks'!DT101,'Statement of Marks'!DV101)</f>
        <v xml:space="preserve">        </v>
      </c>
      <c r="F100" s="63">
        <f>COUNTIF('Subject-Wise Result'!G98:K98,"S")</f>
        <v>0</v>
      </c>
      <c r="G100" s="120"/>
      <c r="H100" s="120"/>
      <c r="I100" s="120"/>
      <c r="J100" s="120"/>
      <c r="K100" s="120"/>
      <c r="L100" s="120"/>
      <c r="M100" s="120"/>
      <c r="N100" s="120"/>
      <c r="O100" s="63" t="str">
        <f t="shared" si="21"/>
        <v/>
      </c>
      <c r="P100" s="63" t="str">
        <f t="shared" si="22"/>
        <v/>
      </c>
      <c r="Q100" s="63" t="str">
        <f t="shared" si="23"/>
        <v/>
      </c>
      <c r="R100" s="63" t="str">
        <f t="shared" si="24"/>
        <v/>
      </c>
      <c r="S100" s="63" t="str">
        <f t="shared" si="25"/>
        <v/>
      </c>
      <c r="T100" s="63" t="str">
        <f t="shared" si="26"/>
        <v/>
      </c>
      <c r="U100" s="63" t="str">
        <f t="shared" si="27"/>
        <v/>
      </c>
      <c r="V100" s="63" t="str">
        <f t="shared" si="28"/>
        <v/>
      </c>
      <c r="W100" s="63">
        <f t="shared" si="29"/>
        <v>0</v>
      </c>
      <c r="X100" s="63">
        <f t="shared" si="30"/>
        <v>0</v>
      </c>
      <c r="Y100" s="63" t="str">
        <f>IF(F100=0,"",IF(F100&gt;W100,'Subject-Wise Result'!O98,IF(F100&gt;X100,"FAIL","PASS")))</f>
        <v/>
      </c>
    </row>
    <row r="101" spans="1:25" ht="30" customHeight="1" x14ac:dyDescent="0.25">
      <c r="A101" s="39" t="str">
        <f>IF('Statement of Marks'!A102="","",'Statement of Marks'!A102)</f>
        <v/>
      </c>
      <c r="B101" s="39" t="str">
        <f>IF('Statement of Marks'!B102="","",'Statement of Marks'!B102)</f>
        <v/>
      </c>
      <c r="C101" s="39" t="str">
        <f>IF('Statement of Marks'!C102="","",'Statement of Marks'!C102)</f>
        <v/>
      </c>
      <c r="D101" s="40" t="str">
        <f>IF('Statement of Marks'!D102="","",'Statement of Marks'!D102)</f>
        <v/>
      </c>
      <c r="E101" s="39" t="str">
        <f>CONCATENATE('Statement of Marks'!DT102,'Statement of Marks'!DV102)</f>
        <v xml:space="preserve">        </v>
      </c>
      <c r="F101" s="63">
        <f>COUNTIF('Subject-Wise Result'!G99:K99,"S")</f>
        <v>0</v>
      </c>
      <c r="G101" s="120"/>
      <c r="H101" s="120"/>
      <c r="I101" s="120"/>
      <c r="J101" s="120"/>
      <c r="K101" s="120"/>
      <c r="L101" s="120"/>
      <c r="M101" s="120"/>
      <c r="N101" s="120"/>
      <c r="O101" s="63" t="str">
        <f t="shared" si="21"/>
        <v/>
      </c>
      <c r="P101" s="63" t="str">
        <f t="shared" si="22"/>
        <v/>
      </c>
      <c r="Q101" s="63" t="str">
        <f t="shared" si="23"/>
        <v/>
      </c>
      <c r="R101" s="63" t="str">
        <f t="shared" si="24"/>
        <v/>
      </c>
      <c r="S101" s="63" t="str">
        <f t="shared" si="25"/>
        <v/>
      </c>
      <c r="T101" s="63" t="str">
        <f t="shared" si="26"/>
        <v/>
      </c>
      <c r="U101" s="63" t="str">
        <f t="shared" si="27"/>
        <v/>
      </c>
      <c r="V101" s="63" t="str">
        <f t="shared" si="28"/>
        <v/>
      </c>
      <c r="W101" s="63">
        <f t="shared" si="29"/>
        <v>0</v>
      </c>
      <c r="X101" s="63">
        <f t="shared" si="30"/>
        <v>0</v>
      </c>
      <c r="Y101" s="63" t="str">
        <f>IF(F101=0,"",IF(F101&gt;W101,'Subject-Wise Result'!O99,IF(F101&gt;X101,"FAIL","PASS")))</f>
        <v/>
      </c>
    </row>
    <row r="102" spans="1:25" ht="30" customHeight="1" x14ac:dyDescent="0.25">
      <c r="A102" s="39" t="str">
        <f>IF('Statement of Marks'!A103="","",'Statement of Marks'!A103)</f>
        <v/>
      </c>
      <c r="B102" s="39" t="str">
        <f>IF('Statement of Marks'!B103="","",'Statement of Marks'!B103)</f>
        <v/>
      </c>
      <c r="C102" s="39" t="str">
        <f>IF('Statement of Marks'!C103="","",'Statement of Marks'!C103)</f>
        <v/>
      </c>
      <c r="D102" s="40" t="str">
        <f>IF('Statement of Marks'!D103="","",'Statement of Marks'!D103)</f>
        <v/>
      </c>
      <c r="E102" s="39" t="str">
        <f>CONCATENATE('Statement of Marks'!DT103,'Statement of Marks'!DV103)</f>
        <v xml:space="preserve">        </v>
      </c>
      <c r="F102" s="63">
        <f>COUNTIF('Subject-Wise Result'!G100:K100,"S")</f>
        <v>0</v>
      </c>
      <c r="G102" s="120"/>
      <c r="H102" s="120"/>
      <c r="I102" s="120"/>
      <c r="J102" s="120"/>
      <c r="K102" s="120"/>
      <c r="L102" s="120"/>
      <c r="M102" s="120"/>
      <c r="N102" s="120"/>
      <c r="O102" s="63" t="str">
        <f t="shared" si="21"/>
        <v/>
      </c>
      <c r="P102" s="63" t="str">
        <f t="shared" si="22"/>
        <v/>
      </c>
      <c r="Q102" s="63" t="str">
        <f t="shared" si="23"/>
        <v/>
      </c>
      <c r="R102" s="63" t="str">
        <f t="shared" si="24"/>
        <v/>
      </c>
      <c r="S102" s="63" t="str">
        <f t="shared" si="25"/>
        <v/>
      </c>
      <c r="T102" s="63" t="str">
        <f t="shared" si="26"/>
        <v/>
      </c>
      <c r="U102" s="63" t="str">
        <f t="shared" si="27"/>
        <v/>
      </c>
      <c r="V102" s="63" t="str">
        <f t="shared" si="28"/>
        <v/>
      </c>
      <c r="W102" s="63">
        <f t="shared" si="29"/>
        <v>0</v>
      </c>
      <c r="X102" s="63">
        <f t="shared" si="30"/>
        <v>0</v>
      </c>
      <c r="Y102" s="63" t="str">
        <f>IF(F102=0,"",IF(F102&gt;W102,'Subject-Wise Result'!O100,IF(F102&gt;X102,"FAIL","PASS")))</f>
        <v/>
      </c>
    </row>
    <row r="103" spans="1:25" ht="30" customHeight="1" x14ac:dyDescent="0.25">
      <c r="A103" s="39" t="str">
        <f>IF('Statement of Marks'!A104="","",'Statement of Marks'!A104)</f>
        <v/>
      </c>
      <c r="B103" s="39" t="str">
        <f>IF('Statement of Marks'!B104="","",'Statement of Marks'!B104)</f>
        <v/>
      </c>
      <c r="C103" s="39" t="str">
        <f>IF('Statement of Marks'!C104="","",'Statement of Marks'!C104)</f>
        <v/>
      </c>
      <c r="D103" s="40" t="str">
        <f>IF('Statement of Marks'!D104="","",'Statement of Marks'!D104)</f>
        <v/>
      </c>
      <c r="E103" s="39" t="str">
        <f>CONCATENATE('Statement of Marks'!DT104,'Statement of Marks'!DV104)</f>
        <v xml:space="preserve">        </v>
      </c>
      <c r="F103" s="63">
        <f>COUNTIF('Subject-Wise Result'!G101:K101,"S")</f>
        <v>0</v>
      </c>
      <c r="G103" s="120"/>
      <c r="H103" s="120"/>
      <c r="I103" s="120"/>
      <c r="J103" s="120"/>
      <c r="K103" s="120"/>
      <c r="L103" s="120"/>
      <c r="M103" s="120"/>
      <c r="N103" s="120"/>
      <c r="O103" s="63" t="str">
        <f t="shared" si="21"/>
        <v/>
      </c>
      <c r="P103" s="63" t="str">
        <f t="shared" si="22"/>
        <v/>
      </c>
      <c r="Q103" s="63" t="str">
        <f t="shared" si="23"/>
        <v/>
      </c>
      <c r="R103" s="63" t="str">
        <f t="shared" si="24"/>
        <v/>
      </c>
      <c r="S103" s="63" t="str">
        <f t="shared" si="25"/>
        <v/>
      </c>
      <c r="T103" s="63" t="str">
        <f t="shared" si="26"/>
        <v/>
      </c>
      <c r="U103" s="63" t="str">
        <f t="shared" si="27"/>
        <v/>
      </c>
      <c r="V103" s="63" t="str">
        <f t="shared" si="28"/>
        <v/>
      </c>
      <c r="W103" s="63">
        <f t="shared" si="29"/>
        <v>0</v>
      </c>
      <c r="X103" s="63">
        <f t="shared" si="30"/>
        <v>0</v>
      </c>
      <c r="Y103" s="63" t="str">
        <f>IF(F103=0,"",IF(F103&gt;W103,'Subject-Wise Result'!O101,IF(F103&gt;X103,"FAIL","PASS")))</f>
        <v/>
      </c>
    </row>
    <row r="104" spans="1:25" ht="30" customHeight="1" x14ac:dyDescent="0.25">
      <c r="A104" s="39" t="str">
        <f>IF('Statement of Marks'!A105="","",'Statement of Marks'!A105)</f>
        <v/>
      </c>
      <c r="B104" s="39" t="str">
        <f>IF('Statement of Marks'!B105="","",'Statement of Marks'!B105)</f>
        <v/>
      </c>
      <c r="C104" s="39" t="str">
        <f>IF('Statement of Marks'!C105="","",'Statement of Marks'!C105)</f>
        <v/>
      </c>
      <c r="D104" s="40" t="str">
        <f>IF('Statement of Marks'!D105="","",'Statement of Marks'!D105)</f>
        <v/>
      </c>
      <c r="E104" s="39" t="str">
        <f>CONCATENATE('Statement of Marks'!DT105,'Statement of Marks'!DV105)</f>
        <v xml:space="preserve">        </v>
      </c>
      <c r="F104" s="63">
        <f>COUNTIF('Subject-Wise Result'!G102:K102,"S")</f>
        <v>0</v>
      </c>
      <c r="G104" s="120"/>
      <c r="H104" s="120"/>
      <c r="I104" s="120"/>
      <c r="J104" s="120"/>
      <c r="K104" s="120"/>
      <c r="L104" s="120"/>
      <c r="M104" s="120"/>
      <c r="N104" s="120"/>
      <c r="O104" s="63" t="str">
        <f t="shared" si="21"/>
        <v/>
      </c>
      <c r="P104" s="63" t="str">
        <f t="shared" si="22"/>
        <v/>
      </c>
      <c r="Q104" s="63" t="str">
        <f t="shared" si="23"/>
        <v/>
      </c>
      <c r="R104" s="63" t="str">
        <f t="shared" si="24"/>
        <v/>
      </c>
      <c r="S104" s="63" t="str">
        <f t="shared" si="25"/>
        <v/>
      </c>
      <c r="T104" s="63" t="str">
        <f t="shared" si="26"/>
        <v/>
      </c>
      <c r="U104" s="63" t="str">
        <f t="shared" si="27"/>
        <v/>
      </c>
      <c r="V104" s="63" t="str">
        <f t="shared" si="28"/>
        <v/>
      </c>
      <c r="W104" s="63">
        <f t="shared" si="29"/>
        <v>0</v>
      </c>
      <c r="X104" s="63">
        <f t="shared" si="30"/>
        <v>0</v>
      </c>
      <c r="Y104" s="63" t="str">
        <f>IF(F104=0,"",IF(F104&gt;W104,'Subject-Wise Result'!O102,IF(F104&gt;X104,"FAIL","PASS")))</f>
        <v/>
      </c>
    </row>
    <row r="105" spans="1:25" ht="30" customHeight="1" x14ac:dyDescent="0.25">
      <c r="A105" s="39" t="str">
        <f>IF('Statement of Marks'!A106="","",'Statement of Marks'!A106)</f>
        <v/>
      </c>
      <c r="B105" s="39" t="str">
        <f>IF('Statement of Marks'!B106="","",'Statement of Marks'!B106)</f>
        <v/>
      </c>
      <c r="C105" s="39" t="str">
        <f>IF('Statement of Marks'!C106="","",'Statement of Marks'!C106)</f>
        <v/>
      </c>
      <c r="D105" s="40" t="str">
        <f>IF('Statement of Marks'!D106="","",'Statement of Marks'!D106)</f>
        <v/>
      </c>
      <c r="E105" s="39" t="str">
        <f>CONCATENATE('Statement of Marks'!DT106,'Statement of Marks'!DV106)</f>
        <v xml:space="preserve">        </v>
      </c>
      <c r="F105" s="63">
        <f>COUNTIF('Subject-Wise Result'!G103:K103,"S")</f>
        <v>0</v>
      </c>
      <c r="G105" s="120"/>
      <c r="H105" s="120"/>
      <c r="I105" s="120"/>
      <c r="J105" s="120"/>
      <c r="K105" s="120"/>
      <c r="L105" s="120"/>
      <c r="M105" s="120"/>
      <c r="N105" s="120"/>
      <c r="O105" s="63" t="str">
        <f t="shared" si="21"/>
        <v/>
      </c>
      <c r="P105" s="63" t="str">
        <f t="shared" si="22"/>
        <v/>
      </c>
      <c r="Q105" s="63" t="str">
        <f t="shared" si="23"/>
        <v/>
      </c>
      <c r="R105" s="63" t="str">
        <f t="shared" si="24"/>
        <v/>
      </c>
      <c r="S105" s="63" t="str">
        <f t="shared" si="25"/>
        <v/>
      </c>
      <c r="T105" s="63" t="str">
        <f t="shared" si="26"/>
        <v/>
      </c>
      <c r="U105" s="63" t="str">
        <f t="shared" si="27"/>
        <v/>
      </c>
      <c r="V105" s="63" t="str">
        <f t="shared" si="28"/>
        <v/>
      </c>
      <c r="W105" s="63">
        <f t="shared" si="29"/>
        <v>0</v>
      </c>
      <c r="X105" s="63">
        <f t="shared" si="30"/>
        <v>0</v>
      </c>
      <c r="Y105" s="63" t="str">
        <f>IF(F105=0,"",IF(F105&gt;W105,'Subject-Wise Result'!O103,IF(F105&gt;X105,"FAIL","PASS")))</f>
        <v/>
      </c>
    </row>
    <row r="106" spans="1:25" ht="30" customHeight="1" x14ac:dyDescent="0.25">
      <c r="A106" s="39" t="str">
        <f>IF('Statement of Marks'!A107="","",'Statement of Marks'!A107)</f>
        <v/>
      </c>
      <c r="B106" s="39" t="str">
        <f>IF('Statement of Marks'!B107="","",'Statement of Marks'!B107)</f>
        <v/>
      </c>
      <c r="C106" s="39" t="str">
        <f>IF('Statement of Marks'!C107="","",'Statement of Marks'!C107)</f>
        <v/>
      </c>
      <c r="D106" s="40" t="str">
        <f>IF('Statement of Marks'!D107="","",'Statement of Marks'!D107)</f>
        <v/>
      </c>
      <c r="E106" s="39" t="str">
        <f>CONCATENATE('Statement of Marks'!DT107,'Statement of Marks'!DV107)</f>
        <v xml:space="preserve">        </v>
      </c>
      <c r="F106" s="63">
        <f>COUNTIF('Subject-Wise Result'!G104:K104,"S")</f>
        <v>0</v>
      </c>
      <c r="G106" s="120"/>
      <c r="H106" s="120"/>
      <c r="I106" s="120"/>
      <c r="J106" s="120"/>
      <c r="K106" s="120"/>
      <c r="L106" s="120"/>
      <c r="M106" s="120"/>
      <c r="N106" s="120"/>
      <c r="O106" s="63" t="str">
        <f t="shared" si="21"/>
        <v/>
      </c>
      <c r="P106" s="63" t="str">
        <f t="shared" si="22"/>
        <v/>
      </c>
      <c r="Q106" s="63" t="str">
        <f t="shared" si="23"/>
        <v/>
      </c>
      <c r="R106" s="63" t="str">
        <f t="shared" si="24"/>
        <v/>
      </c>
      <c r="S106" s="63" t="str">
        <f t="shared" si="25"/>
        <v/>
      </c>
      <c r="T106" s="63" t="str">
        <f t="shared" si="26"/>
        <v/>
      </c>
      <c r="U106" s="63" t="str">
        <f t="shared" si="27"/>
        <v/>
      </c>
      <c r="V106" s="63" t="str">
        <f t="shared" si="28"/>
        <v/>
      </c>
      <c r="W106" s="63">
        <f t="shared" si="29"/>
        <v>0</v>
      </c>
      <c r="X106" s="63">
        <f t="shared" si="30"/>
        <v>0</v>
      </c>
      <c r="Y106" s="63" t="str">
        <f>IF(F106=0,"",IF(F106&gt;W106,'Subject-Wise Result'!O104,IF(F106&gt;X106,"FAIL","PASS")))</f>
        <v/>
      </c>
    </row>
    <row r="107" spans="1:25" ht="30" customHeight="1" x14ac:dyDescent="0.25">
      <c r="A107" s="39" t="str">
        <f>IF('Statement of Marks'!A108="","",'Statement of Marks'!A108)</f>
        <v/>
      </c>
      <c r="B107" s="39" t="str">
        <f>IF('Statement of Marks'!B108="","",'Statement of Marks'!B108)</f>
        <v/>
      </c>
      <c r="C107" s="39" t="str">
        <f>IF('Statement of Marks'!C108="","",'Statement of Marks'!C108)</f>
        <v/>
      </c>
      <c r="D107" s="40" t="str">
        <f>IF('Statement of Marks'!D108="","",'Statement of Marks'!D108)</f>
        <v/>
      </c>
      <c r="E107" s="39" t="str">
        <f>CONCATENATE('Statement of Marks'!DT108,'Statement of Marks'!DV108)</f>
        <v xml:space="preserve">        </v>
      </c>
      <c r="F107" s="63">
        <f>COUNTIF('Subject-Wise Result'!G105:K105,"S")</f>
        <v>0</v>
      </c>
      <c r="G107" s="120"/>
      <c r="H107" s="120"/>
      <c r="I107" s="120"/>
      <c r="J107" s="120"/>
      <c r="K107" s="120"/>
      <c r="L107" s="120"/>
      <c r="M107" s="120"/>
      <c r="N107" s="120"/>
      <c r="O107" s="63" t="str">
        <f t="shared" si="21"/>
        <v/>
      </c>
      <c r="P107" s="63" t="str">
        <f t="shared" si="22"/>
        <v/>
      </c>
      <c r="Q107" s="63" t="str">
        <f t="shared" si="23"/>
        <v/>
      </c>
      <c r="R107" s="63" t="str">
        <f t="shared" si="24"/>
        <v/>
      </c>
      <c r="S107" s="63" t="str">
        <f t="shared" si="25"/>
        <v/>
      </c>
      <c r="T107" s="63" t="str">
        <f t="shared" si="26"/>
        <v/>
      </c>
      <c r="U107" s="63" t="str">
        <f t="shared" si="27"/>
        <v/>
      </c>
      <c r="V107" s="63" t="str">
        <f t="shared" si="28"/>
        <v/>
      </c>
      <c r="W107" s="63">
        <f t="shared" si="29"/>
        <v>0</v>
      </c>
      <c r="X107" s="63">
        <f t="shared" si="30"/>
        <v>0</v>
      </c>
      <c r="Y107" s="63" t="str">
        <f>IF(F107=0,"",IF(F107&gt;W107,'Subject-Wise Result'!O105,IF(F107&gt;X107,"FAIL","PASS")))</f>
        <v/>
      </c>
    </row>
    <row r="108" spans="1:25" ht="30" customHeight="1" x14ac:dyDescent="0.25">
      <c r="A108" s="39" t="str">
        <f>IF('Statement of Marks'!A109="","",'Statement of Marks'!A109)</f>
        <v/>
      </c>
      <c r="B108" s="39" t="str">
        <f>IF('Statement of Marks'!B109="","",'Statement of Marks'!B109)</f>
        <v/>
      </c>
      <c r="C108" s="39" t="str">
        <f>IF('Statement of Marks'!C109="","",'Statement of Marks'!C109)</f>
        <v/>
      </c>
      <c r="D108" s="40" t="str">
        <f>IF('Statement of Marks'!D109="","",'Statement of Marks'!D109)</f>
        <v/>
      </c>
      <c r="E108" s="39" t="str">
        <f>CONCATENATE('Statement of Marks'!DT109,'Statement of Marks'!DV109)</f>
        <v xml:space="preserve">        </v>
      </c>
      <c r="F108" s="63">
        <f>COUNTIF('Subject-Wise Result'!G106:K106,"S")</f>
        <v>0</v>
      </c>
      <c r="G108" s="120"/>
      <c r="H108" s="120"/>
      <c r="I108" s="120"/>
      <c r="J108" s="120"/>
      <c r="K108" s="120"/>
      <c r="L108" s="120"/>
      <c r="M108" s="120"/>
      <c r="N108" s="120"/>
      <c r="O108" s="63" t="str">
        <f t="shared" si="21"/>
        <v/>
      </c>
      <c r="P108" s="63" t="str">
        <f t="shared" si="22"/>
        <v/>
      </c>
      <c r="Q108" s="63" t="str">
        <f t="shared" si="23"/>
        <v/>
      </c>
      <c r="R108" s="63" t="str">
        <f t="shared" si="24"/>
        <v/>
      </c>
      <c r="S108" s="63" t="str">
        <f t="shared" si="25"/>
        <v/>
      </c>
      <c r="T108" s="63" t="str">
        <f t="shared" si="26"/>
        <v/>
      </c>
      <c r="U108" s="63" t="str">
        <f t="shared" si="27"/>
        <v/>
      </c>
      <c r="V108" s="63" t="str">
        <f t="shared" si="28"/>
        <v/>
      </c>
      <c r="W108" s="63">
        <f t="shared" si="29"/>
        <v>0</v>
      </c>
      <c r="X108" s="63">
        <f t="shared" si="30"/>
        <v>0</v>
      </c>
      <c r="Y108" s="63" t="str">
        <f>IF(F108=0,"",IF(F108&gt;W108,'Subject-Wise Result'!O106,IF(F108&gt;X108,"FAIL","PASS")))</f>
        <v/>
      </c>
    </row>
    <row r="109" spans="1:25" ht="10.5" customHeight="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20.100000000000001" customHeight="1" x14ac:dyDescent="0.25">
      <c r="A110" s="273" t="s">
        <v>3578</v>
      </c>
      <c r="B110" s="273"/>
      <c r="C110" s="273"/>
      <c r="D110" s="273"/>
      <c r="E110" s="273"/>
      <c r="F110" s="281">
        <v>44691</v>
      </c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9"/>
      <c r="T110" s="275"/>
      <c r="U110" s="275"/>
      <c r="V110" s="275"/>
      <c r="W110" s="275"/>
      <c r="X110" s="275"/>
      <c r="Y110" s="275"/>
    </row>
    <row r="111" spans="1:25" ht="20.100000000000001" customHeight="1" x14ac:dyDescent="0.25">
      <c r="A111" s="273" t="s">
        <v>3580</v>
      </c>
      <c r="B111" s="273"/>
      <c r="C111" s="273"/>
      <c r="D111" s="273"/>
      <c r="E111" s="273"/>
      <c r="F111" s="282">
        <f>COUNTIF('Subject-Wise Result'!$O$6:$O$106,"Supp.")</f>
        <v>1</v>
      </c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4"/>
      <c r="T111" s="275"/>
      <c r="U111" s="275"/>
      <c r="V111" s="275"/>
      <c r="W111" s="275"/>
      <c r="X111" s="275"/>
      <c r="Y111" s="275"/>
    </row>
    <row r="112" spans="1:25" ht="20.100000000000001" customHeight="1" x14ac:dyDescent="0.25">
      <c r="A112" s="273" t="s">
        <v>3583</v>
      </c>
      <c r="B112" s="273"/>
      <c r="C112" s="273"/>
      <c r="D112" s="273"/>
      <c r="E112" s="273"/>
      <c r="F112" s="282">
        <f>COUNTIF(W8:W108,"&gt;0")</f>
        <v>1</v>
      </c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4"/>
      <c r="T112" s="275"/>
      <c r="U112" s="275"/>
      <c r="V112" s="275"/>
      <c r="W112" s="275"/>
      <c r="X112" s="275"/>
      <c r="Y112" s="275"/>
    </row>
    <row r="113" spans="1:25" ht="20.100000000000001" customHeight="1" x14ac:dyDescent="0.25">
      <c r="A113" s="269" t="s">
        <v>3584</v>
      </c>
      <c r="B113" s="270"/>
      <c r="C113" s="270"/>
      <c r="D113" s="270"/>
      <c r="E113" s="271"/>
      <c r="F113" s="282">
        <f>SUM(F111-F112)</f>
        <v>0</v>
      </c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4"/>
      <c r="T113" s="275"/>
      <c r="U113" s="275"/>
      <c r="V113" s="275"/>
      <c r="W113" s="275"/>
      <c r="X113" s="275"/>
      <c r="Y113" s="275"/>
    </row>
    <row r="114" spans="1:25" ht="20.100000000000001" customHeight="1" x14ac:dyDescent="0.25">
      <c r="A114" s="273" t="s">
        <v>3535</v>
      </c>
      <c r="B114" s="273"/>
      <c r="C114" s="273"/>
      <c r="D114" s="273"/>
      <c r="E114" s="273"/>
      <c r="F114" s="282">
        <f>COUNTIF(Y8:Y108,"PASS")</f>
        <v>1</v>
      </c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4"/>
      <c r="T114" s="275"/>
      <c r="U114" s="275"/>
      <c r="V114" s="275"/>
      <c r="W114" s="275"/>
      <c r="X114" s="275"/>
      <c r="Y114" s="275"/>
    </row>
    <row r="115" spans="1:25" ht="20.100000000000001" customHeight="1" x14ac:dyDescent="0.25">
      <c r="A115" s="273" t="s">
        <v>3537</v>
      </c>
      <c r="B115" s="273"/>
      <c r="C115" s="273"/>
      <c r="D115" s="273"/>
      <c r="E115" s="273"/>
      <c r="F115" s="282">
        <f>COUNTIF(Y8:Y108,"FAIL")</f>
        <v>0</v>
      </c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4"/>
      <c r="T115" s="275"/>
      <c r="U115" s="275"/>
      <c r="V115" s="275"/>
      <c r="W115" s="275"/>
      <c r="X115" s="275"/>
      <c r="Y115" s="275"/>
    </row>
    <row r="116" spans="1:25" ht="20.100000000000001" customHeight="1" x14ac:dyDescent="0.25">
      <c r="A116" s="273" t="s">
        <v>3579</v>
      </c>
      <c r="B116" s="273"/>
      <c r="C116" s="273"/>
      <c r="D116" s="273"/>
      <c r="E116" s="273"/>
      <c r="F116" s="280" t="s">
        <v>3581</v>
      </c>
      <c r="G116" s="280"/>
      <c r="H116" s="280"/>
      <c r="I116" s="280"/>
      <c r="J116" s="280"/>
      <c r="K116" s="280" t="s">
        <v>3582</v>
      </c>
      <c r="L116" s="280"/>
      <c r="M116" s="280"/>
      <c r="N116" s="280"/>
      <c r="O116" s="277" t="s">
        <v>3538</v>
      </c>
      <c r="P116" s="278"/>
      <c r="Q116" s="278"/>
      <c r="R116" s="278"/>
      <c r="S116" s="279"/>
      <c r="T116" s="275"/>
      <c r="U116" s="275"/>
      <c r="V116" s="275"/>
      <c r="W116" s="275"/>
      <c r="X116" s="275"/>
      <c r="Y116" s="275"/>
    </row>
    <row r="117" spans="1:25" ht="20.100000000000001" customHeight="1" x14ac:dyDescent="0.25">
      <c r="A117" s="269" t="s">
        <v>3580</v>
      </c>
      <c r="B117" s="270"/>
      <c r="C117" s="270"/>
      <c r="D117" s="270"/>
      <c r="E117" s="271"/>
      <c r="F117" s="272">
        <f>IF('Statement of Marks'!G116="","",'Statement of Marks'!G116)</f>
        <v>17</v>
      </c>
      <c r="G117" s="272"/>
      <c r="H117" s="272"/>
      <c r="I117" s="272"/>
      <c r="J117" s="272"/>
      <c r="K117" s="272">
        <f>F111</f>
        <v>1</v>
      </c>
      <c r="L117" s="272"/>
      <c r="M117" s="272"/>
      <c r="N117" s="272"/>
      <c r="O117" s="272">
        <f>F117</f>
        <v>17</v>
      </c>
      <c r="P117" s="272"/>
      <c r="Q117" s="272"/>
      <c r="R117" s="272"/>
      <c r="S117" s="272"/>
      <c r="T117" s="275"/>
      <c r="U117" s="275"/>
      <c r="V117" s="275"/>
      <c r="W117" s="275"/>
      <c r="X117" s="275"/>
      <c r="Y117" s="275"/>
    </row>
    <row r="118" spans="1:25" ht="20.100000000000001" customHeight="1" x14ac:dyDescent="0.25">
      <c r="A118" s="273" t="s">
        <v>3534</v>
      </c>
      <c r="B118" s="273"/>
      <c r="C118" s="273"/>
      <c r="D118" s="273"/>
      <c r="E118" s="273"/>
      <c r="F118" s="272">
        <f>IF('Statement of Marks'!A113="","",'Statement of Marks'!A113)</f>
        <v>17</v>
      </c>
      <c r="G118" s="272"/>
      <c r="H118" s="272"/>
      <c r="I118" s="272"/>
      <c r="J118" s="272"/>
      <c r="K118" s="272">
        <f>F112</f>
        <v>1</v>
      </c>
      <c r="L118" s="272"/>
      <c r="M118" s="272"/>
      <c r="N118" s="272"/>
      <c r="O118" s="272">
        <f>F118</f>
        <v>17</v>
      </c>
      <c r="P118" s="272"/>
      <c r="Q118" s="272"/>
      <c r="R118" s="272"/>
      <c r="S118" s="272"/>
      <c r="T118" s="275"/>
      <c r="U118" s="275"/>
      <c r="V118" s="275"/>
      <c r="W118" s="275"/>
      <c r="X118" s="275"/>
      <c r="Y118" s="275"/>
    </row>
    <row r="119" spans="1:25" ht="20.100000000000001" customHeight="1" x14ac:dyDescent="0.25">
      <c r="A119" s="273" t="s">
        <v>3535</v>
      </c>
      <c r="B119" s="273"/>
      <c r="C119" s="273"/>
      <c r="D119" s="273"/>
      <c r="E119" s="273"/>
      <c r="F119" s="272">
        <f>IF('Statement of Marks'!G113="","",'Statement of Marks'!G113)</f>
        <v>15</v>
      </c>
      <c r="G119" s="272"/>
      <c r="H119" s="272"/>
      <c r="I119" s="272"/>
      <c r="J119" s="272"/>
      <c r="K119" s="272">
        <f>F114</f>
        <v>1</v>
      </c>
      <c r="L119" s="272"/>
      <c r="M119" s="272"/>
      <c r="N119" s="272"/>
      <c r="O119" s="272">
        <f>SUM(F119:N119)</f>
        <v>16</v>
      </c>
      <c r="P119" s="272"/>
      <c r="Q119" s="272"/>
      <c r="R119" s="272"/>
      <c r="S119" s="272"/>
      <c r="T119" s="275"/>
      <c r="U119" s="275"/>
      <c r="V119" s="275"/>
      <c r="W119" s="275"/>
      <c r="X119" s="275"/>
      <c r="Y119" s="275"/>
    </row>
    <row r="120" spans="1:25" ht="20.100000000000001" customHeight="1" x14ac:dyDescent="0.25">
      <c r="A120" s="273" t="s">
        <v>3524</v>
      </c>
      <c r="B120" s="273"/>
      <c r="C120" s="273"/>
      <c r="D120" s="273"/>
      <c r="E120" s="273"/>
      <c r="F120" s="276">
        <f>F119/F118</f>
        <v>0.88235294117647056</v>
      </c>
      <c r="G120" s="276"/>
      <c r="H120" s="276"/>
      <c r="I120" s="276"/>
      <c r="J120" s="276"/>
      <c r="K120" s="276">
        <f>K119/F111</f>
        <v>1</v>
      </c>
      <c r="L120" s="276"/>
      <c r="M120" s="276"/>
      <c r="N120" s="276"/>
      <c r="O120" s="276">
        <f>O119/O118</f>
        <v>0.94117647058823528</v>
      </c>
      <c r="P120" s="276"/>
      <c r="Q120" s="276"/>
      <c r="R120" s="276"/>
      <c r="S120" s="276"/>
      <c r="T120" s="275"/>
      <c r="U120" s="275"/>
      <c r="V120" s="275"/>
      <c r="W120" s="275"/>
      <c r="X120" s="275"/>
      <c r="Y120" s="275"/>
    </row>
  </sheetData>
  <sheetProtection password="DB75" sheet="1" objects="1" scenarios="1" formatCells="0" formatColumns="0" formatRows="0"/>
  <mergeCells count="48">
    <mergeCell ref="A1:Y1"/>
    <mergeCell ref="A2:Y2"/>
    <mergeCell ref="A111:E111"/>
    <mergeCell ref="A113:E113"/>
    <mergeCell ref="F113:S113"/>
    <mergeCell ref="A6:E6"/>
    <mergeCell ref="O6:Y6"/>
    <mergeCell ref="F4:F5"/>
    <mergeCell ref="G4:N4"/>
    <mergeCell ref="O4:V4"/>
    <mergeCell ref="W4:W5"/>
    <mergeCell ref="A4:A5"/>
    <mergeCell ref="B4:B5"/>
    <mergeCell ref="C4:C5"/>
    <mergeCell ref="D4:D5"/>
    <mergeCell ref="E4:E5"/>
    <mergeCell ref="F116:J116"/>
    <mergeCell ref="A110:E110"/>
    <mergeCell ref="A112:E112"/>
    <mergeCell ref="A114:E114"/>
    <mergeCell ref="A115:E115"/>
    <mergeCell ref="F110:S110"/>
    <mergeCell ref="F112:S112"/>
    <mergeCell ref="F114:S114"/>
    <mergeCell ref="F115:S115"/>
    <mergeCell ref="F111:S111"/>
    <mergeCell ref="A116:E116"/>
    <mergeCell ref="X4:X5"/>
    <mergeCell ref="Y4:Y5"/>
    <mergeCell ref="T110:Y120"/>
    <mergeCell ref="F119:J119"/>
    <mergeCell ref="F120:J120"/>
    <mergeCell ref="F118:J118"/>
    <mergeCell ref="O116:S116"/>
    <mergeCell ref="O117:S117"/>
    <mergeCell ref="O118:S118"/>
    <mergeCell ref="O119:S119"/>
    <mergeCell ref="O120:S120"/>
    <mergeCell ref="K116:N116"/>
    <mergeCell ref="K117:N117"/>
    <mergeCell ref="K118:N118"/>
    <mergeCell ref="K119:N119"/>
    <mergeCell ref="K120:N120"/>
    <mergeCell ref="A117:E117"/>
    <mergeCell ref="F117:J117"/>
    <mergeCell ref="A118:E118"/>
    <mergeCell ref="A119:E119"/>
    <mergeCell ref="A120:E120"/>
  </mergeCells>
  <conditionalFormatting sqref="G8:N108">
    <cfRule type="containsBlanks" dxfId="3" priority="1">
      <formula>LEN(TRIM(G8))=0</formula>
    </cfRule>
  </conditionalFormatting>
  <dataValidations count="1">
    <dataValidation type="custom" allowBlank="1" showInputMessage="1" showErrorMessage="1" errorTitle="Already Passed" error="इस विद्यार्थी के पूरक परीक्षा नही होनी है | यह विद्यार्थी मुख्य परीक्षा में उतीर्ण है |" sqref="G8:N108">
      <formula1>$F8&gt;0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77" orientation="landscape" r:id="rId1"/>
  <headerFooter>
    <oddFooter>&amp;LPrepared By : Ashwini Kumar&amp;C&amp;P&amp;Rwww.ashwinisharma.com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Sch Name</vt:lpstr>
      <vt:lpstr>Marks</vt:lpstr>
      <vt:lpstr>Paste SD Data</vt:lpstr>
      <vt:lpstr>Students' Data</vt:lpstr>
      <vt:lpstr>11th Data</vt:lpstr>
      <vt:lpstr>Marks Entry</vt:lpstr>
      <vt:lpstr>Statement of Marks</vt:lpstr>
      <vt:lpstr>Subject-Wise Result</vt:lpstr>
      <vt:lpstr>Supplementary</vt:lpstr>
      <vt:lpstr>Caste-Wise Result</vt:lpstr>
      <vt:lpstr>Marksheet</vt:lpstr>
      <vt:lpstr>Agriculture</vt:lpstr>
      <vt:lpstr>Arts</vt:lpstr>
      <vt:lpstr>Commerce</vt:lpstr>
      <vt:lpstr>'11th Data'!Criteria</vt:lpstr>
      <vt:lpstr>'Subject-Wise Result'!Criteria</vt:lpstr>
      <vt:lpstr>'11th Data'!Extract</vt:lpstr>
      <vt:lpstr>Marks</vt:lpstr>
      <vt:lpstr>'Subject-Wise Result'!Print_Area</vt:lpstr>
      <vt:lpstr>Supplementary!Print_Area</vt:lpstr>
      <vt:lpstr>'Statement of Marks'!Print_Titles</vt:lpstr>
      <vt:lpstr>'Subject-Wise Result'!Print_Titles</vt:lpstr>
      <vt:lpstr>Roll_No</vt:lpstr>
      <vt:lpstr>Science</vt:lpstr>
      <vt:lpstr>Statement_of_Marks</vt:lpstr>
      <vt:lpstr>stream_name</vt:lpstr>
      <vt:lpstr>supp_result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Ashwini</cp:lastModifiedBy>
  <cp:lastPrinted>2022-04-28T09:53:48Z</cp:lastPrinted>
  <dcterms:created xsi:type="dcterms:W3CDTF">2021-12-21T13:54:01Z</dcterms:created>
  <dcterms:modified xsi:type="dcterms:W3CDTF">2022-04-30T00:44:16Z</dcterms:modified>
</cp:coreProperties>
</file>