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755"/>
  </bookViews>
  <sheets>
    <sheet name="Salary" sheetId="2" r:id="rId1"/>
    <sheet name="Other Deduction" sheetId="1" r:id="rId2"/>
    <sheet name="Tax Old Regime" sheetId="3" r:id="rId3"/>
    <sheet name="Tax New Regime" sheetId="4" r:id="rId4"/>
  </sheets>
  <definedNames>
    <definedName name="_tds1" localSheetId="3">#REF!</definedName>
    <definedName name="_tds1">#REF!</definedName>
    <definedName name="_tds2" localSheetId="3">#REF!</definedName>
    <definedName name="_tds2">#REF!</definedName>
    <definedName name="AIR.Code001" localSheetId="3">#REF!</definedName>
    <definedName name="AIR.Code001">#REF!</definedName>
    <definedName name="AIR.Code002" localSheetId="3">#REF!</definedName>
    <definedName name="AIR.Code002">#REF!</definedName>
    <definedName name="AIR.Code003" localSheetId="3">#REF!</definedName>
    <definedName name="AIR.Code003">#REF!</definedName>
    <definedName name="AIR.Code004" localSheetId="3">#REF!</definedName>
    <definedName name="AIR.Code004">#REF!</definedName>
    <definedName name="AIR.Code005" localSheetId="3">#REF!</definedName>
    <definedName name="AIR.Code005">#REF!</definedName>
    <definedName name="AIR.Code006" localSheetId="3">#REF!</definedName>
    <definedName name="AIR.Code006">#REF!</definedName>
    <definedName name="AIR.Code007" localSheetId="3">#REF!</definedName>
    <definedName name="AIR.Code007">#REF!</definedName>
    <definedName name="AIR.Code008" localSheetId="3">#REF!</definedName>
    <definedName name="AIR.Code008">#REF!</definedName>
    <definedName name="AIR.TaxExmpIntInc" localSheetId="3">#REF!</definedName>
    <definedName name="AIR.TaxExmpIntInc">#REF!</definedName>
    <definedName name="Bank1" localSheetId="3">#REF!</definedName>
    <definedName name="Bank1">#REF!</definedName>
    <definedName name="Bank10" localSheetId="3">#REF!</definedName>
    <definedName name="Bank10">#REF!</definedName>
    <definedName name="Bank11" localSheetId="3">#REF!</definedName>
    <definedName name="Bank11">#REF!</definedName>
    <definedName name="Bank12" localSheetId="3">#REF!</definedName>
    <definedName name="Bank12">#REF!</definedName>
    <definedName name="Bank2" localSheetId="3">#REF!</definedName>
    <definedName name="Bank2">#REF!</definedName>
    <definedName name="Bank3" localSheetId="3">#REF!</definedName>
    <definedName name="Bank3">#REF!</definedName>
    <definedName name="Bank4" localSheetId="3">#REF!</definedName>
    <definedName name="Bank4">#REF!</definedName>
    <definedName name="Bank5" localSheetId="3">#REF!</definedName>
    <definedName name="Bank5">#REF!</definedName>
    <definedName name="Bank6" localSheetId="3">#REF!</definedName>
    <definedName name="Bank6">#REF!</definedName>
    <definedName name="Bank6PCAR" localSheetId="3">#REF!</definedName>
    <definedName name="Bank6PCAR">#REF!</definedName>
    <definedName name="Bank7" localSheetId="3">#REF!</definedName>
    <definedName name="Bank7">#REF!</definedName>
    <definedName name="Bank8" localSheetId="3">#REF!</definedName>
    <definedName name="Bank8">#REF!</definedName>
    <definedName name="Bank9" localSheetId="3">#REF!</definedName>
    <definedName name="Bank9">#REF!</definedName>
    <definedName name="BankAccNo" localSheetId="3">#REF!</definedName>
    <definedName name="BankAccNo">#REF!</definedName>
    <definedName name="BankArrear" localSheetId="3">#REF!</definedName>
    <definedName name="BankArrear">#REF!</definedName>
    <definedName name="BankArrear0" localSheetId="3">#REF!</definedName>
    <definedName name="BankArrear0">#REF!</definedName>
    <definedName name="BankArrear1" localSheetId="3">#REF!</definedName>
    <definedName name="BankArrear1">#REF!</definedName>
    <definedName name="BankArrear2" localSheetId="3">#REF!</definedName>
    <definedName name="BankArrear2">#REF!</definedName>
    <definedName name="BankArrear3" localSheetId="3">#REF!</definedName>
    <definedName name="BankArrear3">#REF!</definedName>
    <definedName name="BankBonus" localSheetId="3">#REF!</definedName>
    <definedName name="BankBonus">#REF!</definedName>
    <definedName name="BankDA10" localSheetId="3">#REF!</definedName>
    <definedName name="BankDA10">#REF!</definedName>
    <definedName name="BankDA5" localSheetId="3">#REF!</definedName>
    <definedName name="BankDA5">#REF!</definedName>
    <definedName name="BankDA6" localSheetId="3">#REF!</definedName>
    <definedName name="BankDA6">#REF!</definedName>
    <definedName name="BankDA8" localSheetId="3">#REF!</definedName>
    <definedName name="BankDA8">#REF!</definedName>
    <definedName name="BankPL" localSheetId="3">#REF!</definedName>
    <definedName name="BankPL">#REF!</definedName>
    <definedName name="cmb_IncD.BankAccountType" localSheetId="3">#REF!</definedName>
    <definedName name="cmb_IncD.BankAccountType">#REF!</definedName>
    <definedName name="cmb_IncD.EcsRequired" localSheetId="3">#REF!</definedName>
    <definedName name="cmb_IncD.EcsRequired">#REF!</definedName>
    <definedName name="cmb_TDSal.StateCode" localSheetId="3">#REF!</definedName>
    <definedName name="cmb_TDSal.StateCode">#REF!</definedName>
    <definedName name="cmb_TDSoth.StateCode" localSheetId="3">#REF!</definedName>
    <definedName name="cmb_TDSoth.StateCode">#REF!</definedName>
    <definedName name="i_general" localSheetId="3">#REF!</definedName>
    <definedName name="i_general">#REF!</definedName>
    <definedName name="i_general2" localSheetId="3">#REF!</definedName>
    <definedName name="i_general2">#REF!</definedName>
    <definedName name="i_tds" localSheetId="3">#REF!</definedName>
    <definedName name="i_tds">#REF!</definedName>
    <definedName name="IncD.AdvanceTax" localSheetId="3">#REF!</definedName>
    <definedName name="IncD.AdvanceTax">#REF!</definedName>
    <definedName name="IncD.AggregateIncome" localSheetId="3">#REF!</definedName>
    <definedName name="IncD.AggregateIncome">#REF!</definedName>
    <definedName name="IncD.BalTaxPayable" localSheetId="3">#REF!</definedName>
    <definedName name="IncD.BalTaxPayable">#REF!</definedName>
    <definedName name="IncD.BankAccountNumber" localSheetId="3">#REF!</definedName>
    <definedName name="IncD.BankAccountNumber">#REF!</definedName>
    <definedName name="IncD.BankAccountType" localSheetId="3">#REF!</definedName>
    <definedName name="IncD.BankAccountType">#REF!</definedName>
    <definedName name="IncD.EcsRequired" localSheetId="3">#REF!</definedName>
    <definedName name="IncD.EcsRequired">#REF!</definedName>
    <definedName name="IncD.EducationCess" localSheetId="3">#REF!</definedName>
    <definedName name="IncD.EducationCess">#REF!</definedName>
    <definedName name="IncD.FamPension" localSheetId="3">#REF!</definedName>
    <definedName name="IncD.FamPension">#REF!</definedName>
    <definedName name="IncD.GrossTaxLiability" localSheetId="3">#REF!</definedName>
    <definedName name="IncD.GrossTaxLiability">#REF!</definedName>
    <definedName name="IncD.GrossTotIncome" localSheetId="3">#REF!</definedName>
    <definedName name="IncD.GrossTotIncome">#REF!</definedName>
    <definedName name="IncD.IncomeFromOS" localSheetId="3">#REF!</definedName>
    <definedName name="IncD.IncomeFromOS">#REF!</definedName>
    <definedName name="IncD.IncomeFromSal" localSheetId="3">#REF!</definedName>
    <definedName name="IncD.IncomeFromSal">#REF!</definedName>
    <definedName name="IncD.IndInterest" localSheetId="3">#REF!</definedName>
    <definedName name="IncD.IndInterest">#REF!</definedName>
    <definedName name="IncD.IntrstPayUs234A" localSheetId="3">#REF!</definedName>
    <definedName name="IncD.IntrstPayUs234A">#REF!</definedName>
    <definedName name="IncD.IntrstPayUs234B" localSheetId="3">#REF!</definedName>
    <definedName name="IncD.IntrstPayUs234B">#REF!</definedName>
    <definedName name="IncD.IntrstPayUs234C" localSheetId="3">#REF!</definedName>
    <definedName name="IncD.IntrstPayUs234C">#REF!</definedName>
    <definedName name="IncD.MICRCode" localSheetId="3">#REF!</definedName>
    <definedName name="IncD.MICRCode">#REF!</definedName>
    <definedName name="IncD.NetAgriculturalIncome" localSheetId="3">#REF!</definedName>
    <definedName name="IncD.NetAgriculturalIncome">#REF!</definedName>
    <definedName name="IncD.NetTaxLiability" localSheetId="3">#REF!</definedName>
    <definedName name="IncD.NetTaxLiability">#REF!</definedName>
    <definedName name="IncD.RebateOnAgriInc" localSheetId="3">#REF!</definedName>
    <definedName name="IncD.RebateOnAgriInc">#REF!</definedName>
    <definedName name="IncD.RefundDue" localSheetId="3">#REF!</definedName>
    <definedName name="IncD.RefundDue">#REF!</definedName>
    <definedName name="IncD.Section80C" localSheetId="3">#REF!</definedName>
    <definedName name="IncD.Section80C">#REF!</definedName>
    <definedName name="IncD.Section80CCC" localSheetId="3">#REF!</definedName>
    <definedName name="IncD.Section80CCC">#REF!</definedName>
    <definedName name="IncD.Section80CCD" localSheetId="3">#REF!</definedName>
    <definedName name="IncD.Section80CCD">#REF!</definedName>
    <definedName name="IncD.Section80D" localSheetId="3">#REF!</definedName>
    <definedName name="IncD.Section80D">#REF!</definedName>
    <definedName name="IncD.Section80DD" localSheetId="3">#REF!</definedName>
    <definedName name="IncD.Section80DD">#REF!</definedName>
    <definedName name="IncD.Section80DDB" localSheetId="3">#REF!</definedName>
    <definedName name="IncD.Section80DDB">#REF!</definedName>
    <definedName name="IncD.Section80E" localSheetId="3">#REF!</definedName>
    <definedName name="IncD.Section80E">#REF!</definedName>
    <definedName name="IncD.Section80G" localSheetId="3">#REF!</definedName>
    <definedName name="IncD.Section80G">#REF!</definedName>
    <definedName name="IncD.Section80GG" localSheetId="3">#REF!</definedName>
    <definedName name="IncD.Section80GG">#REF!</definedName>
    <definedName name="IncD.Section80GGA" localSheetId="3">#REF!</definedName>
    <definedName name="IncD.Section80GGA">#REF!</definedName>
    <definedName name="IncD.Section80GGC" localSheetId="3">#REF!</definedName>
    <definedName name="IncD.Section80GGC">#REF!</definedName>
    <definedName name="IncD.Section80U" localSheetId="3">#REF!</definedName>
    <definedName name="IncD.Section80U">#REF!</definedName>
    <definedName name="IncD.Section89" localSheetId="3">#REF!</definedName>
    <definedName name="IncD.Section89">#REF!</definedName>
    <definedName name="IncD.Section90and91" localSheetId="3">#REF!</definedName>
    <definedName name="IncD.Section90and91">#REF!</definedName>
    <definedName name="IncD.SelfAssessmentTax" localSheetId="3">#REF!</definedName>
    <definedName name="IncD.SelfAssessmentTax">#REF!</definedName>
    <definedName name="IncD.SurchargeOnTaxPayable" localSheetId="3">#REF!</definedName>
    <definedName name="IncD.SurchargeOnTaxPayable">#REF!</definedName>
    <definedName name="IncD.TaxOnAggregateInc" localSheetId="3">#REF!</definedName>
    <definedName name="IncD.TaxOnAggregateInc">#REF!</definedName>
    <definedName name="IncD.TDS" localSheetId="3">#REF!</definedName>
    <definedName name="IncD.TDS">#REF!</definedName>
    <definedName name="IncD.TotalChapVIADeductions" localSheetId="3">#REF!</definedName>
    <definedName name="IncD.TotalChapVIADeductions">#REF!</definedName>
    <definedName name="IncD.TotalIncome" localSheetId="3">#REF!</definedName>
    <definedName name="IncD.TotalIncome">#REF!</definedName>
    <definedName name="IncD.TotalIntrstPay" localSheetId="3">#REF!</definedName>
    <definedName name="IncD.TotalIntrstPay">#REF!</definedName>
    <definedName name="IncD.TotalTaxesPaid" localSheetId="3">#REF!</definedName>
    <definedName name="IncD.TotalTaxesPaid">#REF!</definedName>
    <definedName name="IncD.TotalTaxPayable" localSheetId="3">#REF!</definedName>
    <definedName name="IncD.TotalTaxPayable">#REF!</definedName>
    <definedName name="IncD.TotTaxPlusIntrstPay" localSheetId="3">#REF!</definedName>
    <definedName name="IncD.TotTaxPlusIntrstPay">#REF!</definedName>
    <definedName name="IT.Amt" localSheetId="3">#REF!</definedName>
    <definedName name="IT.Amt">#REF!</definedName>
    <definedName name="IT.FormulaOFS" localSheetId="3">#REF!</definedName>
    <definedName name="IT.FormulaOFS">#REF!</definedName>
    <definedName name="_xlnm.Print_Area" localSheetId="0">Salary!$C$18:$Z$52</definedName>
    <definedName name="_xlnm.Print_Area" localSheetId="3">'Tax New Regime'!$A$1:$P$67</definedName>
    <definedName name="_xlnm.Print_Area" localSheetId="2">'Tax Old Regime'!$A$1:$P$64</definedName>
    <definedName name="Sex" localSheetId="3">'Other Deduction'!#REF!</definedName>
    <definedName name="Sex">'Other Deduction'!#REF!</definedName>
    <definedName name="sheet1.CityOrTownOrDistrict" localSheetId="3">#REF!</definedName>
    <definedName name="sheet1.CityOrTownOrDistrict">#REF!</definedName>
    <definedName name="sheet1.DOB" localSheetId="3">#REF!</definedName>
    <definedName name="sheet1.DOB">#REF!</definedName>
    <definedName name="sheet1.EmployerCategory1" localSheetId="3">#REF!</definedName>
    <definedName name="sheet1.EmployerCategory1">#REF!</definedName>
    <definedName name="sheet1.FirstName" localSheetId="3">#REF!</definedName>
    <definedName name="sheet1.FirstName">#REF!</definedName>
    <definedName name="sheet1.Gender1" localSheetId="3">#REF!</definedName>
    <definedName name="sheet1.Gender1">#REF!</definedName>
    <definedName name="sheet1.LocalityOrArea" localSheetId="3">#REF!</definedName>
    <definedName name="sheet1.LocalityOrArea">#REF!</definedName>
    <definedName name="sheet1.MiddleName" localSheetId="3">#REF!</definedName>
    <definedName name="sheet1.MiddleName">#REF!</definedName>
    <definedName name="sheet1.newstcode" localSheetId="3">#REF!</definedName>
    <definedName name="sheet1.newstcode">#REF!</definedName>
    <definedName name="sheet1.OrigRetFiledDate" localSheetId="3">#REF!</definedName>
    <definedName name="sheet1.OrigRetFiledDate">#REF!</definedName>
    <definedName name="sheet1.PAN" localSheetId="3">#REF!</definedName>
    <definedName name="sheet1.PAN">#REF!</definedName>
    <definedName name="sheet1.PhoneNo" localSheetId="3">#REF!</definedName>
    <definedName name="sheet1.PhoneNo">#REF!</definedName>
    <definedName name="sheet1.PinCode" localSheetId="3">#REF!</definedName>
    <definedName name="sheet1.PinCode">#REF!</definedName>
    <definedName name="sheet1.ReceiptNo" localSheetId="3">#REF!</definedName>
    <definedName name="sheet1.ReceiptNo">#REF!</definedName>
    <definedName name="sheet1.ResidenceName" localSheetId="3">#REF!</definedName>
    <definedName name="sheet1.ResidenceName">#REF!</definedName>
    <definedName name="sheet1.ResidenceNo" localSheetId="3">#REF!</definedName>
    <definedName name="sheet1.ResidenceNo">#REF!</definedName>
    <definedName name="sheet1.ResidentialStatus" localSheetId="3">#REF!</definedName>
    <definedName name="sheet1.ResidentialStatus">#REF!</definedName>
    <definedName name="sheet1.ResidentialStatus1" localSheetId="3">#REF!</definedName>
    <definedName name="sheet1.ResidentialStatus1">#REF!</definedName>
    <definedName name="sheet1.ReturnFileSec" localSheetId="3">#REF!</definedName>
    <definedName name="sheet1.ReturnFileSec">#REF!</definedName>
    <definedName name="sheet1.ReturnFileSec1" localSheetId="3">#REF!</definedName>
    <definedName name="sheet1.ReturnFileSec1">#REF!</definedName>
    <definedName name="sheet1.ReturnType" localSheetId="3">#REF!</definedName>
    <definedName name="sheet1.ReturnType">#REF!</definedName>
    <definedName name="sheet1.ReturnType1" localSheetId="3">#REF!</definedName>
    <definedName name="sheet1.ReturnType1">#REF!</definedName>
    <definedName name="sheet1.RoadOrStreet" localSheetId="3">#REF!</definedName>
    <definedName name="sheet1.RoadOrStreet">#REF!</definedName>
    <definedName name="sheet1.StateCode" localSheetId="3">#REF!</definedName>
    <definedName name="sheet1.StateCode">#REF!</definedName>
    <definedName name="sheet1.StateCode1" localSheetId="3">#REF!</definedName>
    <definedName name="sheet1.StateCode1">#REF!</definedName>
    <definedName name="sheet1.Status" localSheetId="3">#REF!</definedName>
    <definedName name="sheet1.Status">#REF!</definedName>
    <definedName name="sheet1.Status1" localSheetId="3">#REF!</definedName>
    <definedName name="sheet1.Status1">#REF!</definedName>
    <definedName name="sheet1.STDcode" localSheetId="3">#REF!</definedName>
    <definedName name="sheet1.STDcode">#REF!</definedName>
    <definedName name="sheet1.SurNameOrOrgName" localSheetId="3">#REF!</definedName>
    <definedName name="sheet1.SurNameOrOrgName">#REF!</definedName>
    <definedName name="sheet1.SwVersionNo" localSheetId="3">#REF!</definedName>
    <definedName name="sheet1.SwVersionNo">#REF!</definedName>
    <definedName name="TaxP.Amt" localSheetId="3">#REF!</definedName>
    <definedName name="TaxP.Amt">#REF!</definedName>
    <definedName name="TaxP.BSRCode" localSheetId="3">#REF!</definedName>
    <definedName name="TaxP.BSRCode">#REF!</definedName>
    <definedName name="TaxP.DateDep" localSheetId="3">#REF!</definedName>
    <definedName name="TaxP.DateDep">#REF!</definedName>
    <definedName name="TaxP.NameOfBank" localSheetId="3">#REF!</definedName>
    <definedName name="TaxP.NameOfBank">#REF!</definedName>
    <definedName name="TaxP.NameOfBranch" localSheetId="3">#REF!</definedName>
    <definedName name="TaxP.NameOfBranch">#REF!</definedName>
    <definedName name="TaxP.SrlNoOfChaln" localSheetId="3">#REF!</definedName>
    <definedName name="TaxP.SrlNoOfChaln">#REF!</definedName>
    <definedName name="TDS_Sum" localSheetId="3">#REF!</definedName>
    <definedName name="TDS_Sum">#REF!</definedName>
    <definedName name="TDS1.TotalTDSSal" localSheetId="3">#REF!</definedName>
    <definedName name="TDS1.TotalTDSSal">#REF!</definedName>
    <definedName name="TDS2_sum" localSheetId="3">#REF!</definedName>
    <definedName name="TDS2_sum">#REF!</definedName>
    <definedName name="TDSal.AddrDetail" localSheetId="3">#REF!</definedName>
    <definedName name="TDSal.AddrDetail">#REF!</definedName>
    <definedName name="TDSal.CityOrTownOrDistrict" localSheetId="3">#REF!</definedName>
    <definedName name="TDSal.CityOrTownOrDistrict">#REF!</definedName>
    <definedName name="TDSal.DeductUnderChapVIA" localSheetId="3">#REF!</definedName>
    <definedName name="TDSal.DeductUnderChapVIA">#REF!</definedName>
    <definedName name="TDSal.EmployerOrDeductorOrCollecterName" localSheetId="3">#REF!</definedName>
    <definedName name="TDSal.EmployerOrDeductorOrCollecterName">#REF!</definedName>
    <definedName name="TDSal.IncChrgSal" localSheetId="3">#REF!</definedName>
    <definedName name="TDSal.IncChrgSal">#REF!</definedName>
    <definedName name="TDSal.PinCode" localSheetId="3">#REF!</definedName>
    <definedName name="TDSal.PinCode">#REF!</definedName>
    <definedName name="TDSal.StateCode" localSheetId="3">#REF!</definedName>
    <definedName name="TDSal.StateCode">#REF!</definedName>
    <definedName name="TDSal.TAN" localSheetId="3">#REF!</definedName>
    <definedName name="TDSal.TAN">#REF!</definedName>
    <definedName name="TDSal.TaxPayIncluSurchEdnCes" localSheetId="3">#REF!</definedName>
    <definedName name="TDSal.TaxPayIncluSurchEdnCes">#REF!</definedName>
    <definedName name="TDSal.TaxPayRefund" localSheetId="3">#REF!</definedName>
    <definedName name="TDSal.TaxPayRefund">#REF!</definedName>
    <definedName name="TDSal.TotalTDSSal" localSheetId="3">#REF!</definedName>
    <definedName name="TDSal.TotalTDSSal">#REF!</definedName>
    <definedName name="TDSoth.AddrDetail" localSheetId="3">#REF!</definedName>
    <definedName name="TDSoth.AddrDetail">#REF!</definedName>
    <definedName name="TDSoth.AmtPaid" localSheetId="3">#REF!</definedName>
    <definedName name="TDSoth.AmtPaid">#REF!</definedName>
    <definedName name="TDSoth.CityOrTownOrDistrict" localSheetId="3">#REF!</definedName>
    <definedName name="TDSoth.CityOrTownOrDistrict">#REF!</definedName>
    <definedName name="TDSoth.ClaimOutOfTotTDSOnAmtPaid" localSheetId="3">#REF!</definedName>
    <definedName name="TDSoth.ClaimOutOfTotTDSOnAmtPaid">#REF!</definedName>
    <definedName name="TDSoth.DatePayCred" localSheetId="3">#REF!</definedName>
    <definedName name="TDSoth.DatePayCred">#REF!</definedName>
    <definedName name="TDSoth.EmployerOrDeductorOrCollecterName" localSheetId="3">#REF!</definedName>
    <definedName name="TDSoth.EmployerOrDeductorOrCollecterName">#REF!</definedName>
    <definedName name="TDSoth.PinCode" localSheetId="3">#REF!</definedName>
    <definedName name="TDSoth.PinCode">#REF!</definedName>
    <definedName name="TDSoth.StateCode" localSheetId="3">#REF!</definedName>
    <definedName name="TDSoth.StateCode">#REF!</definedName>
    <definedName name="TDSoth.TAN" localSheetId="3">#REF!</definedName>
    <definedName name="TDSoth.TAN">#REF!</definedName>
    <definedName name="TDSoth.TotTDSOnAmtPaid" localSheetId="3">#REF!</definedName>
    <definedName name="TDSoth.TotTDSOnAmtPaid">#REF!</definedName>
    <definedName name="tp" localSheetId="3">#REF!</definedName>
    <definedName name="tp">#REF!</definedName>
    <definedName name="Ver.AssesseeVerName" localSheetId="3">#REF!</definedName>
    <definedName name="Ver.AssesseeVerName">#REF!</definedName>
    <definedName name="Ver.Date" localSheetId="3">#REF!</definedName>
    <definedName name="Ver.Date">#REF!</definedName>
    <definedName name="Ver.FatherName" localSheetId="3">#REF!</definedName>
    <definedName name="Ver.FatherName">#REF!</definedName>
    <definedName name="Ver.IdentificationNoOfTRP" localSheetId="3">#REF!</definedName>
    <definedName name="Ver.IdentificationNoOfTRP">#REF!</definedName>
    <definedName name="Ver.NameOfTRP" localSheetId="3">#REF!</definedName>
    <definedName name="Ver.NameOfTRP">#REF!</definedName>
    <definedName name="Ver.Place" localSheetId="3">#REF!</definedName>
    <definedName name="Ver.Place">#REF!</definedName>
    <definedName name="Ver.ReImbFrmGov" localSheetId="3">#REF!</definedName>
    <definedName name="Ver.ReImbFrmGov">#REF!</definedName>
    <definedName name="Z_01E6FF9C_BB30_4C32_9D09_6DB93F11503E_.wvu.Cols" localSheetId="1" hidden="1">'Other Deduction'!$G:$XFD</definedName>
    <definedName name="Z_01E6FF9C_BB30_4C32_9D09_6DB93F11503E_.wvu.Cols" localSheetId="0" hidden="1">Salary!$AA:$XFD</definedName>
    <definedName name="Z_01E6FF9C_BB30_4C32_9D09_6DB93F11503E_.wvu.Cols" localSheetId="3" hidden="1">'Tax New Regime'!$R:$XFD</definedName>
    <definedName name="Z_01E6FF9C_BB30_4C32_9D09_6DB93F11503E_.wvu.Cols" localSheetId="2" hidden="1">'Tax Old Regime'!$R:$XFD</definedName>
    <definedName name="Z_01E6FF9C_BB30_4C32_9D09_6DB93F11503E_.wvu.PrintArea" localSheetId="0" hidden="1">Salary!$C$18:$Z$50</definedName>
    <definedName name="Z_01E6FF9C_BB30_4C32_9D09_6DB93F11503E_.wvu.PrintArea" localSheetId="3" hidden="1">'Tax New Regime'!$A$1:$P$71</definedName>
    <definedName name="Z_01E6FF9C_BB30_4C32_9D09_6DB93F11503E_.wvu.PrintArea" localSheetId="2" hidden="1">'Tax Old Regime'!$A$1:$P$68</definedName>
    <definedName name="Z_01E6FF9C_BB30_4C32_9D09_6DB93F11503E_.wvu.Rows" localSheetId="1" hidden="1">'Other Deduction'!$560:$1048576,'Other Deduction'!$22:$559</definedName>
    <definedName name="Z_01E6FF9C_BB30_4C32_9D09_6DB93F11503E_.wvu.Rows" localSheetId="0" hidden="1">Salary!$963:$1048576,Salary!$51:$962</definedName>
    <definedName name="Z_01E6FF9C_BB30_4C32_9D09_6DB93F11503E_.wvu.Rows" localSheetId="3" hidden="1">'Tax New Regime'!$77:$1048576,'Tax New Regime'!$73:$76</definedName>
    <definedName name="Z_01E6FF9C_BB30_4C32_9D09_6DB93F11503E_.wvu.Rows" localSheetId="2" hidden="1">'Tax Old Regime'!$74:$1048576,'Tax Old Regime'!$70:$73</definedName>
    <definedName name="Z_483AFC7C_A53B_4837_A853_31CBC6C9ED1B_.wvu.Cols" localSheetId="1" hidden="1">'Other Deduction'!$G:$XFD</definedName>
    <definedName name="Z_483AFC7C_A53B_4837_A853_31CBC6C9ED1B_.wvu.Cols" localSheetId="0" hidden="1">Salary!$AA:$XFD</definedName>
    <definedName name="Z_483AFC7C_A53B_4837_A853_31CBC6C9ED1B_.wvu.Cols" localSheetId="3" hidden="1">'Tax New Regime'!$R:$XFD</definedName>
    <definedName name="Z_483AFC7C_A53B_4837_A853_31CBC6C9ED1B_.wvu.Cols" localSheetId="2" hidden="1">'Tax Old Regime'!$R:$XFD</definedName>
    <definedName name="Z_483AFC7C_A53B_4837_A853_31CBC6C9ED1B_.wvu.PrintArea" localSheetId="0" hidden="1">Salary!$C$18:$Z$50</definedName>
    <definedName name="Z_483AFC7C_A53B_4837_A853_31CBC6C9ED1B_.wvu.PrintArea" localSheetId="3" hidden="1">'Tax New Regime'!$A$1:$P$71</definedName>
    <definedName name="Z_483AFC7C_A53B_4837_A853_31CBC6C9ED1B_.wvu.PrintArea" localSheetId="2" hidden="1">'Tax Old Regime'!$A$1:$P$68</definedName>
    <definedName name="Z_483AFC7C_A53B_4837_A853_31CBC6C9ED1B_.wvu.Rows" localSheetId="1" hidden="1">'Other Deduction'!$560:$1048576,'Other Deduction'!$22:$559</definedName>
    <definedName name="Z_483AFC7C_A53B_4837_A853_31CBC6C9ED1B_.wvu.Rows" localSheetId="0" hidden="1">Salary!$963:$1048576,Salary!$51:$962</definedName>
    <definedName name="Z_483AFC7C_A53B_4837_A853_31CBC6C9ED1B_.wvu.Rows" localSheetId="3" hidden="1">'Tax New Regime'!$77:$1048576,'Tax New Regime'!$73:$76</definedName>
    <definedName name="Z_483AFC7C_A53B_4837_A853_31CBC6C9ED1B_.wvu.Rows" localSheetId="2" hidden="1">'Tax Old Regime'!$74:$1048576,'Tax Old Regime'!$70:$73</definedName>
  </definedNames>
  <calcPr calcId="124519"/>
  <customWorkbookViews>
    <customWorkbookView name="x - Personal View" guid="{483AFC7C-A53B-4837-A853-31CBC6C9ED1B}" mergeInterval="0" personalView="1" maximized="1" xWindow="1" yWindow="1" windowWidth="800" windowHeight="382" activeSheetId="1"/>
    <customWorkbookView name="Kalu Ram Kumawat - Personal View" guid="{01E6FF9C-BB30-4C32-9D09-6DB93F11503E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P56" i="4"/>
  <c r="P55"/>
  <c r="P54"/>
  <c r="P53"/>
  <c r="P52"/>
  <c r="P51"/>
  <c r="N64"/>
  <c r="P61"/>
  <c r="P42"/>
  <c r="P41"/>
  <c r="P40"/>
  <c r="P39"/>
  <c r="P38"/>
  <c r="P37"/>
  <c r="P36"/>
  <c r="P35"/>
  <c r="N27"/>
  <c r="H27"/>
  <c r="N26"/>
  <c r="N25"/>
  <c r="H25"/>
  <c r="N24"/>
  <c r="H24"/>
  <c r="N23"/>
  <c r="H23"/>
  <c r="N22"/>
  <c r="H22"/>
  <c r="N21"/>
  <c r="N20"/>
  <c r="P16"/>
  <c r="J13"/>
  <c r="L11"/>
  <c r="D13" s="1"/>
  <c r="L8"/>
  <c r="L7"/>
  <c r="O3"/>
  <c r="K3"/>
  <c r="D3"/>
  <c r="A1"/>
  <c r="O40" i="2"/>
  <c r="O14"/>
  <c r="O15"/>
  <c r="O16"/>
  <c r="O13"/>
  <c r="Q40" s="1"/>
  <c r="O8"/>
  <c r="O9"/>
  <c r="O10"/>
  <c r="O7"/>
  <c r="H24" i="3"/>
  <c r="A2" i="1"/>
  <c r="P32" i="3"/>
  <c r="P43" i="4" l="1"/>
  <c r="P9"/>
  <c r="P41" i="3"/>
  <c r="L8"/>
  <c r="O3" l="1"/>
  <c r="K3"/>
  <c r="D3"/>
  <c r="N41" i="2" l="1"/>
  <c r="X41"/>
  <c r="X39"/>
  <c r="X42"/>
  <c r="X43"/>
  <c r="X44"/>
  <c r="H38"/>
  <c r="O38" s="1"/>
  <c r="D40"/>
  <c r="N40" s="1"/>
  <c r="O25" l="1"/>
  <c r="W7"/>
  <c r="W8"/>
  <c r="W9"/>
  <c r="W10"/>
  <c r="W11"/>
  <c r="W12"/>
  <c r="W13"/>
  <c r="W14"/>
  <c r="W15"/>
  <c r="W16"/>
  <c r="W17"/>
  <c r="W6"/>
  <c r="I26" s="1"/>
  <c r="X40" l="1"/>
  <c r="I27"/>
  <c r="I28" s="1"/>
  <c r="I29" s="1"/>
  <c r="I30" s="1"/>
  <c r="I31" s="1"/>
  <c r="I32" s="1"/>
  <c r="I33" s="1"/>
  <c r="I34" s="1"/>
  <c r="I35" s="1"/>
  <c r="I36" s="1"/>
  <c r="I37" s="1"/>
  <c r="N21" i="3" l="1"/>
  <c r="N25"/>
  <c r="N27"/>
  <c r="N26"/>
  <c r="N24"/>
  <c r="N23"/>
  <c r="N22"/>
  <c r="N20"/>
  <c r="H26" i="2"/>
  <c r="O26" s="1"/>
  <c r="N42"/>
  <c r="N43"/>
  <c r="N44"/>
  <c r="P58" i="3" l="1"/>
  <c r="P39"/>
  <c r="P38"/>
  <c r="P37"/>
  <c r="P36"/>
  <c r="P35"/>
  <c r="P42"/>
  <c r="P40"/>
  <c r="P16"/>
  <c r="D27" i="2"/>
  <c r="W27"/>
  <c r="W28" s="1"/>
  <c r="W29" s="1"/>
  <c r="W30" s="1"/>
  <c r="W31" s="1"/>
  <c r="W32" s="1"/>
  <c r="W33" s="1"/>
  <c r="W34" s="1"/>
  <c r="J28"/>
  <c r="H27" l="1"/>
  <c r="O27" s="1"/>
  <c r="N61" i="3"/>
  <c r="Y44" i="2"/>
  <c r="Y42"/>
  <c r="Y43"/>
  <c r="W45"/>
  <c r="S45"/>
  <c r="K27"/>
  <c r="K28" s="1"/>
  <c r="K29" s="1"/>
  <c r="K30" s="1"/>
  <c r="K31" s="1"/>
  <c r="K32" s="1"/>
  <c r="K33" s="1"/>
  <c r="K34" s="1"/>
  <c r="K35" s="1"/>
  <c r="K36" s="1"/>
  <c r="K37" s="1"/>
  <c r="K45" l="1"/>
  <c r="U27"/>
  <c r="T27"/>
  <c r="Y40" l="1"/>
  <c r="X26"/>
  <c r="P27" l="1"/>
  <c r="U28"/>
  <c r="T28"/>
  <c r="R27"/>
  <c r="Q27"/>
  <c r="L7" i="3"/>
  <c r="H27"/>
  <c r="H23"/>
  <c r="H22"/>
  <c r="J13"/>
  <c r="L11"/>
  <c r="D13" s="1"/>
  <c r="P5"/>
  <c r="A1"/>
  <c r="J29" i="2"/>
  <c r="J30" s="1"/>
  <c r="J31" s="1"/>
  <c r="J32" s="1"/>
  <c r="J33" s="1"/>
  <c r="J34" s="1"/>
  <c r="J35" s="1"/>
  <c r="J36" s="1"/>
  <c r="J37" s="1"/>
  <c r="J27"/>
  <c r="M27"/>
  <c r="L27"/>
  <c r="G27"/>
  <c r="F27"/>
  <c r="E27"/>
  <c r="E28"/>
  <c r="E29"/>
  <c r="E30"/>
  <c r="E31"/>
  <c r="E32"/>
  <c r="E33"/>
  <c r="E34"/>
  <c r="E35"/>
  <c r="E36"/>
  <c r="E37"/>
  <c r="J45" l="1"/>
  <c r="G28"/>
  <c r="G29" s="1"/>
  <c r="G30" s="1"/>
  <c r="G31" s="1"/>
  <c r="G32" s="1"/>
  <c r="G33" s="1"/>
  <c r="G34" s="1"/>
  <c r="G35" s="1"/>
  <c r="G36" s="1"/>
  <c r="G37" s="1"/>
  <c r="Q28"/>
  <c r="Q29" s="1"/>
  <c r="Q30" s="1"/>
  <c r="Q31" s="1"/>
  <c r="Q32" s="1"/>
  <c r="Q33" s="1"/>
  <c r="Q34" s="1"/>
  <c r="Q35" s="1"/>
  <c r="Q36" s="1"/>
  <c r="Q37" s="1"/>
  <c r="P28"/>
  <c r="P29" s="1"/>
  <c r="P30" s="1"/>
  <c r="P31" s="1"/>
  <c r="P32" s="1"/>
  <c r="P33" s="1"/>
  <c r="P34" s="1"/>
  <c r="P35" s="1"/>
  <c r="P36" s="1"/>
  <c r="P37" s="1"/>
  <c r="E45"/>
  <c r="F28"/>
  <c r="F29" s="1"/>
  <c r="F30" s="1"/>
  <c r="F31" s="1"/>
  <c r="F32" s="1"/>
  <c r="F33" s="1"/>
  <c r="F34" s="1"/>
  <c r="F35" s="1"/>
  <c r="F36" s="1"/>
  <c r="F37" s="1"/>
  <c r="L28"/>
  <c r="L29" s="1"/>
  <c r="L30" s="1"/>
  <c r="L31" s="1"/>
  <c r="L32" s="1"/>
  <c r="L33" s="1"/>
  <c r="L34" s="1"/>
  <c r="L35" s="1"/>
  <c r="L36" s="1"/>
  <c r="L37" s="1"/>
  <c r="R28"/>
  <c r="R29" s="1"/>
  <c r="R30" s="1"/>
  <c r="R31" s="1"/>
  <c r="R32" s="1"/>
  <c r="R33" s="1"/>
  <c r="R34" s="1"/>
  <c r="R35" s="1"/>
  <c r="R36" s="1"/>
  <c r="R37" s="1"/>
  <c r="D28"/>
  <c r="P43" i="3"/>
  <c r="Y41" i="2"/>
  <c r="U29"/>
  <c r="U30" s="1"/>
  <c r="U31" s="1"/>
  <c r="U32" s="1"/>
  <c r="U33" s="1"/>
  <c r="U34" s="1"/>
  <c r="U35" s="1"/>
  <c r="U36" s="1"/>
  <c r="U37" s="1"/>
  <c r="T29"/>
  <c r="T30" s="1"/>
  <c r="T31" s="1"/>
  <c r="T32" s="1"/>
  <c r="T33" s="1"/>
  <c r="T34" s="1"/>
  <c r="T35" s="1"/>
  <c r="T36" s="1"/>
  <c r="T37" s="1"/>
  <c r="N26"/>
  <c r="M28"/>
  <c r="M29" s="1"/>
  <c r="M30" s="1"/>
  <c r="M31" s="1"/>
  <c r="M32" s="1"/>
  <c r="M33" s="1"/>
  <c r="M34" s="1"/>
  <c r="M35" s="1"/>
  <c r="M36" s="1"/>
  <c r="M37" s="1"/>
  <c r="H28" l="1"/>
  <c r="O28" s="1"/>
  <c r="V27"/>
  <c r="L45"/>
  <c r="F45"/>
  <c r="Q45"/>
  <c r="R45"/>
  <c r="D29"/>
  <c r="D30" s="1"/>
  <c r="T45"/>
  <c r="H28" i="4" s="1"/>
  <c r="N27" i="2"/>
  <c r="U45"/>
  <c r="M45"/>
  <c r="P45"/>
  <c r="G45"/>
  <c r="H21" i="3" l="1"/>
  <c r="H21" i="4"/>
  <c r="G13" i="3"/>
  <c r="G13" i="4"/>
  <c r="L13" s="1"/>
  <c r="H26" i="3"/>
  <c r="H26" i="4"/>
  <c r="X27" i="2"/>
  <c r="O29"/>
  <c r="H29"/>
  <c r="V28"/>
  <c r="V29" s="1"/>
  <c r="H28" i="3"/>
  <c r="Y27" i="2"/>
  <c r="N28"/>
  <c r="L13" i="3"/>
  <c r="P14" s="1"/>
  <c r="X28" i="2" l="1"/>
  <c r="Y28" s="1"/>
  <c r="V30"/>
  <c r="H30"/>
  <c r="O30" s="1"/>
  <c r="N38"/>
  <c r="X38" s="1"/>
  <c r="X29"/>
  <c r="N29"/>
  <c r="D31"/>
  <c r="V31" l="1"/>
  <c r="H31"/>
  <c r="O31" s="1"/>
  <c r="N30"/>
  <c r="Y29"/>
  <c r="X30"/>
  <c r="D32"/>
  <c r="V32" l="1"/>
  <c r="E64" i="4" s="1"/>
  <c r="H32" i="2"/>
  <c r="O32" s="1"/>
  <c r="N31"/>
  <c r="Y30"/>
  <c r="X31"/>
  <c r="D33"/>
  <c r="V33" l="1"/>
  <c r="E61" i="3"/>
  <c r="H33" i="2"/>
  <c r="O33" s="1"/>
  <c r="Y31"/>
  <c r="N32"/>
  <c r="X32"/>
  <c r="D34"/>
  <c r="V34" l="1"/>
  <c r="H34"/>
  <c r="O34" s="1"/>
  <c r="X34" s="1"/>
  <c r="N33"/>
  <c r="Y32"/>
  <c r="X33"/>
  <c r="Y26"/>
  <c r="D35"/>
  <c r="D36" s="1"/>
  <c r="V35" l="1"/>
  <c r="I64" i="4" s="1"/>
  <c r="H35" i="2"/>
  <c r="O35" s="1"/>
  <c r="Y33"/>
  <c r="N34"/>
  <c r="X35" l="1"/>
  <c r="V36"/>
  <c r="K64" i="4" s="1"/>
  <c r="I61" i="3"/>
  <c r="H36" i="2"/>
  <c r="O36" s="1"/>
  <c r="X36" s="1"/>
  <c r="Y34"/>
  <c r="Y39"/>
  <c r="N35"/>
  <c r="D37"/>
  <c r="V37" l="1"/>
  <c r="L64" i="4" s="1"/>
  <c r="O64" s="1"/>
  <c r="K61" i="3"/>
  <c r="I45" i="2"/>
  <c r="F19" i="1" s="1"/>
  <c r="H37" i="2"/>
  <c r="O37" s="1"/>
  <c r="X37" s="1"/>
  <c r="X45" s="1"/>
  <c r="Y35"/>
  <c r="N36"/>
  <c r="D45"/>
  <c r="V45" l="1"/>
  <c r="F8" i="1" s="1"/>
  <c r="L61" i="3"/>
  <c r="O61" s="1"/>
  <c r="H45" i="2"/>
  <c r="F4" i="1" s="1"/>
  <c r="Y36" i="2"/>
  <c r="N37" l="1"/>
  <c r="Y37" l="1"/>
  <c r="N45"/>
  <c r="F17" i="1" l="1"/>
  <c r="Y38" i="2" l="1"/>
  <c r="Y45" s="1"/>
  <c r="O45"/>
  <c r="H20" i="4" l="1"/>
  <c r="N29" s="1"/>
  <c r="P33" s="1"/>
  <c r="P44" s="1"/>
  <c r="P31"/>
  <c r="P4"/>
  <c r="P6" s="1"/>
  <c r="P10" s="1"/>
  <c r="P15" s="1"/>
  <c r="P17" s="1"/>
  <c r="P4" i="3"/>
  <c r="P6" s="1"/>
  <c r="P31"/>
  <c r="H20"/>
  <c r="H25"/>
  <c r="P45" i="4" l="1"/>
  <c r="P46" s="1"/>
  <c r="P50" s="1"/>
  <c r="N29" i="3"/>
  <c r="P30" s="1"/>
  <c r="P33" s="1"/>
  <c r="P44" s="1"/>
  <c r="L9"/>
  <c r="P9" s="1"/>
  <c r="P10" s="1"/>
  <c r="P15" s="1"/>
  <c r="P17" s="1"/>
  <c r="P57" i="4" l="1"/>
  <c r="F12" i="1"/>
  <c r="A20"/>
  <c r="D20"/>
  <c r="P45" i="3"/>
  <c r="P46" s="1"/>
  <c r="P50" s="1"/>
  <c r="P58" i="4" l="1"/>
  <c r="P59" s="1"/>
  <c r="P60" s="1"/>
  <c r="P62" s="1"/>
  <c r="F6" i="1"/>
  <c r="P52" i="3"/>
  <c r="P51"/>
  <c r="P65" i="4" l="1"/>
  <c r="A65"/>
  <c r="P53" i="3"/>
  <c r="P54" s="1"/>
  <c r="P55" l="1"/>
  <c r="P56" s="1"/>
  <c r="P57" l="1"/>
  <c r="P59" l="1"/>
  <c r="A62" l="1"/>
  <c r="A19" i="1" s="1"/>
  <c r="P62" i="3"/>
  <c r="D19" i="1" s="1"/>
</calcChain>
</file>

<file path=xl/sharedStrings.xml><?xml version="1.0" encoding="utf-8"?>
<sst xmlns="http://schemas.openxmlformats.org/spreadsheetml/2006/main" count="469" uniqueCount="219">
  <si>
    <t>PS Aarampura</t>
  </si>
  <si>
    <t>Basic Pay</t>
  </si>
  <si>
    <t>Dearness Pay</t>
  </si>
  <si>
    <t>UPS Pathraj Kala</t>
  </si>
  <si>
    <t>UPS Manda</t>
  </si>
  <si>
    <t>LIC</t>
  </si>
  <si>
    <t>UPS Ramsinghpura</t>
  </si>
  <si>
    <t>Month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</si>
  <si>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</si>
  <si>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</si>
  <si>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</si>
  <si>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</si>
  <si>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</si>
  <si>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</si>
  <si>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</si>
  <si>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</si>
  <si>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Taxable Amt</t>
  </si>
  <si>
    <t>PAN :</t>
  </si>
  <si>
    <t xml:space="preserve">                                                              'ks"k ¼2&amp;3½</t>
  </si>
  <si>
    <t>Nil</t>
  </si>
  <si>
    <t>2,50,001-5,00,000</t>
  </si>
  <si>
    <t>5,00,001-10,00,000</t>
  </si>
  <si>
    <t>TOTAL</t>
  </si>
  <si>
    <t>Signature of Employee</t>
  </si>
  <si>
    <t>Signature of DDO</t>
  </si>
  <si>
    <t>Tax Deposited</t>
  </si>
  <si>
    <t>Bonus</t>
  </si>
  <si>
    <t>Fixation Arrear</t>
  </si>
  <si>
    <t>Income Tax / TDS</t>
  </si>
  <si>
    <t>Leave  Pay</t>
  </si>
  <si>
    <t xml:space="preserve">Other </t>
  </si>
  <si>
    <t>HBA Interest</t>
  </si>
  <si>
    <t>HBA Premium</t>
  </si>
  <si>
    <t>Total
Deduction</t>
  </si>
  <si>
    <t>Gross  Salary</t>
  </si>
  <si>
    <t>Washing Allow.</t>
  </si>
  <si>
    <t>3,00,001-5,00,000</t>
  </si>
  <si>
    <t>Rebate Under Section
80C, 80CCC, 80CCD(1)</t>
  </si>
  <si>
    <t>Group Insurance  
Accidental</t>
  </si>
  <si>
    <t>No</t>
  </si>
  <si>
    <t>Other Allowance 2</t>
  </si>
  <si>
    <t>HRA</t>
  </si>
  <si>
    <t>Salary Arrear 1</t>
  </si>
  <si>
    <t>Salary Arrear 2</t>
  </si>
  <si>
    <t>A/C NO.</t>
  </si>
  <si>
    <t>BASIC+D.A.</t>
  </si>
  <si>
    <t>Bill No. &amp; T.V. No.</t>
  </si>
  <si>
    <t>DA Arrear</t>
  </si>
  <si>
    <t>Yes</t>
  </si>
  <si>
    <t>Total</t>
  </si>
  <si>
    <t>Designation</t>
  </si>
  <si>
    <t>EMPLOYEE ID</t>
  </si>
  <si>
    <t>PAN NO.</t>
  </si>
  <si>
    <t>EMPLOYEE NAME</t>
  </si>
  <si>
    <t>FAHER'S NAME</t>
  </si>
  <si>
    <t>DATE OF BIRTH</t>
  </si>
  <si>
    <t>ADHAR NO.</t>
  </si>
  <si>
    <t>SEX</t>
  </si>
  <si>
    <t>BANK NAME</t>
  </si>
  <si>
    <t>MOBILE NO.</t>
  </si>
  <si>
    <t>BRANCH NAME</t>
  </si>
  <si>
    <t>IFSC CODE</t>
  </si>
  <si>
    <t>BLOCK</t>
  </si>
  <si>
    <t>DESIGNATION</t>
  </si>
  <si>
    <t>C.C.A.</t>
  </si>
  <si>
    <t>RECEIPTS</t>
  </si>
  <si>
    <t>DEDUCTIONS</t>
  </si>
  <si>
    <t>URBAN</t>
  </si>
  <si>
    <t>RURAL</t>
  </si>
  <si>
    <t>G PAY</t>
  </si>
  <si>
    <t>GIS</t>
  </si>
  <si>
    <t>DA Arrear 3%</t>
  </si>
  <si>
    <t>Handicap Allow</t>
  </si>
  <si>
    <t>Other Deduction</t>
  </si>
  <si>
    <t>Net Cash Payment</t>
  </si>
  <si>
    <t>Are You an Employee of The "NPS" Yes Or No -------------------Select Here</t>
  </si>
  <si>
    <t xml:space="preserve">  Do You belong to the Senior Citizen Category (60-80 Age Group)</t>
  </si>
  <si>
    <t xml:space="preserve">   Have you got the bonus?</t>
  </si>
  <si>
    <t>LIC - Life Insurance</t>
  </si>
  <si>
    <t>NSC - National Savings Certificate</t>
  </si>
  <si>
    <t>Group Insurance</t>
  </si>
  <si>
    <t>ULIP / Annual Plan</t>
  </si>
  <si>
    <t>Contribution to Pension Plan (80CCC)</t>
  </si>
  <si>
    <t>Rs</t>
  </si>
  <si>
    <t>Interest paid on National Savings Certificate</t>
  </si>
  <si>
    <t>Tution Fees</t>
  </si>
  <si>
    <t>Equity Linked Savings Scheme</t>
  </si>
  <si>
    <t>Defferred Annuty</t>
  </si>
  <si>
    <t>PLI</t>
  </si>
  <si>
    <t>Other Deductions - (80C)</t>
  </si>
  <si>
    <t>Sukanya Samriddhi Yojana</t>
  </si>
  <si>
    <t>PPF -Public Provident Fund</t>
  </si>
  <si>
    <t>NSS -National Savings Scheme</t>
  </si>
  <si>
    <t>Maximum Deduction Amount Up to Rs 1.50 lakh</t>
  </si>
  <si>
    <t xml:space="preserve">Total (1 To 18)  </t>
  </si>
  <si>
    <t>Name</t>
  </si>
  <si>
    <t>Parmanand Meghwal</t>
  </si>
  <si>
    <t>ASQPM6344G</t>
  </si>
  <si>
    <t>TEACHER</t>
  </si>
  <si>
    <t>MALE</t>
  </si>
  <si>
    <t>Total Income from Salary With NPS</t>
  </si>
  <si>
    <t>House Rent, Under Section 10(13-A) and other Allowances Under Section 10(14) which are Exempt from tax.</t>
  </si>
  <si>
    <t xml:space="preserve">                                                           Remanent (4-5)</t>
  </si>
  <si>
    <t>(A) Income from House Property: (1) In Own Use - Nil</t>
  </si>
  <si>
    <t>(2) Rent Received is Rs.</t>
  </si>
  <si>
    <r>
      <t xml:space="preserve">Rent of </t>
    </r>
    <r>
      <rPr>
        <sz val="10"/>
        <rFont val="Calibri"/>
        <family val="2"/>
        <scheme val="minor"/>
      </rPr>
      <t>30%</t>
    </r>
  </si>
  <si>
    <t>(B) Subtract</t>
  </si>
  <si>
    <t>Interest of House Loan</t>
  </si>
  <si>
    <r>
      <rPr>
        <sz val="12"/>
        <rFont val="Calibri"/>
        <family val="2"/>
        <scheme val="minor"/>
      </rPr>
      <t>(i)   Entertainment Allowance 16(II) (Maximum limit Rs.5000)</t>
    </r>
    <r>
      <rPr>
        <sz val="12"/>
        <rFont val="DevLys 010"/>
      </rPr>
      <t xml:space="preserve">  </t>
    </r>
  </si>
  <si>
    <t>(ii)  Expenditure tax under section 16(III)</t>
  </si>
  <si>
    <t xml:space="preserve">(iii) Standard Deduction (Maximum limit Rs.50000)  </t>
  </si>
  <si>
    <t>House Tax</t>
  </si>
  <si>
    <t>Remainder -/+ (sum of 7(A) and 7(B)</t>
  </si>
  <si>
    <t>Total Balance -/+ (6 &amp; 7)</t>
  </si>
  <si>
    <t>Other Income</t>
  </si>
  <si>
    <t>Gross Income (8+9)</t>
  </si>
  <si>
    <t>Deduct Deduction Under Section US  - 80C, 80CCC,80CCD (1)</t>
  </si>
  <si>
    <t>Other Deductions</t>
  </si>
  <si>
    <t>1. Section 80D Medical Insurance Premium (Rs. 25000 for Self, Spouse and Children, Rs. 25000 for Parents, Rs. 50000 for Senior Citizen)</t>
  </si>
  <si>
    <t>Grand Total (1 to 8)</t>
  </si>
  <si>
    <r>
      <t xml:space="preserve">Total Deductions </t>
    </r>
    <r>
      <rPr>
        <b/>
        <sz val="10"/>
        <rFont val="Calibri"/>
        <family val="2"/>
        <scheme val="minor"/>
      </rPr>
      <t>( 11 + 12)</t>
    </r>
  </si>
  <si>
    <t>Taxable Income (10-13)</t>
  </si>
  <si>
    <r>
      <t xml:space="preserve">Rounding off the Amount of total Income (in Multiples of Ten) Section </t>
    </r>
    <r>
      <rPr>
        <b/>
        <sz val="11"/>
        <rFont val="Calibri"/>
        <family val="2"/>
        <scheme val="minor"/>
      </rPr>
      <t>288A</t>
    </r>
  </si>
  <si>
    <t>Calculation of income tax on the basis of column 15 above</t>
  </si>
  <si>
    <t>Senior Citizen (60 to 80 years)</t>
  </si>
  <si>
    <t>One Person Tax Payer</t>
  </si>
  <si>
    <t>80 years of age or Older</t>
  </si>
  <si>
    <t>Up to 2,50,000</t>
  </si>
  <si>
    <t>Up to 5,00,000</t>
  </si>
  <si>
    <t>Up to 3,00,000</t>
  </si>
  <si>
    <t xml:space="preserve">More Than 10,00,000 </t>
  </si>
  <si>
    <t>More Than 10,00,000</t>
  </si>
  <si>
    <t xml:space="preserve">(1) Total Incometax </t>
  </si>
  <si>
    <t>(2) Exemption section 87(I) (exemption of income tax on taxable income of Rs.2.50 lakh to Rs.5.00 lakh subject to a maximum of Rs.12500)</t>
  </si>
  <si>
    <t>(3) Balance Income Tax</t>
  </si>
  <si>
    <t>(4) Education cess 2% and surcharge for higher education 2% (Total 4%)</t>
  </si>
  <si>
    <t xml:space="preserve">                                                Total Incometax  (3+4)</t>
  </si>
  <si>
    <t>Subtract:- Relief under section 89</t>
  </si>
  <si>
    <t>Total Balance Income Tax</t>
  </si>
  <si>
    <t xml:space="preserve"> Details of Income Tax Deductions
</t>
  </si>
  <si>
    <t>Up to September 2022</t>
  </si>
  <si>
    <t>Up to December 2022</t>
  </si>
  <si>
    <t>Up to January 2023</t>
  </si>
  <si>
    <t>Up to February 2023</t>
  </si>
  <si>
    <t xml:space="preserve">T.D.S </t>
  </si>
  <si>
    <t>Total Tax Deduction</t>
  </si>
  <si>
    <t>Income Tax Computation Year 2022-2023 (Assessment Year 2023-2024)</t>
  </si>
  <si>
    <t xml:space="preserve">Signature of Employee </t>
  </si>
  <si>
    <t>1. House Rent</t>
  </si>
  <si>
    <t>7. Interest of House Loan</t>
  </si>
  <si>
    <t>5. House Tax</t>
  </si>
  <si>
    <t>4. Income from House Property</t>
  </si>
  <si>
    <t>8. LIC - Life Insurance (Other Than Salary)</t>
  </si>
  <si>
    <t>9. PLI</t>
  </si>
  <si>
    <t>11. ULIP / Annual Plan</t>
  </si>
  <si>
    <t>GPF -Public provident fund</t>
  </si>
  <si>
    <t>12. NSC - National Savings Certificate</t>
  </si>
  <si>
    <t>13. Interest of NSC</t>
  </si>
  <si>
    <t>14. PPF -Public Provident Fund</t>
  </si>
  <si>
    <t>15. NSS -National Savings Scheme</t>
  </si>
  <si>
    <t>16. Sukanya Samriddhi Yojana</t>
  </si>
  <si>
    <t>17. 80TTA/80TTB Maximum Interest on Savings Account</t>
  </si>
  <si>
    <t>10. Tution Fees</t>
  </si>
  <si>
    <t>18. Income Of Other Source (Bank FD, Interest etc)</t>
  </si>
  <si>
    <t>NPS (New Pension Scheme)</t>
  </si>
  <si>
    <t>21. 80CCD(1B) Additional Contribution in NPS - (Max. 50000)</t>
  </si>
  <si>
    <r>
      <rPr>
        <b/>
        <sz val="10"/>
        <rFont val="Calibri"/>
        <family val="2"/>
        <scheme val="minor"/>
      </rPr>
      <t xml:space="preserve">(A) - Maximum limit 1,50,000 </t>
    </r>
    <r>
      <rPr>
        <b/>
        <sz val="12"/>
        <rFont val="Calibri"/>
        <family val="2"/>
        <scheme val="minor"/>
      </rPr>
      <t>&amp; Under Section (</t>
    </r>
    <r>
      <rPr>
        <b/>
        <sz val="10"/>
        <rFont val="Calibri"/>
        <family val="2"/>
        <scheme val="minor"/>
      </rPr>
      <t>80CCE)</t>
    </r>
    <r>
      <rPr>
        <b/>
        <sz val="12"/>
        <rFont val="Calibri"/>
        <family val="2"/>
        <scheme val="minor"/>
      </rPr>
      <t xml:space="preserve"> Except</t>
    </r>
  </si>
  <si>
    <t>(B) Less - Section 80CCD(2) The Amount of Pension Contribution by the Employer (10% of the Maximum Salary) Separately exempted</t>
  </si>
  <si>
    <t>(C) Less - Section 80CCD (1B) Additional Contribution to New Pension Scheme (Maximum Rs.50,000)</t>
  </si>
  <si>
    <t xml:space="preserve">Total (A+B+C)     </t>
  </si>
  <si>
    <t>22. 80D Medical Insurance Premium</t>
  </si>
  <si>
    <t>23. 80DD Medical treatment of dependents with disabilities</t>
  </si>
  <si>
    <t>24. 80DDB Deduction for treatment of specific diseases</t>
  </si>
  <si>
    <t>25. 80E Interest on loan taken for higher education</t>
  </si>
  <si>
    <t>26. 80G Donations given to charitable institutions etc.</t>
  </si>
  <si>
    <t>27. 80U In case of permanent physical disability</t>
  </si>
  <si>
    <t>28. 80GGA Donations given for approved scientific, social, rural development etc.</t>
  </si>
  <si>
    <t>29. Equity Linked Savings Scheme</t>
  </si>
  <si>
    <t>30. Defferred Annuty</t>
  </si>
  <si>
    <t>31. Relief under section 89</t>
  </si>
  <si>
    <t>32. TDS - Income tax deposited in addition to salary bill</t>
  </si>
  <si>
    <t>Details of Deductions, Income/Deposits and Exemptions Other Than Salary</t>
  </si>
  <si>
    <t xml:space="preserve">2. Entertainment Allowance </t>
  </si>
  <si>
    <t>Receipt Required for House Rent Exemption</t>
  </si>
  <si>
    <t>8. Section 80GGA Donations given for Approved Scientific, Social, Rural Development etc.</t>
  </si>
  <si>
    <t>7. Section 80TTA Maximum Interest on Savings Account is Rs. 10,000 194(IA) 80 TTB Senior Citizen (Maximum Interest Rs.50000)</t>
  </si>
  <si>
    <t>6. Section 80U In case of Permanent Physical Disability (maximum 75,000 and 125,000 as per the 1995 Act)</t>
  </si>
  <si>
    <t>5. Section 80G Donations given to Charitable Institutions etc. (100 percent in A category and 50 percent in B category)</t>
  </si>
  <si>
    <t>4. Section 80E Interest on Loan taken for Higher Education</t>
  </si>
  <si>
    <t>3. Section 80DDB Deduction for Treatment of Specific Diseases (Maximum Rs.40,000, Rs.100,000 for Senior Citizen)</t>
  </si>
  <si>
    <t>2. Section 80DD Medical Treatment of dependents with Disabilities (maximum 75,000 and 80% or more disability 125,000)</t>
  </si>
  <si>
    <t>20. (80CCC) Contribution to Pension Plan - Other Than NPS</t>
  </si>
  <si>
    <t xml:space="preserve">19. 80C - Other Deductions In Under Section </t>
  </si>
  <si>
    <t>3. Expenditure tax under section 16(III)</t>
  </si>
  <si>
    <t>EHRMS ID</t>
  </si>
  <si>
    <t>Bhanwar Lal</t>
  </si>
  <si>
    <t>LAKHAWTI</t>
  </si>
  <si>
    <t>02-03-1983</t>
  </si>
  <si>
    <t>00820000002794</t>
  </si>
  <si>
    <t>AURANGABAD</t>
  </si>
  <si>
    <t>UPCB000BULND</t>
  </si>
  <si>
    <t>DCB AURANGABAD</t>
  </si>
  <si>
    <t>JHS BAKAURA</t>
  </si>
  <si>
    <t>CREATED BY : PARMANAND MEGHWAL SENIOR TEACHER  (9784379510) , BARAN RAJASTHAN.</t>
  </si>
  <si>
    <t>DOWNLOD TAX SOFTWARE  -  RAJTEACHERS.NET</t>
  </si>
  <si>
    <t>GRADE PAY</t>
  </si>
  <si>
    <t>PPF</t>
  </si>
  <si>
    <t>Increament Month</t>
  </si>
  <si>
    <t>JANUARY</t>
  </si>
  <si>
    <t>JULY</t>
  </si>
  <si>
    <t>6. Home Loan Principal Amount</t>
  </si>
  <si>
    <t>HBA Premium -Home Loan Principal Amount</t>
  </si>
  <si>
    <t>Total Income from Salary</t>
  </si>
  <si>
    <t>Incometax Computation Financial (2022-23) Assessment Year (2023-24)</t>
  </si>
  <si>
    <t>5,00,001-7,50,0,000</t>
  </si>
  <si>
    <t>7,50,001-10,00,000</t>
  </si>
  <si>
    <t>10,00,001-12,50,000</t>
  </si>
  <si>
    <t>12,50,001-15,00,000</t>
  </si>
  <si>
    <t xml:space="preserve">More Than 15,00,000 </t>
  </si>
</sst>
</file>

<file path=xl/styles.xml><?xml version="1.0" encoding="utf-8"?>
<styleSheet xmlns="http://schemas.openxmlformats.org/spreadsheetml/2006/main">
  <fonts count="74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color theme="1"/>
      <name val="Times New Roman"/>
      <family val="1"/>
    </font>
    <font>
      <b/>
      <u/>
      <sz val="2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u/>
      <sz val="10"/>
      <color theme="10"/>
      <name val="Arial"/>
      <family val="2"/>
    </font>
    <font>
      <b/>
      <sz val="13"/>
      <color theme="1"/>
      <name val="Kruti Dev 010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1"/>
      <name val="Times New Roman"/>
      <family val="1"/>
    </font>
    <font>
      <b/>
      <sz val="14"/>
      <name val="Times New Roman"/>
      <family val="1"/>
    </font>
    <font>
      <b/>
      <sz val="13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mbria"/>
      <family val="1"/>
      <scheme val="major"/>
    </font>
    <font>
      <sz val="10"/>
      <name val="Ccca"/>
    </font>
    <font>
      <i/>
      <sz val="10"/>
      <name val="Ccca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u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37">
    <xf numFmtId="0" fontId="0" fillId="0" borderId="0" xfId="0"/>
    <xf numFmtId="2" fontId="1" fillId="0" borderId="0" xfId="0" applyNumberFormat="1" applyFont="1" applyBorder="1" applyAlignment="1"/>
    <xf numFmtId="2" fontId="7" fillId="2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 textRotation="90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25" fillId="0" borderId="10" xfId="37" applyFont="1" applyBorder="1" applyAlignment="1">
      <alignment horizontal="right" vertical="center"/>
    </xf>
    <xf numFmtId="0" fontId="26" fillId="0" borderId="0" xfId="37" applyFont="1"/>
    <xf numFmtId="0" fontId="1" fillId="0" borderId="0" xfId="37" applyFont="1"/>
    <xf numFmtId="0" fontId="25" fillId="0" borderId="0" xfId="37" applyFont="1" applyAlignment="1">
      <alignment horizontal="right"/>
    </xf>
    <xf numFmtId="0" fontId="26" fillId="0" borderId="0" xfId="37" applyFont="1" applyAlignment="1">
      <alignment horizontal="right"/>
    </xf>
    <xf numFmtId="0" fontId="0" fillId="0" borderId="0" xfId="0" applyAlignment="1">
      <alignment vertical="center"/>
    </xf>
    <xf numFmtId="2" fontId="34" fillId="0" borderId="10" xfId="37" applyNumberFormat="1" applyFont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textRotation="90" wrapText="1"/>
    </xf>
    <xf numFmtId="0" fontId="32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center" textRotation="90"/>
    </xf>
    <xf numFmtId="0" fontId="31" fillId="0" borderId="10" xfId="37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2" fontId="30" fillId="0" borderId="21" xfId="37" applyNumberFormat="1" applyFont="1" applyBorder="1" applyAlignment="1">
      <alignment horizontal="right" vertical="center"/>
    </xf>
    <xf numFmtId="2" fontId="31" fillId="0" borderId="21" xfId="37" applyNumberFormat="1" applyFont="1" applyBorder="1" applyAlignment="1">
      <alignment horizontal="right" vertical="center"/>
    </xf>
    <xf numFmtId="2" fontId="33" fillId="0" borderId="21" xfId="37" applyNumberFormat="1" applyFont="1" applyBorder="1" applyAlignment="1">
      <alignment horizontal="right" vertical="center"/>
    </xf>
    <xf numFmtId="0" fontId="2" fillId="0" borderId="21" xfId="37" applyFont="1" applyBorder="1" applyAlignment="1">
      <alignment vertical="center"/>
    </xf>
    <xf numFmtId="2" fontId="31" fillId="0" borderId="21" xfId="37" applyNumberFormat="1" applyFont="1" applyBorder="1" applyAlignment="1">
      <alignment vertical="center"/>
    </xf>
    <xf numFmtId="2" fontId="31" fillId="0" borderId="29" xfId="37" applyNumberFormat="1" applyFont="1" applyBorder="1" applyAlignment="1">
      <alignment horizontal="right" vertical="center"/>
    </xf>
    <xf numFmtId="0" fontId="32" fillId="0" borderId="32" xfId="37" applyFont="1" applyBorder="1" applyAlignment="1">
      <alignment horizontal="right" vertical="center"/>
    </xf>
    <xf numFmtId="2" fontId="31" fillId="0" borderId="0" xfId="37" applyNumberFormat="1" applyFont="1" applyBorder="1" applyAlignment="1">
      <alignment horizontal="right" vertical="center"/>
    </xf>
    <xf numFmtId="0" fontId="32" fillId="0" borderId="10" xfId="0" applyNumberFormat="1" applyFont="1" applyBorder="1" applyAlignment="1" applyProtection="1">
      <alignment horizontal="center" vertical="center"/>
      <protection locked="0" hidden="1"/>
    </xf>
    <xf numFmtId="0" fontId="35" fillId="0" borderId="10" xfId="0" applyNumberFormat="1" applyFont="1" applyBorder="1" applyAlignment="1" applyProtection="1">
      <alignment horizontal="center" vertical="center"/>
      <protection hidden="1"/>
    </xf>
    <xf numFmtId="2" fontId="32" fillId="0" borderId="10" xfId="0" applyNumberFormat="1" applyFont="1" applyBorder="1" applyAlignment="1" applyProtection="1">
      <alignment horizontal="center" vertical="center"/>
      <protection hidden="1"/>
    </xf>
    <xf numFmtId="2" fontId="35" fillId="0" borderId="10" xfId="0" applyNumberFormat="1" applyFont="1" applyBorder="1" applyAlignment="1" applyProtection="1">
      <alignment horizontal="center" vertical="center"/>
      <protection hidden="1"/>
    </xf>
    <xf numFmtId="2" fontId="32" fillId="0" borderId="10" xfId="0" applyNumberFormat="1" applyFont="1" applyBorder="1" applyAlignment="1" applyProtection="1">
      <alignment horizontal="center" vertical="center"/>
      <protection locked="0" hidden="1"/>
    </xf>
    <xf numFmtId="0" fontId="5" fillId="26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 vertical="center"/>
    </xf>
    <xf numFmtId="2" fontId="7" fillId="24" borderId="0" xfId="0" applyNumberFormat="1" applyFont="1" applyFill="1" applyBorder="1" applyAlignment="1">
      <alignment horizontal="left" indent="2"/>
    </xf>
    <xf numFmtId="0" fontId="27" fillId="26" borderId="0" xfId="0" applyNumberFormat="1" applyFont="1" applyFill="1" applyBorder="1" applyAlignment="1">
      <alignment vertical="top"/>
    </xf>
    <xf numFmtId="0" fontId="35" fillId="26" borderId="0" xfId="0" applyNumberFormat="1" applyFont="1" applyFill="1" applyBorder="1" applyAlignment="1">
      <alignment horizontal="center" textRotation="90" wrapText="1"/>
    </xf>
    <xf numFmtId="0" fontId="32" fillId="26" borderId="0" xfId="0" applyNumberFormat="1" applyFont="1" applyFill="1" applyBorder="1" applyAlignment="1">
      <alignment vertical="center"/>
    </xf>
    <xf numFmtId="0" fontId="35" fillId="26" borderId="0" xfId="0" applyNumberFormat="1" applyFont="1" applyFill="1" applyBorder="1" applyAlignment="1">
      <alignment horizontal="center" vertical="center" textRotation="90"/>
    </xf>
    <xf numFmtId="0" fontId="4" fillId="26" borderId="0" xfId="0" applyNumberFormat="1" applyFont="1" applyFill="1" applyBorder="1" applyAlignment="1">
      <alignment vertical="top" textRotation="90"/>
    </xf>
    <xf numFmtId="0" fontId="0" fillId="26" borderId="0" xfId="0" applyFill="1"/>
    <xf numFmtId="1" fontId="31" fillId="0" borderId="10" xfId="37" applyNumberFormat="1" applyFont="1" applyBorder="1" applyAlignment="1">
      <alignment horizontal="center" vertical="center" wrapText="1"/>
    </xf>
    <xf numFmtId="0" fontId="0" fillId="0" borderId="0" xfId="0" applyFill="1"/>
    <xf numFmtId="2" fontId="7" fillId="24" borderId="17" xfId="0" applyNumberFormat="1" applyFont="1" applyFill="1" applyBorder="1" applyAlignment="1">
      <alignment horizontal="left"/>
    </xf>
    <xf numFmtId="2" fontId="7" fillId="24" borderId="17" xfId="0" applyNumberFormat="1" applyFont="1" applyFill="1" applyBorder="1" applyAlignment="1">
      <alignment horizontal="left" indent="2"/>
    </xf>
    <xf numFmtId="2" fontId="47" fillId="31" borderId="17" xfId="0" applyNumberFormat="1" applyFont="1" applyFill="1" applyBorder="1" applyAlignment="1">
      <alignment horizontal="center" vertical="center"/>
    </xf>
    <xf numFmtId="1" fontId="48" fillId="30" borderId="0" xfId="0" applyNumberFormat="1" applyFont="1" applyFill="1" applyBorder="1" applyAlignment="1">
      <alignment horizontal="center" vertical="center"/>
    </xf>
    <xf numFmtId="1" fontId="48" fillId="31" borderId="0" xfId="0" applyNumberFormat="1" applyFont="1" applyFill="1" applyBorder="1" applyAlignment="1">
      <alignment horizontal="center" vertical="center"/>
    </xf>
    <xf numFmtId="1" fontId="48" fillId="29" borderId="0" xfId="0" applyNumberFormat="1" applyFont="1" applyFill="1" applyBorder="1" applyAlignment="1">
      <alignment horizontal="center" vertical="center"/>
    </xf>
    <xf numFmtId="2" fontId="48" fillId="29" borderId="0" xfId="0" applyNumberFormat="1" applyFont="1" applyFill="1" applyBorder="1" applyAlignment="1">
      <alignment horizontal="center" vertical="center"/>
    </xf>
    <xf numFmtId="2" fontId="30" fillId="29" borderId="0" xfId="0" applyNumberFormat="1" applyFont="1" applyFill="1" applyBorder="1" applyAlignment="1" applyProtection="1">
      <alignment horizontal="center"/>
      <protection locked="0"/>
    </xf>
    <xf numFmtId="2" fontId="30" fillId="29" borderId="0" xfId="0" applyNumberFormat="1" applyFont="1" applyFill="1" applyBorder="1" applyAlignment="1" applyProtection="1">
      <alignment horizontal="left"/>
    </xf>
    <xf numFmtId="2" fontId="30" fillId="33" borderId="0" xfId="0" applyNumberFormat="1" applyFont="1" applyFill="1" applyBorder="1" applyAlignment="1" applyProtection="1">
      <alignment horizontal="center" vertical="center"/>
      <protection locked="0"/>
    </xf>
    <xf numFmtId="2" fontId="30" fillId="33" borderId="0" xfId="0" applyNumberFormat="1" applyFont="1" applyFill="1" applyBorder="1" applyAlignment="1" applyProtection="1">
      <alignment horizontal="left"/>
    </xf>
    <xf numFmtId="2" fontId="30" fillId="33" borderId="0" xfId="0" applyNumberFormat="1" applyFont="1" applyFill="1" applyBorder="1" applyAlignment="1" applyProtection="1">
      <alignment horizontal="center"/>
      <protection locked="0"/>
    </xf>
    <xf numFmtId="2" fontId="49" fillId="34" borderId="17" xfId="0" applyNumberFormat="1" applyFont="1" applyFill="1" applyBorder="1" applyAlignment="1">
      <alignment horizontal="center"/>
    </xf>
    <xf numFmtId="17" fontId="37" fillId="0" borderId="22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 applyProtection="1">
      <alignment horizontal="center" vertical="center"/>
      <protection locked="0" hidden="1"/>
    </xf>
    <xf numFmtId="17" fontId="32" fillId="0" borderId="22" xfId="0" applyNumberFormat="1" applyFont="1" applyBorder="1" applyAlignment="1" applyProtection="1">
      <alignment horizontal="center" vertical="center"/>
      <protection locked="0"/>
    </xf>
    <xf numFmtId="17" fontId="32" fillId="0" borderId="22" xfId="0" applyNumberFormat="1" applyFont="1" applyFill="1" applyBorder="1" applyAlignment="1" applyProtection="1">
      <alignment horizontal="center" vertical="center"/>
    </xf>
    <xf numFmtId="17" fontId="32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27" xfId="0" applyNumberFormat="1" applyFont="1" applyBorder="1" applyAlignment="1">
      <alignment horizontal="center" vertical="center" textRotation="90"/>
    </xf>
    <xf numFmtId="0" fontId="42" fillId="0" borderId="28" xfId="0" applyNumberFormat="1" applyFont="1" applyBorder="1" applyAlignment="1" applyProtection="1">
      <alignment horizontal="center" vertical="center" textRotation="90"/>
      <protection hidden="1"/>
    </xf>
    <xf numFmtId="2" fontId="42" fillId="0" borderId="28" xfId="0" applyNumberFormat="1" applyFont="1" applyBorder="1" applyAlignment="1" applyProtection="1">
      <alignment horizontal="center" vertical="center" textRotation="90"/>
      <protection hidden="1"/>
    </xf>
    <xf numFmtId="0" fontId="35" fillId="0" borderId="29" xfId="0" applyNumberFormat="1" applyFont="1" applyBorder="1" applyAlignment="1" applyProtection="1">
      <alignment horizontal="center" vertical="center" textRotation="90"/>
      <protection hidden="1"/>
    </xf>
    <xf numFmtId="0" fontId="32" fillId="36" borderId="10" xfId="0" applyNumberFormat="1" applyFont="1" applyFill="1" applyBorder="1" applyAlignment="1" applyProtection="1">
      <alignment horizontal="center" vertical="center"/>
      <protection locked="0" hidden="1"/>
    </xf>
    <xf numFmtId="0" fontId="44" fillId="0" borderId="10" xfId="37" applyFont="1" applyBorder="1" applyAlignment="1">
      <alignment horizontal="center" vertical="top" wrapText="1"/>
    </xf>
    <xf numFmtId="0" fontId="32" fillId="0" borderId="10" xfId="37" applyFont="1" applyBorder="1" applyAlignment="1">
      <alignment horizontal="left" vertical="top" wrapText="1"/>
    </xf>
    <xf numFmtId="2" fontId="57" fillId="0" borderId="10" xfId="37" applyNumberFormat="1" applyFont="1" applyBorder="1" applyAlignment="1">
      <alignment horizontal="center" vertical="top" wrapText="1"/>
    </xf>
    <xf numFmtId="2" fontId="57" fillId="25" borderId="10" xfId="37" applyNumberFormat="1" applyFont="1" applyFill="1" applyBorder="1" applyAlignment="1">
      <alignment horizontal="center" vertical="top" wrapText="1"/>
    </xf>
    <xf numFmtId="0" fontId="59" fillId="0" borderId="10" xfId="37" applyFont="1" applyBorder="1" applyAlignment="1">
      <alignment horizontal="center" vertical="top" wrapText="1"/>
    </xf>
    <xf numFmtId="0" fontId="59" fillId="0" borderId="10" xfId="37" applyFont="1" applyBorder="1" applyAlignment="1">
      <alignment horizontal="left" vertical="top" wrapText="1"/>
    </xf>
    <xf numFmtId="2" fontId="60" fillId="0" borderId="10" xfId="37" applyNumberFormat="1" applyFont="1" applyBorder="1" applyAlignment="1">
      <alignment horizontal="center" vertical="top" wrapText="1"/>
    </xf>
    <xf numFmtId="0" fontId="37" fillId="0" borderId="32" xfId="37" applyFont="1" applyBorder="1" applyAlignment="1">
      <alignment horizontal="left" vertical="center"/>
    </xf>
    <xf numFmtId="9" fontId="32" fillId="0" borderId="10" xfId="37" applyNumberFormat="1" applyFont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/>
    </xf>
    <xf numFmtId="0" fontId="59" fillId="0" borderId="10" xfId="37" applyFont="1" applyBorder="1" applyAlignment="1">
      <alignment horizontal="left" vertical="top" wrapText="1"/>
    </xf>
    <xf numFmtId="0" fontId="30" fillId="0" borderId="10" xfId="37" applyFont="1" applyBorder="1" applyAlignment="1">
      <alignment horizontal="center" vertical="center" wrapText="1"/>
    </xf>
    <xf numFmtId="0" fontId="31" fillId="0" borderId="30" xfId="37" applyFont="1" applyBorder="1" applyAlignment="1">
      <alignment horizontal="center" vertical="center"/>
    </xf>
    <xf numFmtId="0" fontId="31" fillId="0" borderId="22" xfId="37" applyFont="1" applyBorder="1" applyAlignment="1">
      <alignment horizontal="center" vertical="center"/>
    </xf>
    <xf numFmtId="0" fontId="64" fillId="0" borderId="0" xfId="37" applyFont="1" applyBorder="1" applyAlignment="1">
      <alignment horizontal="right" vertical="center"/>
    </xf>
    <xf numFmtId="0" fontId="31" fillId="0" borderId="0" xfId="37" applyFont="1" applyBorder="1" applyAlignment="1">
      <alignment horizontal="right" vertical="center"/>
    </xf>
    <xf numFmtId="0" fontId="31" fillId="0" borderId="0" xfId="37" applyFont="1" applyBorder="1"/>
    <xf numFmtId="0" fontId="32" fillId="0" borderId="0" xfId="37" applyFont="1" applyBorder="1"/>
    <xf numFmtId="0" fontId="32" fillId="0" borderId="0" xfId="37" applyFont="1" applyBorder="1" applyAlignment="1">
      <alignment horizontal="right"/>
    </xf>
    <xf numFmtId="0" fontId="31" fillId="0" borderId="0" xfId="37" applyFont="1" applyFill="1" applyBorder="1"/>
    <xf numFmtId="0" fontId="31" fillId="0" borderId="0" xfId="37" applyFont="1" applyFill="1"/>
    <xf numFmtId="0" fontId="32" fillId="0" borderId="0" xfId="37" applyFont="1" applyFill="1" applyBorder="1"/>
    <xf numFmtId="0" fontId="32" fillId="0" borderId="0" xfId="37" applyFont="1" applyFill="1"/>
    <xf numFmtId="0" fontId="31" fillId="26" borderId="0" xfId="37" applyFont="1" applyFill="1"/>
    <xf numFmtId="0" fontId="32" fillId="26" borderId="0" xfId="37" applyFont="1" applyFill="1"/>
    <xf numFmtId="0" fontId="35" fillId="26" borderId="0" xfId="37" applyFont="1" applyFill="1" applyAlignment="1">
      <alignment horizontal="right"/>
    </xf>
    <xf numFmtId="0" fontId="32" fillId="26" borderId="0" xfId="37" applyFont="1" applyFill="1" applyAlignment="1">
      <alignment horizontal="right"/>
    </xf>
    <xf numFmtId="0" fontId="31" fillId="0" borderId="0" xfId="37" applyFont="1"/>
    <xf numFmtId="0" fontId="32" fillId="0" borderId="0" xfId="37" applyFont="1"/>
    <xf numFmtId="0" fontId="35" fillId="0" borderId="0" xfId="37" applyFont="1" applyAlignment="1">
      <alignment horizontal="right"/>
    </xf>
    <xf numFmtId="0" fontId="32" fillId="0" borderId="0" xfId="37" applyFont="1" applyAlignment="1">
      <alignment horizontal="right"/>
    </xf>
    <xf numFmtId="2" fontId="31" fillId="29" borderId="0" xfId="0" applyNumberFormat="1" applyFont="1" applyFill="1" applyBorder="1" applyAlignment="1">
      <alignment horizontal="left" indent="1"/>
    </xf>
    <xf numFmtId="2" fontId="31" fillId="33" borderId="0" xfId="0" applyNumberFormat="1" applyFont="1" applyFill="1" applyBorder="1" applyAlignment="1">
      <alignment horizontal="left" vertical="center" wrapText="1" indent="1"/>
    </xf>
    <xf numFmtId="2" fontId="31" fillId="33" borderId="0" xfId="0" applyNumberFormat="1" applyFont="1" applyFill="1" applyBorder="1" applyAlignment="1">
      <alignment horizontal="left" vertical="center" indent="1"/>
    </xf>
    <xf numFmtId="2" fontId="31" fillId="33" borderId="0" xfId="0" applyNumberFormat="1" applyFont="1" applyFill="1" applyBorder="1" applyAlignment="1">
      <alignment horizontal="left" indent="1"/>
    </xf>
    <xf numFmtId="2" fontId="31" fillId="29" borderId="0" xfId="0" applyNumberFormat="1" applyFont="1" applyFill="1" applyBorder="1" applyAlignment="1" applyProtection="1">
      <alignment horizontal="left" vertical="center" wrapText="1" indent="1"/>
    </xf>
    <xf numFmtId="0" fontId="31" fillId="0" borderId="24" xfId="37" applyFont="1" applyBorder="1" applyAlignment="1">
      <alignment horizontal="center" vertical="top"/>
    </xf>
    <xf numFmtId="2" fontId="32" fillId="33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 applyProtection="1">
      <alignment vertical="top"/>
      <protection locked="0" hidden="1"/>
    </xf>
    <xf numFmtId="0" fontId="6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7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7" fillId="0" borderId="0" xfId="0" applyNumberFormat="1" applyFont="1" applyFill="1" applyBorder="1" applyAlignment="1" applyProtection="1">
      <alignment vertical="top"/>
      <protection locked="0" hidden="1"/>
    </xf>
    <xf numFmtId="0" fontId="35" fillId="0" borderId="0" xfId="0" applyNumberFormat="1" applyFont="1" applyFill="1" applyBorder="1" applyAlignment="1" applyProtection="1">
      <alignment horizontal="center" textRotation="90" wrapText="1"/>
      <protection locked="0" hidden="1"/>
    </xf>
    <xf numFmtId="0" fontId="31" fillId="0" borderId="10" xfId="0" applyFont="1" applyBorder="1" applyAlignment="1" applyProtection="1">
      <alignment horizontal="center" vertical="center"/>
      <protection locked="0" hidden="1"/>
    </xf>
    <xf numFmtId="0" fontId="31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NumberFormat="1" applyFont="1" applyFill="1" applyBorder="1" applyAlignment="1" applyProtection="1">
      <alignment vertical="center"/>
      <protection locked="0" hidden="1"/>
    </xf>
    <xf numFmtId="0" fontId="35" fillId="0" borderId="0" xfId="0" applyNumberFormat="1" applyFont="1" applyFill="1" applyBorder="1" applyAlignment="1" applyProtection="1">
      <alignment horizontal="center" vertical="center" textRotation="90"/>
      <protection locked="0" hidden="1"/>
    </xf>
    <xf numFmtId="0" fontId="4" fillId="0" borderId="0" xfId="0" applyNumberFormat="1" applyFont="1" applyFill="1" applyBorder="1" applyAlignment="1" applyProtection="1">
      <alignment vertical="top" textRotation="90"/>
      <protection locked="0" hidden="1"/>
    </xf>
    <xf numFmtId="0" fontId="6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14" xfId="0" applyFont="1" applyBorder="1" applyAlignment="1" applyProtection="1">
      <alignment horizontal="center" vertical="center"/>
      <protection locked="0" hidden="1"/>
    </xf>
    <xf numFmtId="0" fontId="31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53" fillId="36" borderId="10" xfId="0" applyNumberFormat="1" applyFont="1" applyFill="1" applyBorder="1" applyAlignment="1" applyProtection="1">
      <alignment horizontal="center" vertical="top" wrapText="1"/>
      <protection locked="0" hidden="1"/>
    </xf>
    <xf numFmtId="0" fontId="51" fillId="35" borderId="14" xfId="0" applyNumberFormat="1" applyFont="1" applyFill="1" applyBorder="1" applyAlignment="1" applyProtection="1">
      <alignment vertical="center"/>
      <protection locked="0" hidden="1"/>
    </xf>
    <xf numFmtId="0" fontId="51" fillId="35" borderId="10" xfId="0" applyNumberFormat="1" applyFont="1" applyFill="1" applyBorder="1" applyAlignment="1" applyProtection="1">
      <alignment vertical="center"/>
      <protection locked="0" hidden="1"/>
    </xf>
    <xf numFmtId="0" fontId="0" fillId="0" borderId="10" xfId="0" applyFont="1" applyBorder="1" applyProtection="1">
      <protection locked="0" hidden="1"/>
    </xf>
    <xf numFmtId="0" fontId="0" fillId="0" borderId="10" xfId="0" applyFont="1" applyBorder="1" applyAlignment="1" applyProtection="1">
      <alignment horizontal="left"/>
      <protection locked="0" hidden="1"/>
    </xf>
    <xf numFmtId="0" fontId="32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52" fillId="35" borderId="10" xfId="0" applyNumberFormat="1" applyFont="1" applyFill="1" applyBorder="1" applyAlignment="1" applyProtection="1">
      <alignment horizontal="center" vertical="center"/>
      <protection locked="0" hidden="1"/>
    </xf>
    <xf numFmtId="0" fontId="51" fillId="35" borderId="1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53" fillId="36" borderId="10" xfId="0" applyNumberFormat="1" applyFont="1" applyFill="1" applyBorder="1" applyAlignment="1" applyProtection="1">
      <alignment vertical="top" wrapText="1"/>
      <protection locked="0" hidden="1"/>
    </xf>
    <xf numFmtId="0" fontId="56" fillId="35" borderId="10" xfId="0" applyNumberFormat="1" applyFont="1" applyFill="1" applyBorder="1" applyAlignment="1" applyProtection="1">
      <alignment horizontal="center" vertical="center"/>
      <protection locked="0" hidden="1"/>
    </xf>
    <xf numFmtId="0" fontId="53" fillId="36" borderId="4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40" xfId="0" applyFont="1" applyBorder="1" applyProtection="1">
      <protection locked="0" hidden="1"/>
    </xf>
    <xf numFmtId="0" fontId="0" fillId="0" borderId="40" xfId="0" applyFont="1" applyBorder="1" applyAlignment="1" applyProtection="1">
      <alignment horizontal="left"/>
      <protection locked="0" hidden="1"/>
    </xf>
    <xf numFmtId="0" fontId="0" fillId="0" borderId="40" xfId="0" applyFont="1" applyBorder="1" applyAlignment="1" applyProtection="1">
      <alignment horizontal="center"/>
      <protection locked="0" hidden="1"/>
    </xf>
    <xf numFmtId="0" fontId="52" fillId="35" borderId="40" xfId="0" applyNumberFormat="1" applyFont="1" applyFill="1" applyBorder="1" applyAlignment="1" applyProtection="1">
      <alignment horizontal="center" vertical="center"/>
      <protection locked="0" hidden="1"/>
    </xf>
    <xf numFmtId="0" fontId="53" fillId="37" borderId="12" xfId="0" applyNumberFormat="1" applyFont="1" applyFill="1" applyBorder="1" applyAlignment="1" applyProtection="1">
      <alignment horizontal="center" vertical="center"/>
      <protection locked="0"/>
    </xf>
    <xf numFmtId="0" fontId="53" fillId="37" borderId="10" xfId="0" applyNumberFormat="1" applyFont="1" applyFill="1" applyBorder="1" applyAlignment="1" applyProtection="1">
      <alignment horizontal="center" vertical="center"/>
      <protection locked="0"/>
    </xf>
    <xf numFmtId="0" fontId="71" fillId="37" borderId="16" xfId="0" applyNumberFormat="1" applyFont="1" applyFill="1" applyBorder="1" applyAlignment="1" applyProtection="1">
      <alignment vertical="top" wrapText="1"/>
      <protection locked="0"/>
    </xf>
    <xf numFmtId="0" fontId="71" fillId="37" borderId="11" xfId="0" applyNumberFormat="1" applyFont="1" applyFill="1" applyBorder="1" applyAlignment="1" applyProtection="1">
      <alignment vertical="top" wrapText="1"/>
      <protection locked="0"/>
    </xf>
    <xf numFmtId="0" fontId="71" fillId="37" borderId="20" xfId="0" applyNumberFormat="1" applyFont="1" applyFill="1" applyBorder="1" applyAlignment="1" applyProtection="1">
      <alignment vertical="top" wrapText="1"/>
      <protection locked="0"/>
    </xf>
    <xf numFmtId="0" fontId="38" fillId="0" borderId="10" xfId="0" applyNumberFormat="1" applyFont="1" applyFill="1" applyBorder="1" applyAlignment="1" applyProtection="1">
      <alignment horizontal="center" textRotation="90" wrapText="1"/>
      <protection hidden="1"/>
    </xf>
    <xf numFmtId="0" fontId="56" fillId="35" borderId="14" xfId="0" applyNumberFormat="1" applyFont="1" applyFill="1" applyBorder="1" applyAlignment="1" applyProtection="1">
      <alignment vertical="center"/>
      <protection locked="0" hidden="1"/>
    </xf>
    <xf numFmtId="0" fontId="56" fillId="35" borderId="10" xfId="0" applyNumberFormat="1" applyFont="1" applyFill="1" applyBorder="1" applyAlignment="1" applyProtection="1">
      <alignment vertical="center"/>
      <protection locked="0" hidden="1"/>
    </xf>
    <xf numFmtId="0" fontId="32" fillId="0" borderId="10" xfId="0" applyFont="1" applyBorder="1" applyProtection="1">
      <protection locked="0" hidden="1"/>
    </xf>
    <xf numFmtId="0" fontId="32" fillId="0" borderId="10" xfId="0" applyFont="1" applyBorder="1" applyAlignment="1" applyProtection="1">
      <alignment horizontal="left"/>
      <protection locked="0" hidden="1"/>
    </xf>
    <xf numFmtId="0" fontId="56" fillId="35" borderId="19" xfId="0" applyNumberFormat="1" applyFont="1" applyFill="1" applyBorder="1" applyAlignment="1" applyProtection="1">
      <alignment vertical="center"/>
      <protection locked="0" hidden="1"/>
    </xf>
    <xf numFmtId="0" fontId="56" fillId="35" borderId="40" xfId="0" applyNumberFormat="1" applyFont="1" applyFill="1" applyBorder="1" applyAlignment="1" applyProtection="1">
      <alignment vertical="center"/>
      <protection locked="0" hidden="1"/>
    </xf>
    <xf numFmtId="0" fontId="32" fillId="0" borderId="40" xfId="0" applyFont="1" applyBorder="1" applyProtection="1">
      <protection locked="0" hidden="1"/>
    </xf>
    <xf numFmtId="0" fontId="32" fillId="0" borderId="40" xfId="0" applyFont="1" applyBorder="1" applyAlignment="1" applyProtection="1">
      <alignment horizontal="left"/>
      <protection locked="0" hidden="1"/>
    </xf>
    <xf numFmtId="0" fontId="32" fillId="0" borderId="40" xfId="0" applyFont="1" applyBorder="1" applyAlignment="1" applyProtection="1">
      <alignment horizontal="center"/>
      <protection locked="0" hidden="1"/>
    </xf>
    <xf numFmtId="0" fontId="56" fillId="35" borderId="40" xfId="0" applyNumberFormat="1" applyFont="1" applyFill="1" applyBorder="1" applyAlignment="1" applyProtection="1">
      <alignment horizontal="center" vertical="center"/>
      <protection locked="0" hidden="1"/>
    </xf>
    <xf numFmtId="0" fontId="73" fillId="35" borderId="10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10" xfId="37" applyFont="1" applyBorder="1" applyAlignment="1">
      <alignment horizontal="center" vertical="center"/>
    </xf>
    <xf numFmtId="0" fontId="31" fillId="0" borderId="24" xfId="37" applyFont="1" applyBorder="1" applyAlignment="1">
      <alignment horizontal="center" vertical="top"/>
    </xf>
    <xf numFmtId="0" fontId="32" fillId="0" borderId="10" xfId="37" applyFont="1" applyBorder="1" applyAlignment="1">
      <alignment horizontal="left" vertical="top" wrapText="1"/>
    </xf>
    <xf numFmtId="9" fontId="32" fillId="0" borderId="10" xfId="37" applyNumberFormat="1" applyFont="1" applyBorder="1" applyAlignment="1">
      <alignment horizontal="center" vertical="center"/>
    </xf>
    <xf numFmtId="0" fontId="59" fillId="0" borderId="10" xfId="37" applyFont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/>
    </xf>
    <xf numFmtId="0" fontId="40" fillId="0" borderId="10" xfId="0" applyNumberFormat="1" applyFont="1" applyFill="1" applyBorder="1" applyAlignment="1" applyProtection="1">
      <alignment horizontal="center" textRotation="90" wrapText="1"/>
      <protection hidden="1"/>
    </xf>
    <xf numFmtId="0" fontId="32" fillId="32" borderId="10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10" xfId="0" applyNumberFormat="1" applyFont="1" applyFill="1" applyBorder="1" applyAlignment="1" applyProtection="1">
      <alignment vertical="center"/>
      <protection locked="0"/>
    </xf>
    <xf numFmtId="0" fontId="7" fillId="0" borderId="22" xfId="0" applyNumberFormat="1" applyFont="1" applyFill="1" applyBorder="1" applyAlignment="1">
      <alignment horizontal="left" vertical="center"/>
    </xf>
    <xf numFmtId="0" fontId="38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0" xfId="37" applyFont="1" applyBorder="1" applyAlignment="1">
      <alignment horizontal="center" vertical="center"/>
    </xf>
    <xf numFmtId="9" fontId="32" fillId="0" borderId="10" xfId="37" applyNumberFormat="1" applyFont="1" applyBorder="1" applyAlignment="1">
      <alignment horizontal="center" vertical="center"/>
    </xf>
    <xf numFmtId="0" fontId="59" fillId="0" borderId="10" xfId="37" applyFont="1" applyBorder="1" applyAlignment="1">
      <alignment horizontal="left" vertical="top" wrapText="1"/>
    </xf>
    <xf numFmtId="0" fontId="46" fillId="0" borderId="43" xfId="0" applyNumberFormat="1" applyFont="1" applyBorder="1" applyAlignment="1" applyProtection="1">
      <alignment horizontal="center" vertical="center"/>
      <protection locked="0"/>
    </xf>
    <xf numFmtId="0" fontId="46" fillId="0" borderId="13" xfId="0" applyNumberFormat="1" applyFont="1" applyBorder="1" applyAlignment="1" applyProtection="1">
      <alignment horizontal="center" vertical="center"/>
      <protection locked="0"/>
    </xf>
    <xf numFmtId="0" fontId="46" fillId="0" borderId="26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>
      <alignment horizontal="center" vertical="top"/>
    </xf>
    <xf numFmtId="0" fontId="53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left" vertical="center"/>
      <protection locked="0"/>
    </xf>
    <xf numFmtId="0" fontId="46" fillId="0" borderId="41" xfId="0" applyNumberFormat="1" applyFont="1" applyBorder="1" applyAlignment="1" applyProtection="1">
      <alignment horizontal="center" vertical="center"/>
      <protection locked="0"/>
    </xf>
    <xf numFmtId="0" fontId="46" fillId="0" borderId="42" xfId="0" applyNumberFormat="1" applyFont="1" applyBorder="1" applyAlignment="1" applyProtection="1">
      <alignment horizontal="center" vertical="center"/>
      <protection locked="0"/>
    </xf>
    <xf numFmtId="0" fontId="46" fillId="0" borderId="34" xfId="0" applyNumberFormat="1" applyFont="1" applyBorder="1" applyAlignment="1" applyProtection="1">
      <alignment horizontal="center" vertical="center"/>
      <protection locked="0"/>
    </xf>
    <xf numFmtId="1" fontId="7" fillId="0" borderId="10" xfId="0" quotePrefix="1" applyNumberFormat="1" applyFont="1" applyFill="1" applyBorder="1" applyAlignment="1" applyProtection="1">
      <alignment horizontal="left" vertical="center"/>
      <protection locked="0"/>
    </xf>
    <xf numFmtId="1" fontId="7" fillId="0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NumberFormat="1" applyFont="1" applyFill="1" applyBorder="1" applyAlignment="1">
      <alignment horizontal="left" vertical="center"/>
    </xf>
    <xf numFmtId="0" fontId="7" fillId="36" borderId="10" xfId="0" applyNumberFormat="1" applyFont="1" applyFill="1" applyBorder="1" applyAlignment="1" applyProtection="1">
      <alignment horizontal="left" vertical="center"/>
      <protection locked="0"/>
    </xf>
    <xf numFmtId="0" fontId="55" fillId="35" borderId="22" xfId="0" applyNumberFormat="1" applyFont="1" applyFill="1" applyBorder="1" applyAlignment="1" applyProtection="1">
      <alignment horizontal="center" vertical="center"/>
      <protection hidden="1"/>
    </xf>
    <xf numFmtId="0" fontId="55" fillId="35" borderId="10" xfId="0" applyNumberFormat="1" applyFont="1" applyFill="1" applyBorder="1" applyAlignment="1" applyProtection="1">
      <alignment horizontal="center" vertical="center"/>
      <protection hidden="1"/>
    </xf>
    <xf numFmtId="0" fontId="40" fillId="0" borderId="10" xfId="0" applyNumberFormat="1" applyFont="1" applyFill="1" applyBorder="1" applyAlignment="1" applyProtection="1">
      <alignment horizontal="center" textRotation="90" wrapText="1"/>
      <protection hidden="1"/>
    </xf>
    <xf numFmtId="0" fontId="38" fillId="0" borderId="21" xfId="0" applyNumberFormat="1" applyFont="1" applyFill="1" applyBorder="1" applyAlignment="1" applyProtection="1">
      <alignment horizontal="center" vertical="center" wrapText="1"/>
      <protection hidden="1"/>
    </xf>
    <xf numFmtId="14" fontId="7" fillId="0" borderId="10" xfId="0" quotePrefix="1" applyNumberFormat="1" applyFont="1" applyFill="1" applyBorder="1" applyAlignment="1" applyProtection="1">
      <alignment horizontal="left" vertical="center"/>
      <protection locked="0"/>
    </xf>
    <xf numFmtId="14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36" borderId="10" xfId="0" applyNumberFormat="1" applyFont="1" applyFill="1" applyBorder="1" applyAlignment="1">
      <alignment horizontal="left" vertical="center"/>
    </xf>
    <xf numFmtId="0" fontId="53" fillId="37" borderId="12" xfId="0" applyNumberFormat="1" applyFont="1" applyFill="1" applyBorder="1" applyAlignment="1" applyProtection="1">
      <alignment horizontal="center" vertical="center"/>
      <protection locked="0"/>
    </xf>
    <xf numFmtId="0" fontId="53" fillId="37" borderId="14" xfId="0" applyFont="1" applyFill="1" applyBorder="1" applyProtection="1">
      <protection locked="0"/>
    </xf>
    <xf numFmtId="0" fontId="53" fillId="37" borderId="12" xfId="0" applyNumberFormat="1" applyFont="1" applyFill="1" applyBorder="1" applyAlignment="1" applyProtection="1">
      <alignment horizontal="left" vertical="center"/>
    </xf>
    <xf numFmtId="0" fontId="53" fillId="37" borderId="13" xfId="0" applyNumberFormat="1" applyFont="1" applyFill="1" applyBorder="1" applyAlignment="1" applyProtection="1">
      <alignment horizontal="left" vertical="center"/>
    </xf>
    <xf numFmtId="0" fontId="53" fillId="37" borderId="14" xfId="0" applyNumberFormat="1" applyFont="1" applyFill="1" applyBorder="1" applyAlignment="1" applyProtection="1">
      <alignment horizontal="left" vertical="center"/>
    </xf>
    <xf numFmtId="0" fontId="53" fillId="37" borderId="36" xfId="0" applyNumberFormat="1" applyFont="1" applyFill="1" applyBorder="1" applyAlignment="1" applyProtection="1">
      <alignment horizontal="center" vertical="top" wrapText="1"/>
    </xf>
    <xf numFmtId="0" fontId="53" fillId="37" borderId="0" xfId="0" applyNumberFormat="1" applyFont="1" applyFill="1" applyBorder="1" applyAlignment="1" applyProtection="1">
      <alignment horizontal="center" vertical="top" wrapText="1"/>
    </xf>
    <xf numFmtId="0" fontId="53" fillId="37" borderId="35" xfId="0" applyNumberFormat="1" applyFont="1" applyFill="1" applyBorder="1" applyAlignment="1" applyProtection="1">
      <alignment horizontal="center" vertical="top" wrapText="1"/>
    </xf>
    <xf numFmtId="0" fontId="53" fillId="37" borderId="36" xfId="0" applyNumberFormat="1" applyFont="1" applyFill="1" applyBorder="1" applyAlignment="1" applyProtection="1">
      <alignment horizontal="center" vertical="center"/>
    </xf>
    <xf numFmtId="0" fontId="53" fillId="37" borderId="0" xfId="0" applyNumberFormat="1" applyFont="1" applyFill="1" applyBorder="1" applyAlignment="1" applyProtection="1">
      <alignment horizontal="center" vertical="center"/>
    </xf>
    <xf numFmtId="0" fontId="53" fillId="37" borderId="35" xfId="0" applyNumberFormat="1" applyFont="1" applyFill="1" applyBorder="1" applyAlignment="1" applyProtection="1">
      <alignment horizontal="center" vertical="center"/>
    </xf>
    <xf numFmtId="0" fontId="7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37" borderId="10" xfId="0" applyNumberFormat="1" applyFont="1" applyFill="1" applyBorder="1" applyAlignment="1" applyProtection="1">
      <alignment horizontal="left" vertical="top" wrapText="1"/>
      <protection locked="0"/>
    </xf>
    <xf numFmtId="2" fontId="68" fillId="38" borderId="0" xfId="0" applyNumberFormat="1" applyFont="1" applyFill="1" applyBorder="1" applyAlignment="1">
      <alignment horizontal="center" vertical="center"/>
    </xf>
    <xf numFmtId="2" fontId="70" fillId="28" borderId="0" xfId="44" applyNumberFormat="1" applyFont="1" applyFill="1" applyBorder="1" applyAlignment="1" applyProtection="1">
      <alignment horizontal="center" vertical="center" wrapText="1"/>
    </xf>
    <xf numFmtId="2" fontId="69" fillId="28" borderId="0" xfId="0" applyNumberFormat="1" applyFont="1" applyFill="1" applyBorder="1" applyAlignment="1">
      <alignment horizontal="center" vertical="center"/>
    </xf>
    <xf numFmtId="2" fontId="66" fillId="32" borderId="0" xfId="0" applyNumberFormat="1" applyFont="1" applyFill="1" applyBorder="1" applyAlignment="1">
      <alignment horizontal="center" vertical="center"/>
    </xf>
    <xf numFmtId="2" fontId="45" fillId="27" borderId="11" xfId="0" applyNumberFormat="1" applyFont="1" applyFill="1" applyBorder="1" applyAlignment="1">
      <alignment horizontal="center" vertical="center"/>
    </xf>
    <xf numFmtId="1" fontId="54" fillId="31" borderId="0" xfId="0" applyNumberFormat="1" applyFont="1" applyFill="1" applyBorder="1" applyAlignment="1">
      <alignment horizontal="center" vertical="center" wrapText="1"/>
    </xf>
    <xf numFmtId="1" fontId="67" fillId="30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right" indent="1"/>
    </xf>
    <xf numFmtId="2" fontId="7" fillId="24" borderId="17" xfId="0" applyNumberFormat="1" applyFont="1" applyFill="1" applyBorder="1" applyAlignment="1">
      <alignment horizontal="right" indent="1"/>
    </xf>
    <xf numFmtId="2" fontId="49" fillId="30" borderId="0" xfId="0" applyNumberFormat="1" applyFont="1" applyFill="1" applyBorder="1" applyAlignment="1">
      <alignment horizontal="center" vertical="center"/>
    </xf>
    <xf numFmtId="0" fontId="36" fillId="0" borderId="0" xfId="37" applyFont="1" applyFill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left" vertical="center"/>
    </xf>
    <xf numFmtId="2" fontId="30" fillId="0" borderId="13" xfId="0" applyNumberFormat="1" applyFont="1" applyBorder="1" applyAlignment="1">
      <alignment horizontal="left" vertical="center"/>
    </xf>
    <xf numFmtId="2" fontId="30" fillId="0" borderId="14" xfId="0" applyNumberFormat="1" applyFont="1" applyBorder="1" applyAlignment="1">
      <alignment horizontal="left" vertical="center"/>
    </xf>
    <xf numFmtId="2" fontId="30" fillId="0" borderId="10" xfId="0" applyNumberFormat="1" applyFont="1" applyBorder="1" applyAlignment="1">
      <alignment horizontal="left" vertical="center"/>
    </xf>
    <xf numFmtId="2" fontId="30" fillId="0" borderId="12" xfId="0" applyNumberFormat="1" applyFont="1" applyBorder="1" applyAlignment="1">
      <alignment horizontal="right" vertical="center"/>
    </xf>
    <xf numFmtId="2" fontId="30" fillId="0" borderId="13" xfId="0" applyNumberFormat="1" applyFont="1" applyBorder="1" applyAlignment="1">
      <alignment horizontal="right" vertical="center"/>
    </xf>
    <xf numFmtId="2" fontId="30" fillId="0" borderId="14" xfId="0" applyNumberFormat="1" applyFont="1" applyBorder="1" applyAlignment="1">
      <alignment horizontal="right" vertical="center"/>
    </xf>
    <xf numFmtId="0" fontId="31" fillId="0" borderId="23" xfId="37" applyFont="1" applyBorder="1" applyAlignment="1">
      <alignment horizontal="center" vertical="top"/>
    </xf>
    <xf numFmtId="0" fontId="31" fillId="0" borderId="24" xfId="37" applyFont="1" applyBorder="1" applyAlignment="1">
      <alignment horizontal="center" vertical="top"/>
    </xf>
    <xf numFmtId="0" fontId="31" fillId="0" borderId="25" xfId="37" applyFont="1" applyBorder="1" applyAlignment="1">
      <alignment horizontal="center" vertical="top"/>
    </xf>
    <xf numFmtId="0" fontId="31" fillId="0" borderId="10" xfId="37" applyFont="1" applyBorder="1" applyAlignment="1">
      <alignment horizontal="left" vertical="center"/>
    </xf>
    <xf numFmtId="0" fontId="31" fillId="0" borderId="21" xfId="37" applyFont="1" applyBorder="1" applyAlignment="1">
      <alignment horizontal="left" vertical="center"/>
    </xf>
    <xf numFmtId="0" fontId="35" fillId="0" borderId="10" xfId="37" applyFont="1" applyBorder="1" applyAlignment="1">
      <alignment horizontal="center" vertical="center"/>
    </xf>
    <xf numFmtId="0" fontId="35" fillId="0" borderId="12" xfId="37" applyFont="1" applyBorder="1" applyAlignment="1">
      <alignment horizontal="center" vertical="center"/>
    </xf>
    <xf numFmtId="0" fontId="35" fillId="0" borderId="13" xfId="37" applyFont="1" applyBorder="1" applyAlignment="1">
      <alignment horizontal="center" vertical="center"/>
    </xf>
    <xf numFmtId="0" fontId="35" fillId="0" borderId="14" xfId="37" applyFont="1" applyBorder="1" applyAlignment="1">
      <alignment horizontal="center" vertical="center"/>
    </xf>
    <xf numFmtId="0" fontId="32" fillId="0" borderId="12" xfId="37" applyFont="1" applyBorder="1" applyAlignment="1">
      <alignment horizontal="center" vertical="center"/>
    </xf>
    <xf numFmtId="0" fontId="32" fillId="0" borderId="13" xfId="37" applyFont="1" applyBorder="1" applyAlignment="1">
      <alignment horizontal="center" vertical="center"/>
    </xf>
    <xf numFmtId="0" fontId="32" fillId="0" borderId="14" xfId="37" applyFont="1" applyBorder="1" applyAlignment="1">
      <alignment horizontal="center" vertical="center"/>
    </xf>
    <xf numFmtId="9" fontId="32" fillId="0" borderId="10" xfId="37" applyNumberFormat="1" applyFont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/>
    </xf>
    <xf numFmtId="0" fontId="65" fillId="0" borderId="0" xfId="37" applyFont="1" applyFill="1" applyAlignment="1">
      <alignment horizontal="center" vertical="top" wrapText="1"/>
    </xf>
    <xf numFmtId="0" fontId="30" fillId="0" borderId="12" xfId="37" applyFont="1" applyBorder="1" applyAlignment="1">
      <alignment horizontal="center" vertical="center" wrapText="1"/>
    </xf>
    <xf numFmtId="0" fontId="30" fillId="0" borderId="26" xfId="37" applyFont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 wrapText="1"/>
    </xf>
    <xf numFmtId="2" fontId="31" fillId="0" borderId="12" xfId="37" applyNumberFormat="1" applyFont="1" applyBorder="1" applyAlignment="1">
      <alignment horizontal="right" vertical="center" wrapText="1"/>
    </xf>
    <xf numFmtId="2" fontId="31" fillId="0" borderId="26" xfId="37" applyNumberFormat="1" applyFont="1" applyBorder="1" applyAlignment="1">
      <alignment horizontal="right" vertical="center" wrapText="1"/>
    </xf>
    <xf numFmtId="0" fontId="28" fillId="0" borderId="27" xfId="37" applyFont="1" applyBorder="1" applyAlignment="1">
      <alignment horizontal="right" vertical="center"/>
    </xf>
    <xf numFmtId="0" fontId="28" fillId="0" borderId="28" xfId="37" applyFont="1" applyBorder="1" applyAlignment="1">
      <alignment horizontal="right" vertical="center"/>
    </xf>
    <xf numFmtId="0" fontId="31" fillId="0" borderId="12" xfId="37" applyFont="1" applyBorder="1" applyAlignment="1">
      <alignment horizontal="left" vertical="center"/>
    </xf>
    <xf numFmtId="0" fontId="31" fillId="0" borderId="13" xfId="37" applyFont="1" applyBorder="1" applyAlignment="1">
      <alignment horizontal="left" vertical="center"/>
    </xf>
    <xf numFmtId="0" fontId="31" fillId="0" borderId="14" xfId="37" applyFont="1" applyBorder="1" applyAlignment="1">
      <alignment horizontal="left" vertical="center"/>
    </xf>
    <xf numFmtId="0" fontId="30" fillId="0" borderId="10" xfId="37" applyFont="1" applyBorder="1" applyAlignment="1">
      <alignment horizontal="left" vertical="center"/>
    </xf>
    <xf numFmtId="0" fontId="62" fillId="0" borderId="10" xfId="37" applyFont="1" applyBorder="1" applyAlignment="1">
      <alignment horizontal="center" vertical="center" wrapText="1"/>
    </xf>
    <xf numFmtId="0" fontId="30" fillId="0" borderId="14" xfId="37" applyFont="1" applyBorder="1" applyAlignment="1">
      <alignment horizontal="center" vertical="center" wrapText="1"/>
    </xf>
    <xf numFmtId="0" fontId="30" fillId="0" borderId="18" xfId="37" applyFont="1" applyBorder="1" applyAlignment="1">
      <alignment horizontal="center" wrapText="1"/>
    </xf>
    <xf numFmtId="0" fontId="30" fillId="0" borderId="17" xfId="37" applyFont="1" applyBorder="1" applyAlignment="1">
      <alignment horizontal="center" wrapText="1"/>
    </xf>
    <xf numFmtId="0" fontId="30" fillId="0" borderId="19" xfId="37" applyFont="1" applyBorder="1" applyAlignment="1">
      <alignment horizontal="center" wrapText="1"/>
    </xf>
    <xf numFmtId="0" fontId="30" fillId="0" borderId="16" xfId="37" applyFont="1" applyBorder="1" applyAlignment="1">
      <alignment horizontal="center" wrapText="1"/>
    </xf>
    <xf numFmtId="0" fontId="30" fillId="0" borderId="11" xfId="37" applyFont="1" applyBorder="1" applyAlignment="1">
      <alignment horizontal="center" wrapText="1"/>
    </xf>
    <xf numFmtId="0" fontId="30" fillId="0" borderId="20" xfId="37" applyFont="1" applyBorder="1" applyAlignment="1">
      <alignment horizontal="center" wrapText="1"/>
    </xf>
    <xf numFmtId="0" fontId="59" fillId="0" borderId="10" xfId="37" applyFont="1" applyBorder="1" applyAlignment="1">
      <alignment horizontal="left" vertical="top" wrapText="1"/>
    </xf>
    <xf numFmtId="0" fontId="31" fillId="0" borderId="10" xfId="37" applyFont="1" applyBorder="1" applyAlignment="1">
      <alignment horizontal="right" vertical="center"/>
    </xf>
    <xf numFmtId="0" fontId="32" fillId="0" borderId="12" xfId="37" applyFont="1" applyFill="1" applyBorder="1" applyAlignment="1">
      <alignment horizontal="left" vertical="top" wrapText="1"/>
    </xf>
    <xf numFmtId="0" fontId="32" fillId="0" borderId="13" xfId="37" applyFont="1" applyFill="1" applyBorder="1" applyAlignment="1">
      <alignment horizontal="left" vertical="top" wrapText="1"/>
    </xf>
    <xf numFmtId="0" fontId="32" fillId="0" borderId="14" xfId="37" applyFont="1" applyFill="1" applyBorder="1" applyAlignment="1">
      <alignment horizontal="left" vertical="top" wrapText="1"/>
    </xf>
    <xf numFmtId="0" fontId="35" fillId="0" borderId="10" xfId="37" applyFont="1" applyBorder="1" applyAlignment="1">
      <alignment horizontal="left" vertical="center"/>
    </xf>
    <xf numFmtId="0" fontId="35" fillId="0" borderId="21" xfId="37" applyFont="1" applyBorder="1" applyAlignment="1">
      <alignment horizontal="left" vertical="center"/>
    </xf>
    <xf numFmtId="0" fontId="32" fillId="0" borderId="12" xfId="37" applyFont="1" applyBorder="1" applyAlignment="1">
      <alignment horizontal="left" vertical="top" wrapText="1"/>
    </xf>
    <xf numFmtId="0" fontId="32" fillId="0" borderId="13" xfId="37" applyFont="1" applyBorder="1" applyAlignment="1">
      <alignment horizontal="left" vertical="top" wrapText="1"/>
    </xf>
    <xf numFmtId="0" fontId="32" fillId="0" borderId="14" xfId="37" applyFont="1" applyBorder="1" applyAlignment="1">
      <alignment horizontal="left" vertical="top" wrapText="1"/>
    </xf>
    <xf numFmtId="0" fontId="32" fillId="0" borderId="10" xfId="37" applyFont="1" applyBorder="1" applyAlignment="1">
      <alignment horizontal="left" vertical="center" wrapText="1"/>
    </xf>
    <xf numFmtId="0" fontId="32" fillId="0" borderId="12" xfId="37" applyFont="1" applyBorder="1" applyAlignment="1">
      <alignment horizontal="left" vertical="center" wrapText="1"/>
    </xf>
    <xf numFmtId="0" fontId="32" fillId="0" borderId="13" xfId="37" applyFont="1" applyBorder="1" applyAlignment="1">
      <alignment horizontal="left" vertical="center" wrapText="1"/>
    </xf>
    <xf numFmtId="0" fontId="32" fillId="0" borderId="14" xfId="37" applyFont="1" applyBorder="1" applyAlignment="1">
      <alignment horizontal="left" vertical="center" wrapText="1"/>
    </xf>
    <xf numFmtId="0" fontId="1" fillId="0" borderId="18" xfId="37" applyFont="1" applyBorder="1" applyAlignment="1">
      <alignment horizontal="center" vertical="center"/>
    </xf>
    <xf numFmtId="0" fontId="1" fillId="0" borderId="39" xfId="37" applyFont="1" applyBorder="1" applyAlignment="1">
      <alignment horizontal="center" vertical="center"/>
    </xf>
    <xf numFmtId="0" fontId="1" fillId="0" borderId="36" xfId="37" applyFont="1" applyBorder="1" applyAlignment="1">
      <alignment horizontal="center" vertical="center"/>
    </xf>
    <xf numFmtId="0" fontId="1" fillId="0" borderId="37" xfId="37" applyFont="1" applyBorder="1" applyAlignment="1">
      <alignment horizontal="center" vertical="center"/>
    </xf>
    <xf numFmtId="0" fontId="1" fillId="0" borderId="16" xfId="37" applyFont="1" applyBorder="1" applyAlignment="1">
      <alignment horizontal="center" vertical="center"/>
    </xf>
    <xf numFmtId="0" fontId="1" fillId="0" borderId="38" xfId="37" applyFont="1" applyBorder="1" applyAlignment="1">
      <alignment horizontal="center" vertical="center"/>
    </xf>
    <xf numFmtId="0" fontId="32" fillId="0" borderId="10" xfId="37" applyFont="1" applyBorder="1" applyAlignment="1">
      <alignment horizontal="left" vertical="top" wrapText="1"/>
    </xf>
    <xf numFmtId="0" fontId="26" fillId="0" borderId="10" xfId="37" applyFont="1" applyBorder="1" applyAlignment="1">
      <alignment horizontal="left" vertical="top" wrapText="1"/>
    </xf>
    <xf numFmtId="0" fontId="58" fillId="0" borderId="12" xfId="37" applyFont="1" applyFill="1" applyBorder="1" applyAlignment="1">
      <alignment horizontal="left" vertical="top" wrapText="1"/>
    </xf>
    <xf numFmtId="0" fontId="58" fillId="0" borderId="13" xfId="37" applyFont="1" applyFill="1" applyBorder="1" applyAlignment="1">
      <alignment horizontal="left" vertical="top" wrapText="1"/>
    </xf>
    <xf numFmtId="0" fontId="58" fillId="0" borderId="14" xfId="37" applyFont="1" applyFill="1" applyBorder="1" applyAlignment="1">
      <alignment horizontal="left" vertical="top" wrapText="1"/>
    </xf>
    <xf numFmtId="0" fontId="39" fillId="0" borderId="0" xfId="37" applyFont="1" applyAlignment="1">
      <alignment horizontal="center" vertical="center"/>
    </xf>
    <xf numFmtId="0" fontId="63" fillId="0" borderId="0" xfId="37" applyFont="1" applyBorder="1" applyAlignment="1">
      <alignment horizontal="center" vertical="center"/>
    </xf>
    <xf numFmtId="0" fontId="31" fillId="0" borderId="31" xfId="37" applyFont="1" applyBorder="1" applyAlignment="1">
      <alignment horizontal="left" vertical="center"/>
    </xf>
    <xf numFmtId="0" fontId="31" fillId="0" borderId="32" xfId="37" applyFont="1" applyBorder="1" applyAlignment="1">
      <alignment horizontal="left" vertical="center"/>
    </xf>
    <xf numFmtId="0" fontId="29" fillId="0" borderId="33" xfId="37" applyFont="1" applyFill="1" applyBorder="1" applyAlignment="1">
      <alignment horizontal="center" vertical="center"/>
    </xf>
    <xf numFmtId="0" fontId="29" fillId="0" borderId="34" xfId="37" applyFont="1" applyFill="1" applyBorder="1" applyAlignment="1">
      <alignment horizontal="center" vertical="center"/>
    </xf>
    <xf numFmtId="0" fontId="31" fillId="0" borderId="15" xfId="37" applyFont="1" applyBorder="1" applyAlignment="1">
      <alignment horizontal="left" vertical="center"/>
    </xf>
    <xf numFmtId="0" fontId="37" fillId="0" borderId="10" xfId="37" applyFont="1" applyBorder="1" applyAlignment="1">
      <alignment horizontal="left" vertical="center"/>
    </xf>
    <xf numFmtId="0" fontId="1" fillId="0" borderId="10" xfId="37" applyFont="1" applyBorder="1" applyAlignment="1">
      <alignment horizontal="right" vertical="center"/>
    </xf>
    <xf numFmtId="0" fontId="31" fillId="0" borderId="12" xfId="37" applyFont="1" applyBorder="1" applyAlignment="1">
      <alignment horizontal="right" vertical="center"/>
    </xf>
    <xf numFmtId="0" fontId="31" fillId="0" borderId="13" xfId="37" applyFont="1" applyBorder="1" applyAlignment="1">
      <alignment horizontal="right" vertical="center"/>
    </xf>
    <xf numFmtId="0" fontId="31" fillId="0" borderId="14" xfId="37" applyFont="1" applyBorder="1" applyAlignment="1">
      <alignment horizontal="right" vertical="center"/>
    </xf>
    <xf numFmtId="0" fontId="1" fillId="0" borderId="12" xfId="37" applyFont="1" applyBorder="1" applyAlignment="1">
      <alignment horizontal="left" vertical="center"/>
    </xf>
    <xf numFmtId="0" fontId="1" fillId="0" borderId="13" xfId="37" applyFont="1" applyBorder="1" applyAlignment="1">
      <alignment horizontal="left" vertical="center"/>
    </xf>
    <xf numFmtId="2" fontId="31" fillId="0" borderId="10" xfId="37" applyNumberFormat="1" applyFont="1" applyBorder="1" applyAlignment="1">
      <alignment horizontal="center" vertical="center"/>
    </xf>
    <xf numFmtId="0" fontId="27" fillId="0" borderId="12" xfId="37" applyFont="1" applyBorder="1" applyAlignment="1">
      <alignment horizontal="left" vertical="center"/>
    </xf>
    <xf numFmtId="0" fontId="35" fillId="0" borderId="32" xfId="38" applyFont="1" applyFill="1" applyBorder="1" applyAlignment="1">
      <alignment horizontal="left" vertical="center"/>
    </xf>
    <xf numFmtId="0" fontId="35" fillId="0" borderId="32" xfId="37" applyFont="1" applyFill="1" applyBorder="1" applyAlignment="1">
      <alignment horizontal="center" vertical="center"/>
    </xf>
    <xf numFmtId="0" fontId="41" fillId="0" borderId="0" xfId="37" applyFont="1" applyFill="1" applyAlignment="1">
      <alignment horizontal="center"/>
    </xf>
    <xf numFmtId="0" fontId="26" fillId="0" borderId="10" xfId="37" applyFont="1" applyBorder="1" applyAlignment="1">
      <alignment horizontal="center" vertical="center"/>
    </xf>
    <xf numFmtId="0" fontId="26" fillId="0" borderId="21" xfId="37" applyFont="1" applyBorder="1" applyAlignment="1">
      <alignment horizontal="center" vertical="center"/>
    </xf>
    <xf numFmtId="0" fontId="37" fillId="0" borderId="12" xfId="37" applyFont="1" applyBorder="1" applyAlignment="1">
      <alignment horizontal="center" vertical="top" wrapText="1"/>
    </xf>
    <xf numFmtId="0" fontId="37" fillId="0" borderId="13" xfId="37" applyFont="1" applyBorder="1" applyAlignment="1">
      <alignment horizontal="center" vertical="top" wrapText="1"/>
    </xf>
    <xf numFmtId="0" fontId="37" fillId="0" borderId="14" xfId="37" applyFont="1" applyBorder="1" applyAlignment="1">
      <alignment horizontal="center" vertical="top" wrapText="1"/>
    </xf>
    <xf numFmtId="0" fontId="31" fillId="0" borderId="10" xfId="37" applyFont="1" applyBorder="1" applyAlignment="1">
      <alignment horizontal="center" vertical="center"/>
    </xf>
    <xf numFmtId="0" fontId="26" fillId="0" borderId="13" xfId="37" applyFont="1" applyBorder="1" applyAlignment="1">
      <alignment horizontal="left" vertical="top" wrapText="1"/>
    </xf>
    <xf numFmtId="0" fontId="26" fillId="0" borderId="14" xfId="37" applyFont="1" applyBorder="1" applyAlignment="1">
      <alignment horizontal="left" vertical="top" wrapText="1"/>
    </xf>
    <xf numFmtId="2" fontId="31" fillId="0" borderId="12" xfId="37" applyNumberFormat="1" applyFont="1" applyBorder="1" applyAlignment="1">
      <alignment horizontal="center" vertical="center"/>
    </xf>
    <xf numFmtId="2" fontId="31" fillId="0" borderId="13" xfId="37" applyNumberFormat="1" applyFont="1" applyBorder="1" applyAlignment="1">
      <alignment horizontal="center" vertical="center"/>
    </xf>
    <xf numFmtId="2" fontId="31" fillId="0" borderId="14" xfId="37" applyNumberFormat="1" applyFont="1" applyBorder="1" applyAlignment="1">
      <alignment horizontal="center" vertical="center"/>
    </xf>
    <xf numFmtId="0" fontId="30" fillId="0" borderId="21" xfId="37" applyFont="1" applyBorder="1" applyAlignment="1">
      <alignment horizontal="left" vertical="center"/>
    </xf>
    <xf numFmtId="0" fontId="30" fillId="0" borderId="12" xfId="37" applyFont="1" applyBorder="1" applyAlignment="1">
      <alignment horizontal="right" vertical="center"/>
    </xf>
    <xf numFmtId="0" fontId="30" fillId="0" borderId="13" xfId="37" applyFont="1" applyBorder="1" applyAlignment="1">
      <alignment horizontal="right" vertical="center"/>
    </xf>
    <xf numFmtId="0" fontId="30" fillId="0" borderId="14" xfId="37" applyFont="1" applyBorder="1" applyAlignment="1">
      <alignment horizontal="right" vertical="center"/>
    </xf>
    <xf numFmtId="0" fontId="59" fillId="0" borderId="10" xfId="37" applyFont="1" applyFill="1" applyBorder="1" applyAlignment="1">
      <alignment horizontal="left" vertical="top" wrapText="1"/>
    </xf>
    <xf numFmtId="0" fontId="31" fillId="0" borderId="0" xfId="37" applyFont="1" applyBorder="1" applyAlignment="1">
      <alignment horizontal="center"/>
    </xf>
    <xf numFmtId="0" fontId="35" fillId="0" borderId="12" xfId="37" applyFont="1" applyBorder="1" applyAlignment="1">
      <alignment horizontal="left" vertical="center"/>
    </xf>
    <xf numFmtId="0" fontId="35" fillId="0" borderId="13" xfId="37" applyFont="1" applyBorder="1" applyAlignment="1">
      <alignment horizontal="left" vertical="center"/>
    </xf>
    <xf numFmtId="0" fontId="35" fillId="0" borderId="14" xfId="37" applyFont="1" applyBorder="1" applyAlignment="1">
      <alignment horizontal="left" vertical="center"/>
    </xf>
    <xf numFmtId="0" fontId="35" fillId="0" borderId="12" xfId="37" applyFont="1" applyBorder="1" applyAlignment="1">
      <alignment horizontal="left" vertical="center" wrapText="1"/>
    </xf>
    <xf numFmtId="0" fontId="35" fillId="0" borderId="13" xfId="37" applyFont="1" applyBorder="1" applyAlignment="1">
      <alignment horizontal="left" vertical="center" wrapText="1"/>
    </xf>
    <xf numFmtId="0" fontId="35" fillId="0" borderId="14" xfId="37" applyFont="1" applyBorder="1" applyAlignment="1">
      <alignment horizontal="left" vertical="center" wrapText="1"/>
    </xf>
    <xf numFmtId="0" fontId="61" fillId="0" borderId="12" xfId="37" applyFont="1" applyBorder="1" applyAlignment="1">
      <alignment horizontal="right" vertical="center"/>
    </xf>
    <xf numFmtId="0" fontId="61" fillId="0" borderId="13" xfId="37" applyFont="1" applyBorder="1" applyAlignment="1">
      <alignment horizontal="right" vertical="center"/>
    </xf>
    <xf numFmtId="0" fontId="61" fillId="0" borderId="14" xfId="37" applyFont="1" applyBorder="1" applyAlignment="1">
      <alignment horizontal="right" vertical="center"/>
    </xf>
    <xf numFmtId="0" fontId="31" fillId="0" borderId="22" xfId="37" applyFont="1" applyBorder="1" applyAlignment="1">
      <alignment horizontal="center" vertical="top"/>
    </xf>
    <xf numFmtId="0" fontId="31" fillId="0" borderId="12" xfId="37" applyFont="1" applyBorder="1" applyAlignment="1">
      <alignment horizontal="center" vertical="center"/>
    </xf>
    <xf numFmtId="0" fontId="31" fillId="0" borderId="13" xfId="37" applyFont="1" applyBorder="1" applyAlignment="1">
      <alignment horizontal="center" vertical="center"/>
    </xf>
    <xf numFmtId="0" fontId="31" fillId="0" borderId="14" xfId="37" applyFont="1" applyBorder="1" applyAlignment="1">
      <alignment horizontal="center" vertical="center"/>
    </xf>
    <xf numFmtId="0" fontId="31" fillId="0" borderId="18" xfId="37" applyFont="1" applyBorder="1" applyAlignment="1">
      <alignment horizontal="left" vertical="center" wrapText="1"/>
    </xf>
    <xf numFmtId="0" fontId="31" fillId="0" borderId="19" xfId="37" applyFont="1" applyBorder="1" applyAlignment="1">
      <alignment horizontal="left" vertical="center" wrapText="1"/>
    </xf>
    <xf numFmtId="0" fontId="31" fillId="0" borderId="16" xfId="37" applyFont="1" applyBorder="1" applyAlignment="1">
      <alignment horizontal="left" vertical="center" wrapText="1"/>
    </xf>
    <xf numFmtId="0" fontId="31" fillId="0" borderId="20" xfId="37" applyFont="1" applyBorder="1" applyAlignment="1">
      <alignment horizontal="left" vertical="center" wrapText="1"/>
    </xf>
    <xf numFmtId="0" fontId="26" fillId="0" borderId="13" xfId="37" applyFont="1" applyFill="1" applyBorder="1" applyAlignment="1">
      <alignment horizontal="left" vertical="top" wrapText="1"/>
    </xf>
    <xf numFmtId="0" fontId="26" fillId="0" borderId="14" xfId="37" applyFont="1" applyFill="1" applyBorder="1" applyAlignment="1">
      <alignment horizontal="left" vertical="top" wrapText="1"/>
    </xf>
    <xf numFmtId="9" fontId="32" fillId="0" borderId="12" xfId="37" applyNumberFormat="1" applyFont="1" applyBorder="1" applyAlignment="1">
      <alignment horizontal="center" vertical="center"/>
    </xf>
    <xf numFmtId="9" fontId="32" fillId="0" borderId="14" xfId="37" applyNumberFormat="1" applyFont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5"/>
    <cellStyle name="Normal_pay 2008-09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00"/>
      <color rgb="FF33CCCC"/>
      <color rgb="FF0000FF"/>
      <color rgb="FFFFCC99"/>
      <color rgb="FFCCFFCC"/>
      <color rgb="FF00FF00"/>
      <color rgb="FFFF99CC"/>
      <color rgb="FFFF66CC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4281</xdr:colOff>
      <xdr:row>1</xdr:row>
      <xdr:rowOff>44450</xdr:rowOff>
    </xdr:from>
    <xdr:to>
      <xdr:col>21</xdr:col>
      <xdr:colOff>495300</xdr:colOff>
      <xdr:row>1</xdr:row>
      <xdr:rowOff>295275</xdr:rowOff>
    </xdr:to>
    <xdr:sp macro="" textlink="">
      <xdr:nvSpPr>
        <xdr:cNvPr id="2" name="Right Arrow 1"/>
        <xdr:cNvSpPr/>
      </xdr:nvSpPr>
      <xdr:spPr>
        <a:xfrm>
          <a:off x="8176731" y="320675"/>
          <a:ext cx="1719744" cy="25082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13</xdr:col>
      <xdr:colOff>266699</xdr:colOff>
      <xdr:row>3</xdr:row>
      <xdr:rowOff>142875</xdr:rowOff>
    </xdr:from>
    <xdr:to>
      <xdr:col>14</xdr:col>
      <xdr:colOff>447675</xdr:colOff>
      <xdr:row>3</xdr:row>
      <xdr:rowOff>314325</xdr:rowOff>
    </xdr:to>
    <xdr:sp macro="" textlink="">
      <xdr:nvSpPr>
        <xdr:cNvPr id="5" name="Right Arrow 4"/>
        <xdr:cNvSpPr/>
      </xdr:nvSpPr>
      <xdr:spPr>
        <a:xfrm>
          <a:off x="5648324" y="1076325"/>
          <a:ext cx="866776" cy="171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21</xdr:col>
      <xdr:colOff>166207</xdr:colOff>
      <xdr:row>3</xdr:row>
      <xdr:rowOff>98782</xdr:rowOff>
    </xdr:from>
    <xdr:to>
      <xdr:col>21</xdr:col>
      <xdr:colOff>514351</xdr:colOff>
      <xdr:row>3</xdr:row>
      <xdr:rowOff>334232</xdr:rowOff>
    </xdr:to>
    <xdr:sp macro="" textlink="">
      <xdr:nvSpPr>
        <xdr:cNvPr id="6" name="Right Arrow 5"/>
        <xdr:cNvSpPr/>
      </xdr:nvSpPr>
      <xdr:spPr>
        <a:xfrm>
          <a:off x="9757882" y="1032232"/>
          <a:ext cx="348144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24</xdr:col>
      <xdr:colOff>352425</xdr:colOff>
      <xdr:row>2</xdr:row>
      <xdr:rowOff>19050</xdr:rowOff>
    </xdr:from>
    <xdr:to>
      <xdr:col>24</xdr:col>
      <xdr:colOff>485775</xdr:colOff>
      <xdr:row>2</xdr:row>
      <xdr:rowOff>276225</xdr:rowOff>
    </xdr:to>
    <xdr:sp macro="" textlink="">
      <xdr:nvSpPr>
        <xdr:cNvPr id="8" name="Down Arrow 7"/>
        <xdr:cNvSpPr/>
      </xdr:nvSpPr>
      <xdr:spPr>
        <a:xfrm>
          <a:off x="11610975" y="657225"/>
          <a:ext cx="133350" cy="257175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419100</xdr:colOff>
      <xdr:row>2</xdr:row>
      <xdr:rowOff>9525</xdr:rowOff>
    </xdr:from>
    <xdr:to>
      <xdr:col>25</xdr:col>
      <xdr:colOff>552450</xdr:colOff>
      <xdr:row>2</xdr:row>
      <xdr:rowOff>266700</xdr:rowOff>
    </xdr:to>
    <xdr:sp macro="" textlink="">
      <xdr:nvSpPr>
        <xdr:cNvPr id="10" name="Down Arrow 9"/>
        <xdr:cNvSpPr/>
      </xdr:nvSpPr>
      <xdr:spPr>
        <a:xfrm>
          <a:off x="12506325" y="647700"/>
          <a:ext cx="133350" cy="257175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438149</xdr:colOff>
      <xdr:row>2</xdr:row>
      <xdr:rowOff>47625</xdr:rowOff>
    </xdr:from>
    <xdr:to>
      <xdr:col>18</xdr:col>
      <xdr:colOff>276224</xdr:colOff>
      <xdr:row>2</xdr:row>
      <xdr:rowOff>283075</xdr:rowOff>
    </xdr:to>
    <xdr:sp macro="" textlink="">
      <xdr:nvSpPr>
        <xdr:cNvPr id="7" name="Right Arrow 6"/>
        <xdr:cNvSpPr/>
      </xdr:nvSpPr>
      <xdr:spPr>
        <a:xfrm>
          <a:off x="7743824" y="685800"/>
          <a:ext cx="981075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 editAs="oneCell">
    <xdr:from>
      <xdr:col>13</xdr:col>
      <xdr:colOff>78442</xdr:colOff>
      <xdr:row>47</xdr:row>
      <xdr:rowOff>44824</xdr:rowOff>
    </xdr:from>
    <xdr:to>
      <xdr:col>18</xdr:col>
      <xdr:colOff>91916</xdr:colOff>
      <xdr:row>47</xdr:row>
      <xdr:rowOff>47210</xdr:rowOff>
    </xdr:to>
    <xdr:pic>
      <xdr:nvPicPr>
        <xdr:cNvPr id="11" name="Picture 10" descr="RAJTEACHERS.NET-removebg-preview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1" y="10802471"/>
          <a:ext cx="3023822" cy="6275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190501</xdr:colOff>
      <xdr:row>46</xdr:row>
      <xdr:rowOff>44825</xdr:rowOff>
    </xdr:from>
    <xdr:to>
      <xdr:col>17</xdr:col>
      <xdr:colOff>347383</xdr:colOff>
      <xdr:row>51</xdr:row>
      <xdr:rowOff>47995</xdr:rowOff>
    </xdr:to>
    <xdr:pic>
      <xdr:nvPicPr>
        <xdr:cNvPr id="9" name="Picture 8" descr="RAJTEACHERS.NET-removebg-preview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2589" y="10880913"/>
          <a:ext cx="2846294" cy="787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AF997"/>
  <sheetViews>
    <sheetView showGridLines="0" tabSelected="1" zoomScale="85" zoomScaleNormal="85" workbookViewId="0">
      <selection activeCell="P4" sqref="P4"/>
    </sheetView>
  </sheetViews>
  <sheetFormatPr defaultColWidth="9.140625" defaultRowHeight="12.75" zeroHeight="1"/>
  <cols>
    <col min="1" max="1" width="1" style="34" customWidth="1" collapsed="1"/>
    <col min="2" max="2" width="11.7109375" style="6" hidden="1" customWidth="1" collapsed="1"/>
    <col min="3" max="3" width="14.5703125" style="6" customWidth="1" collapsed="1"/>
    <col min="4" max="4" width="10.28515625" style="6" customWidth="1" collapsed="1"/>
    <col min="5" max="7" width="5" style="6" customWidth="1" collapsed="1"/>
    <col min="8" max="8" width="8.85546875" style="6" customWidth="1" collapsed="1"/>
    <col min="9" max="9" width="9.42578125" style="6" customWidth="1" collapsed="1"/>
    <col min="10" max="10" width="5" style="6" customWidth="1" collapsed="1"/>
    <col min="11" max="13" width="6" style="6" customWidth="1" collapsed="1"/>
    <col min="14" max="14" width="14.140625" style="6" customWidth="1" collapsed="1"/>
    <col min="15" max="15" width="8.7109375" style="6" customWidth="1" collapsed="1"/>
    <col min="16" max="16" width="8.5703125" style="6" customWidth="1" collapsed="1"/>
    <col min="17" max="17" width="8.85546875" style="6" customWidth="1" collapsed="1"/>
    <col min="18" max="18" width="8.28515625" style="6" customWidth="1" collapsed="1"/>
    <col min="19" max="19" width="6.42578125" style="6" bestFit="1" customWidth="1" collapsed="1"/>
    <col min="20" max="21" width="6" style="6" customWidth="1" collapsed="1"/>
    <col min="22" max="22" width="8.42578125" style="6" customWidth="1" collapsed="1"/>
    <col min="23" max="23" width="6" style="6" customWidth="1" collapsed="1"/>
    <col min="24" max="24" width="11.5703125" style="6" customWidth="1" collapsed="1"/>
    <col min="25" max="25" width="14.5703125" style="6" customWidth="1" collapsed="1"/>
    <col min="26" max="26" width="19.5703125" style="6" customWidth="1" collapsed="1"/>
    <col min="27" max="27" width="0.28515625" style="106" hidden="1" customWidth="1"/>
    <col min="28" max="28" width="11.42578125" style="106" hidden="1" customWidth="1"/>
    <col min="29" max="29" width="18.140625" style="106" hidden="1" customWidth="1"/>
    <col min="30" max="32" width="9.140625" style="6"/>
    <col min="33" max="16384" width="9.140625" style="6" collapsed="1"/>
  </cols>
  <sheetData>
    <row r="1" spans="3:29" ht="21.95" customHeight="1"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7"/>
    </row>
    <row r="2" spans="3:29" ht="28.5" customHeight="1">
      <c r="C2" s="198" t="s">
        <v>75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200"/>
      <c r="W2" s="190" t="s">
        <v>48</v>
      </c>
      <c r="X2" s="191"/>
      <c r="Y2" s="136" t="s">
        <v>41</v>
      </c>
      <c r="Z2" s="137" t="s">
        <v>69</v>
      </c>
      <c r="AA2" s="117"/>
      <c r="AB2" s="107" t="s">
        <v>68</v>
      </c>
      <c r="AC2" s="117" t="s">
        <v>208</v>
      </c>
    </row>
    <row r="3" spans="3:29" ht="27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202" t="s">
        <v>207</v>
      </c>
      <c r="O3" s="202"/>
      <c r="P3" s="202"/>
      <c r="Q3" s="202"/>
      <c r="R3" s="202"/>
      <c r="S3" s="139"/>
      <c r="T3" s="201" t="s">
        <v>208</v>
      </c>
      <c r="U3" s="201"/>
      <c r="V3" s="201"/>
      <c r="W3" s="139"/>
      <c r="X3" s="139"/>
      <c r="Y3" s="139"/>
      <c r="Z3" s="140"/>
      <c r="AA3" s="117"/>
      <c r="AB3" s="107" t="s">
        <v>67</v>
      </c>
      <c r="AC3" s="117" t="s">
        <v>209</v>
      </c>
    </row>
    <row r="4" spans="3:29" ht="30.75" customHeight="1" thickBot="1">
      <c r="C4" s="192" t="s">
        <v>76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  <c r="P4" s="137" t="s">
        <v>39</v>
      </c>
      <c r="Q4" s="192" t="s">
        <v>77</v>
      </c>
      <c r="R4" s="193"/>
      <c r="S4" s="193"/>
      <c r="T4" s="193"/>
      <c r="U4" s="193"/>
      <c r="V4" s="194"/>
      <c r="W4" s="174" t="s">
        <v>48</v>
      </c>
      <c r="X4" s="174"/>
      <c r="Y4" s="137" t="s">
        <v>68</v>
      </c>
      <c r="Z4" s="137">
        <v>4600</v>
      </c>
    </row>
    <row r="5" spans="3:29" ht="3" hidden="1" customHeight="1">
      <c r="C5" s="120"/>
      <c r="D5" s="121"/>
      <c r="E5" s="122"/>
      <c r="F5" s="122"/>
      <c r="G5" s="122"/>
      <c r="H5" s="122"/>
      <c r="I5" s="122"/>
      <c r="J5" s="123"/>
      <c r="K5" s="123"/>
      <c r="L5" s="123"/>
      <c r="M5" s="124"/>
      <c r="N5" s="125"/>
      <c r="O5" s="122"/>
      <c r="P5" s="126"/>
      <c r="Q5" s="127"/>
      <c r="R5" s="127"/>
      <c r="S5" s="127"/>
      <c r="T5" s="127"/>
      <c r="U5" s="127"/>
      <c r="V5" s="123"/>
      <c r="W5" s="123"/>
      <c r="X5" s="123"/>
      <c r="Y5" s="128"/>
      <c r="Z5" s="128"/>
    </row>
    <row r="6" spans="3:29" ht="23.25" hidden="1" customHeight="1">
      <c r="C6" s="120"/>
      <c r="D6" s="142"/>
      <c r="E6" s="143"/>
      <c r="F6" s="143"/>
      <c r="G6" s="143"/>
      <c r="H6" s="143"/>
      <c r="I6" s="143"/>
      <c r="J6" s="144"/>
      <c r="K6" s="144"/>
      <c r="L6" s="144"/>
      <c r="M6" s="145"/>
      <c r="N6" s="125"/>
      <c r="O6" s="143"/>
      <c r="P6" s="126"/>
      <c r="Q6" s="130"/>
      <c r="R6" s="130"/>
      <c r="S6" s="130"/>
      <c r="T6" s="130"/>
      <c r="U6" s="130"/>
      <c r="V6" s="123"/>
      <c r="W6" s="123" t="str">
        <f>X6&amp;" / "&amp;Y6</f>
        <v>RURAL / 1800</v>
      </c>
      <c r="X6" s="123" t="s">
        <v>68</v>
      </c>
      <c r="Y6" s="124">
        <v>1800</v>
      </c>
      <c r="Z6" s="125">
        <v>730</v>
      </c>
    </row>
    <row r="7" spans="3:29" ht="23.25" hidden="1" customHeight="1">
      <c r="C7" s="120"/>
      <c r="D7" s="142"/>
      <c r="E7" s="143"/>
      <c r="F7" s="143"/>
      <c r="G7" s="143"/>
      <c r="H7" s="143"/>
      <c r="I7" s="143"/>
      <c r="J7" s="144"/>
      <c r="K7" s="144"/>
      <c r="L7" s="144"/>
      <c r="M7" s="145"/>
      <c r="N7" s="125"/>
      <c r="O7" s="123" t="str">
        <f>P7&amp;" / "&amp;Q7</f>
        <v>Yes / Yes</v>
      </c>
      <c r="P7" s="152" t="s">
        <v>48</v>
      </c>
      <c r="Q7" s="152" t="s">
        <v>48</v>
      </c>
      <c r="R7" s="130">
        <v>0</v>
      </c>
      <c r="S7" s="130"/>
      <c r="T7" s="130"/>
      <c r="U7" s="130"/>
      <c r="V7" s="123"/>
      <c r="W7" s="123" t="str">
        <f t="shared" ref="W7:W17" si="0">X7&amp;" / "&amp;Y7</f>
        <v>RURAL / 1900</v>
      </c>
      <c r="X7" s="123" t="s">
        <v>68</v>
      </c>
      <c r="Y7" s="124">
        <v>1900</v>
      </c>
      <c r="Z7" s="125">
        <v>770</v>
      </c>
    </row>
    <row r="8" spans="3:29" ht="23.25" hidden="1" customHeight="1">
      <c r="C8" s="129"/>
      <c r="D8" s="142"/>
      <c r="E8" s="143"/>
      <c r="F8" s="143"/>
      <c r="G8" s="143"/>
      <c r="H8" s="143"/>
      <c r="I8" s="143"/>
      <c r="J8" s="144"/>
      <c r="K8" s="144"/>
      <c r="L8" s="144"/>
      <c r="M8" s="145"/>
      <c r="N8" s="125"/>
      <c r="O8" s="123" t="str">
        <f t="shared" ref="O8:O10" si="1">P8&amp;" / "&amp;Q8</f>
        <v>Yes / No</v>
      </c>
      <c r="P8" s="126" t="s">
        <v>48</v>
      </c>
      <c r="Q8" s="130" t="s">
        <v>39</v>
      </c>
      <c r="R8" s="130">
        <v>0</v>
      </c>
      <c r="S8" s="130"/>
      <c r="T8" s="130"/>
      <c r="U8" s="130"/>
      <c r="V8" s="123"/>
      <c r="W8" s="123" t="str">
        <f t="shared" si="0"/>
        <v>RURAL / 4200</v>
      </c>
      <c r="X8" s="123" t="s">
        <v>68</v>
      </c>
      <c r="Y8" s="124">
        <v>4200</v>
      </c>
      <c r="Z8" s="125">
        <v>1340</v>
      </c>
    </row>
    <row r="9" spans="3:29" ht="23.25" hidden="1" customHeight="1">
      <c r="C9" s="120"/>
      <c r="D9" s="142"/>
      <c r="E9" s="143"/>
      <c r="F9" s="143"/>
      <c r="G9" s="143"/>
      <c r="H9" s="143"/>
      <c r="I9" s="143"/>
      <c r="J9" s="144"/>
      <c r="K9" s="144"/>
      <c r="L9" s="144"/>
      <c r="M9" s="145"/>
      <c r="N9" s="125"/>
      <c r="O9" s="123" t="str">
        <f t="shared" si="1"/>
        <v>No / Yes</v>
      </c>
      <c r="P9" s="126" t="s">
        <v>39</v>
      </c>
      <c r="Q9" s="152" t="s">
        <v>48</v>
      </c>
      <c r="R9" s="130">
        <v>5181</v>
      </c>
      <c r="S9" s="130"/>
      <c r="T9" s="130"/>
      <c r="U9" s="130"/>
      <c r="V9" s="123"/>
      <c r="W9" s="123" t="str">
        <f t="shared" si="0"/>
        <v>RURAL / 4600</v>
      </c>
      <c r="X9" s="123" t="s">
        <v>68</v>
      </c>
      <c r="Y9" s="124">
        <v>4600</v>
      </c>
      <c r="Z9" s="125">
        <v>1840</v>
      </c>
    </row>
    <row r="10" spans="3:29" ht="23.25" hidden="1" customHeight="1">
      <c r="C10" s="120"/>
      <c r="D10" s="142"/>
      <c r="E10" s="143"/>
      <c r="F10" s="143"/>
      <c r="G10" s="143"/>
      <c r="H10" s="143"/>
      <c r="I10" s="143"/>
      <c r="J10" s="144"/>
      <c r="K10" s="144"/>
      <c r="L10" s="144"/>
      <c r="M10" s="145"/>
      <c r="N10" s="125"/>
      <c r="O10" s="123" t="str">
        <f t="shared" si="1"/>
        <v>No / No</v>
      </c>
      <c r="P10" s="126" t="s">
        <v>39</v>
      </c>
      <c r="Q10" s="130" t="s">
        <v>39</v>
      </c>
      <c r="R10" s="130">
        <v>0</v>
      </c>
      <c r="S10" s="130"/>
      <c r="T10" s="130"/>
      <c r="U10" s="130"/>
      <c r="V10" s="123"/>
      <c r="W10" s="123" t="str">
        <f t="shared" si="0"/>
        <v>RURAL / 4800</v>
      </c>
      <c r="X10" s="123" t="s">
        <v>68</v>
      </c>
      <c r="Y10" s="124">
        <v>4800</v>
      </c>
      <c r="Z10" s="125">
        <v>1870</v>
      </c>
    </row>
    <row r="11" spans="3:29" ht="23.25" hidden="1" customHeight="1">
      <c r="C11" s="120"/>
      <c r="D11" s="142"/>
      <c r="E11" s="143"/>
      <c r="F11" s="143"/>
      <c r="G11" s="143"/>
      <c r="H11" s="143"/>
      <c r="I11" s="143"/>
      <c r="J11" s="144"/>
      <c r="K11" s="144"/>
      <c r="L11" s="144"/>
      <c r="M11" s="145"/>
      <c r="N11" s="125"/>
      <c r="O11" s="143"/>
      <c r="P11" s="126"/>
      <c r="Q11" s="130"/>
      <c r="R11" s="130"/>
      <c r="S11" s="130"/>
      <c r="T11" s="130"/>
      <c r="U11" s="130"/>
      <c r="V11" s="123"/>
      <c r="W11" s="123" t="str">
        <f t="shared" si="0"/>
        <v>RURAL / 5400</v>
      </c>
      <c r="X11" s="123" t="s">
        <v>68</v>
      </c>
      <c r="Y11" s="124">
        <v>5400</v>
      </c>
      <c r="Z11" s="125">
        <v>2100</v>
      </c>
    </row>
    <row r="12" spans="3:29" ht="23.25" hidden="1" customHeight="1">
      <c r="C12" s="120"/>
      <c r="D12" s="142"/>
      <c r="E12" s="143"/>
      <c r="F12" s="143"/>
      <c r="G12" s="143"/>
      <c r="H12" s="143"/>
      <c r="I12" s="143"/>
      <c r="J12" s="144"/>
      <c r="K12" s="144"/>
      <c r="L12" s="144"/>
      <c r="M12" s="145"/>
      <c r="N12" s="125"/>
      <c r="O12" s="143"/>
      <c r="P12" s="126"/>
      <c r="Q12" s="130"/>
      <c r="R12" s="130"/>
      <c r="S12" s="130"/>
      <c r="T12" s="130"/>
      <c r="U12" s="130"/>
      <c r="V12" s="123"/>
      <c r="W12" s="123" t="str">
        <f t="shared" si="0"/>
        <v>URBAN / 1800</v>
      </c>
      <c r="X12" s="123" t="s">
        <v>67</v>
      </c>
      <c r="Y12" s="124">
        <v>1800</v>
      </c>
      <c r="Z12" s="125">
        <v>1100</v>
      </c>
    </row>
    <row r="13" spans="3:29" ht="23.25" hidden="1" customHeight="1">
      <c r="C13" s="120"/>
      <c r="D13" s="142"/>
      <c r="E13" s="143"/>
      <c r="F13" s="143"/>
      <c r="G13" s="143"/>
      <c r="H13" s="143"/>
      <c r="I13" s="143"/>
      <c r="J13" s="144"/>
      <c r="K13" s="144"/>
      <c r="L13" s="144"/>
      <c r="M13" s="145"/>
      <c r="N13" s="125"/>
      <c r="O13" s="123" t="str">
        <f t="shared" ref="O13:O16" si="2">P13&amp;" / "&amp;Q13</f>
        <v>Yes / Yes</v>
      </c>
      <c r="P13" s="152" t="s">
        <v>48</v>
      </c>
      <c r="Q13" s="152" t="s">
        <v>48</v>
      </c>
      <c r="R13" s="130">
        <v>5100</v>
      </c>
      <c r="S13" s="130"/>
      <c r="T13" s="130"/>
      <c r="U13" s="130"/>
      <c r="V13" s="123"/>
      <c r="W13" s="123" t="str">
        <f t="shared" si="0"/>
        <v>URBAN / 1900</v>
      </c>
      <c r="X13" s="123" t="s">
        <v>67</v>
      </c>
      <c r="Y13" s="124">
        <v>1900</v>
      </c>
      <c r="Z13" s="125">
        <v>1160</v>
      </c>
    </row>
    <row r="14" spans="3:29" ht="23.25" hidden="1" customHeight="1">
      <c r="C14" s="120"/>
      <c r="D14" s="142"/>
      <c r="E14" s="143"/>
      <c r="F14" s="143"/>
      <c r="G14" s="143"/>
      <c r="H14" s="143"/>
      <c r="I14" s="143"/>
      <c r="J14" s="144"/>
      <c r="K14" s="144"/>
      <c r="L14" s="144"/>
      <c r="M14" s="145"/>
      <c r="N14" s="125"/>
      <c r="O14" s="123" t="str">
        <f t="shared" si="2"/>
        <v>Yes / No</v>
      </c>
      <c r="P14" s="126" t="s">
        <v>48</v>
      </c>
      <c r="Q14" s="130" t="s">
        <v>39</v>
      </c>
      <c r="R14" s="130">
        <v>0</v>
      </c>
      <c r="S14" s="130"/>
      <c r="T14" s="130"/>
      <c r="U14" s="130"/>
      <c r="V14" s="123"/>
      <c r="W14" s="123" t="str">
        <f t="shared" si="0"/>
        <v>URBAN / 4200</v>
      </c>
      <c r="X14" s="123" t="s">
        <v>67</v>
      </c>
      <c r="Y14" s="124">
        <v>4200</v>
      </c>
      <c r="Z14" s="125">
        <v>2020</v>
      </c>
    </row>
    <row r="15" spans="3:29" ht="23.25" hidden="1" customHeight="1">
      <c r="C15" s="120"/>
      <c r="D15" s="142"/>
      <c r="E15" s="143"/>
      <c r="F15" s="143"/>
      <c r="G15" s="143"/>
      <c r="H15" s="143"/>
      <c r="I15" s="143"/>
      <c r="J15" s="144"/>
      <c r="K15" s="144"/>
      <c r="L15" s="144"/>
      <c r="M15" s="145"/>
      <c r="N15" s="125"/>
      <c r="O15" s="123" t="str">
        <f t="shared" si="2"/>
        <v>No / Yes</v>
      </c>
      <c r="P15" s="126" t="s">
        <v>39</v>
      </c>
      <c r="Q15" s="152" t="s">
        <v>48</v>
      </c>
      <c r="R15" s="130">
        <v>0</v>
      </c>
      <c r="S15" s="130"/>
      <c r="T15" s="130"/>
      <c r="U15" s="130"/>
      <c r="V15" s="123"/>
      <c r="W15" s="123" t="str">
        <f t="shared" si="0"/>
        <v>URBAN / 4600</v>
      </c>
      <c r="X15" s="123" t="s">
        <v>67</v>
      </c>
      <c r="Y15" s="124">
        <v>4600</v>
      </c>
      <c r="Z15" s="125">
        <v>2760</v>
      </c>
    </row>
    <row r="16" spans="3:29" ht="23.25" hidden="1" customHeight="1">
      <c r="C16" s="129"/>
      <c r="D16" s="142"/>
      <c r="E16" s="143"/>
      <c r="F16" s="143"/>
      <c r="G16" s="143"/>
      <c r="H16" s="143"/>
      <c r="I16" s="143"/>
      <c r="J16" s="144"/>
      <c r="K16" s="144"/>
      <c r="L16" s="144"/>
      <c r="M16" s="145"/>
      <c r="N16" s="125"/>
      <c r="O16" s="123" t="str">
        <f t="shared" si="2"/>
        <v>No / No</v>
      </c>
      <c r="P16" s="126" t="s">
        <v>39</v>
      </c>
      <c r="Q16" s="130" t="s">
        <v>39</v>
      </c>
      <c r="R16" s="130">
        <v>0</v>
      </c>
      <c r="S16" s="130"/>
      <c r="T16" s="130"/>
      <c r="U16" s="130"/>
      <c r="V16" s="123"/>
      <c r="W16" s="123" t="str">
        <f t="shared" si="0"/>
        <v>URBAN / 4800</v>
      </c>
      <c r="X16" s="123" t="s">
        <v>67</v>
      </c>
      <c r="Y16" s="124">
        <v>4800</v>
      </c>
      <c r="Z16" s="125">
        <v>2810</v>
      </c>
    </row>
    <row r="17" spans="1:29" ht="23.25" hidden="1" customHeight="1">
      <c r="C17" s="131"/>
      <c r="D17" s="146"/>
      <c r="E17" s="147"/>
      <c r="F17" s="147"/>
      <c r="G17" s="147"/>
      <c r="H17" s="147"/>
      <c r="I17" s="147"/>
      <c r="J17" s="148"/>
      <c r="K17" s="148"/>
      <c r="L17" s="148"/>
      <c r="M17" s="149"/>
      <c r="N17" s="150"/>
      <c r="O17" s="147"/>
      <c r="P17" s="135"/>
      <c r="Q17" s="151"/>
      <c r="R17" s="151"/>
      <c r="S17" s="151"/>
      <c r="T17" s="151"/>
      <c r="U17" s="151"/>
      <c r="V17" s="132"/>
      <c r="W17" s="132" t="str">
        <f t="shared" si="0"/>
        <v>URBAN / 5400</v>
      </c>
      <c r="X17" s="132" t="s">
        <v>67</v>
      </c>
      <c r="Y17" s="133">
        <v>5400</v>
      </c>
      <c r="Z17" s="134">
        <v>3150</v>
      </c>
    </row>
    <row r="18" spans="1:29" ht="48" customHeight="1">
      <c r="C18" s="176" t="s">
        <v>202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8"/>
    </row>
    <row r="19" spans="1:29" ht="36.75" customHeight="1">
      <c r="C19" s="167" t="s">
        <v>213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</row>
    <row r="20" spans="1:29" ht="27" customHeight="1">
      <c r="C20" s="181" t="s">
        <v>194</v>
      </c>
      <c r="D20" s="172"/>
      <c r="E20" s="171">
        <v>125645</v>
      </c>
      <c r="F20" s="171"/>
      <c r="G20" s="171"/>
      <c r="H20" s="171"/>
      <c r="I20" s="172" t="s">
        <v>53</v>
      </c>
      <c r="J20" s="172"/>
      <c r="K20" s="172"/>
      <c r="L20" s="172"/>
      <c r="M20" s="171" t="s">
        <v>96</v>
      </c>
      <c r="N20" s="171"/>
      <c r="O20" s="171"/>
      <c r="P20" s="172" t="s">
        <v>57</v>
      </c>
      <c r="Q20" s="172"/>
      <c r="R20" s="171" t="s">
        <v>99</v>
      </c>
      <c r="S20" s="171"/>
      <c r="T20" s="171"/>
      <c r="U20" s="171"/>
      <c r="V20" s="172" t="s">
        <v>58</v>
      </c>
      <c r="W20" s="172"/>
      <c r="X20" s="172"/>
      <c r="Y20" s="171" t="s">
        <v>201</v>
      </c>
      <c r="Z20" s="175"/>
      <c r="AB20" s="108" t="s">
        <v>48</v>
      </c>
    </row>
    <row r="21" spans="1:29" s="19" customFormat="1" ht="20.45" customHeight="1">
      <c r="A21" s="37"/>
      <c r="C21" s="162" t="s">
        <v>51</v>
      </c>
      <c r="D21" s="158"/>
      <c r="E21" s="170">
        <v>1100030000001500</v>
      </c>
      <c r="F21" s="170"/>
      <c r="G21" s="170"/>
      <c r="H21" s="170"/>
      <c r="I21" s="172" t="s">
        <v>54</v>
      </c>
      <c r="J21" s="172"/>
      <c r="K21" s="172"/>
      <c r="L21" s="172"/>
      <c r="M21" s="171" t="s">
        <v>195</v>
      </c>
      <c r="N21" s="171"/>
      <c r="O21" s="171"/>
      <c r="P21" s="172" t="s">
        <v>56</v>
      </c>
      <c r="Q21" s="172"/>
      <c r="R21" s="170">
        <v>699056365783</v>
      </c>
      <c r="S21" s="170"/>
      <c r="T21" s="170"/>
      <c r="U21" s="170"/>
      <c r="V21" s="172" t="s">
        <v>44</v>
      </c>
      <c r="W21" s="172"/>
      <c r="X21" s="172"/>
      <c r="Y21" s="179" t="s">
        <v>198</v>
      </c>
      <c r="Z21" s="180"/>
      <c r="AA21" s="110"/>
      <c r="AB21" s="109" t="s">
        <v>39</v>
      </c>
      <c r="AC21" s="110"/>
    </row>
    <row r="22" spans="1:29" s="19" customFormat="1" ht="22.5" customHeight="1">
      <c r="A22" s="37"/>
      <c r="C22" s="181" t="s">
        <v>52</v>
      </c>
      <c r="D22" s="172"/>
      <c r="E22" s="171" t="s">
        <v>97</v>
      </c>
      <c r="F22" s="171"/>
      <c r="G22" s="171"/>
      <c r="H22" s="171"/>
      <c r="I22" s="172" t="s">
        <v>63</v>
      </c>
      <c r="J22" s="172"/>
      <c r="K22" s="172"/>
      <c r="L22" s="172"/>
      <c r="M22" s="171" t="s">
        <v>98</v>
      </c>
      <c r="N22" s="171"/>
      <c r="O22" s="171"/>
      <c r="P22" s="172" t="s">
        <v>62</v>
      </c>
      <c r="Q22" s="172"/>
      <c r="R22" s="171" t="s">
        <v>196</v>
      </c>
      <c r="S22" s="171"/>
      <c r="T22" s="171"/>
      <c r="U22" s="171"/>
      <c r="V22" s="172" t="s">
        <v>60</v>
      </c>
      <c r="W22" s="172"/>
      <c r="X22" s="172"/>
      <c r="Y22" s="171" t="s">
        <v>199</v>
      </c>
      <c r="Z22" s="175"/>
      <c r="AA22" s="110"/>
      <c r="AB22" s="110"/>
      <c r="AC22" s="110"/>
    </row>
    <row r="23" spans="1:29" s="19" customFormat="1" ht="22.5" customHeight="1">
      <c r="A23" s="37"/>
      <c r="C23" s="181" t="s">
        <v>59</v>
      </c>
      <c r="D23" s="172"/>
      <c r="E23" s="171">
        <v>9784125000</v>
      </c>
      <c r="F23" s="171"/>
      <c r="G23" s="171"/>
      <c r="H23" s="171"/>
      <c r="I23" s="172" t="s">
        <v>55</v>
      </c>
      <c r="J23" s="172"/>
      <c r="K23" s="172"/>
      <c r="L23" s="172"/>
      <c r="M23" s="187" t="s">
        <v>197</v>
      </c>
      <c r="N23" s="188"/>
      <c r="O23" s="188"/>
      <c r="P23" s="189" t="s">
        <v>205</v>
      </c>
      <c r="Q23" s="189"/>
      <c r="R23" s="182">
        <v>1800</v>
      </c>
      <c r="S23" s="182"/>
      <c r="T23" s="182"/>
      <c r="U23" s="182"/>
      <c r="V23" s="172" t="s">
        <v>61</v>
      </c>
      <c r="W23" s="172"/>
      <c r="X23" s="172"/>
      <c r="Y23" s="171" t="s">
        <v>200</v>
      </c>
      <c r="Z23" s="175"/>
      <c r="AA23" s="110"/>
      <c r="AB23" s="110"/>
      <c r="AC23" s="110"/>
    </row>
    <row r="24" spans="1:29" s="19" customFormat="1" ht="22.5" customHeight="1">
      <c r="A24" s="37"/>
      <c r="C24" s="183" t="s">
        <v>65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 t="s">
        <v>66</v>
      </c>
      <c r="P24" s="184"/>
      <c r="Q24" s="184"/>
      <c r="R24" s="184"/>
      <c r="S24" s="184"/>
      <c r="T24" s="184"/>
      <c r="U24" s="184"/>
      <c r="V24" s="184"/>
      <c r="W24" s="184"/>
      <c r="X24" s="184"/>
      <c r="Y24" s="185" t="s">
        <v>74</v>
      </c>
      <c r="Z24" s="186" t="s">
        <v>46</v>
      </c>
      <c r="AA24" s="110"/>
      <c r="AB24" s="110"/>
      <c r="AC24" s="110"/>
    </row>
    <row r="25" spans="1:29" s="15" customFormat="1" ht="108.75" customHeight="1">
      <c r="A25" s="38"/>
      <c r="C25" s="163" t="s">
        <v>7</v>
      </c>
      <c r="D25" s="141" t="s">
        <v>1</v>
      </c>
      <c r="E25" s="141" t="s">
        <v>2</v>
      </c>
      <c r="F25" s="141" t="s">
        <v>29</v>
      </c>
      <c r="G25" s="141" t="s">
        <v>14</v>
      </c>
      <c r="H25" s="141" t="s">
        <v>15</v>
      </c>
      <c r="I25" s="141" t="s">
        <v>41</v>
      </c>
      <c r="J25" s="141" t="s">
        <v>35</v>
      </c>
      <c r="K25" s="141" t="s">
        <v>64</v>
      </c>
      <c r="L25" s="141" t="s">
        <v>72</v>
      </c>
      <c r="M25" s="141" t="s">
        <v>40</v>
      </c>
      <c r="N25" s="159" t="s">
        <v>34</v>
      </c>
      <c r="O25" s="141" t="str">
        <f>IF(W2="No","GPF","NPS")</f>
        <v>NPS</v>
      </c>
      <c r="P25" s="141" t="s">
        <v>70</v>
      </c>
      <c r="Q25" s="141" t="s">
        <v>206</v>
      </c>
      <c r="R25" s="141" t="s">
        <v>5</v>
      </c>
      <c r="S25" s="141" t="s">
        <v>38</v>
      </c>
      <c r="T25" s="141" t="s">
        <v>32</v>
      </c>
      <c r="U25" s="141" t="s">
        <v>31</v>
      </c>
      <c r="V25" s="141" t="s">
        <v>28</v>
      </c>
      <c r="W25" s="141" t="s">
        <v>73</v>
      </c>
      <c r="X25" s="141" t="s">
        <v>33</v>
      </c>
      <c r="Y25" s="185"/>
      <c r="Z25" s="186"/>
      <c r="AA25" s="111"/>
      <c r="AB25" s="111"/>
      <c r="AC25" s="111"/>
    </row>
    <row r="26" spans="1:29" s="16" customFormat="1" ht="18.95" customHeight="1">
      <c r="A26" s="39"/>
      <c r="B26" s="16">
        <v>3</v>
      </c>
      <c r="C26" s="58">
        <v>44621</v>
      </c>
      <c r="D26" s="160">
        <v>60400</v>
      </c>
      <c r="E26" s="29">
        <v>0</v>
      </c>
      <c r="F26" s="29">
        <v>0</v>
      </c>
      <c r="G26" s="29">
        <v>0</v>
      </c>
      <c r="H26" s="29">
        <f>ROUND(31%*D26,0)</f>
        <v>18724</v>
      </c>
      <c r="I26" s="67">
        <f>VLOOKUP(Y4&amp;" / "&amp;Z4,W5:Z17,4,0)</f>
        <v>1840</v>
      </c>
      <c r="J26" s="29">
        <v>0</v>
      </c>
      <c r="K26" s="29">
        <v>0</v>
      </c>
      <c r="L26" s="29">
        <v>0</v>
      </c>
      <c r="M26" s="29">
        <v>0</v>
      </c>
      <c r="N26" s="30">
        <f>SUM(D26:M26)</f>
        <v>80964</v>
      </c>
      <c r="O26" s="29">
        <f t="shared" ref="O26:O37" si="3">IF($W$2="Yes",ROUND((D26+H26)*0.1,0),IF($W$2="No",ROUND((D26)*0.1,0)))</f>
        <v>7912</v>
      </c>
      <c r="P26" s="29">
        <v>87</v>
      </c>
      <c r="Q26" s="29">
        <v>0</v>
      </c>
      <c r="R26" s="29">
        <v>0</v>
      </c>
      <c r="S26" s="29">
        <v>0</v>
      </c>
      <c r="T26" s="29"/>
      <c r="U26" s="29"/>
      <c r="V26" s="29">
        <v>5000</v>
      </c>
      <c r="W26" s="161"/>
      <c r="X26" s="31">
        <f t="shared" ref="X26:X44" si="4">SUM(O26:W26)</f>
        <v>12999</v>
      </c>
      <c r="Y26" s="32">
        <f t="shared" ref="Y26:Y44" si="5">N26-X26</f>
        <v>67965</v>
      </c>
      <c r="Z26" s="59"/>
      <c r="AA26" s="118"/>
      <c r="AB26" s="112">
        <v>1800</v>
      </c>
      <c r="AC26" s="114"/>
    </row>
    <row r="27" spans="1:29" s="16" customFormat="1" ht="18.95" customHeight="1">
      <c r="A27" s="39"/>
      <c r="B27" s="16">
        <v>4</v>
      </c>
      <c r="C27" s="58">
        <v>44652</v>
      </c>
      <c r="D27" s="29">
        <f t="shared" ref="D27:D29" si="6">D26</f>
        <v>60400</v>
      </c>
      <c r="E27" s="29">
        <f>IF(E$26=0,0,ROUND(D27/2,0))</f>
        <v>0</v>
      </c>
      <c r="F27" s="29">
        <f t="shared" ref="F27:G32" si="7">IF(F$26=0,0,F26)</f>
        <v>0</v>
      </c>
      <c r="G27" s="29">
        <f t="shared" si="7"/>
        <v>0</v>
      </c>
      <c r="H27" s="29">
        <f t="shared" ref="H27:H29" si="8">ROUND(31%*D27,0)</f>
        <v>18724</v>
      </c>
      <c r="I27" s="67">
        <f>I26</f>
        <v>1840</v>
      </c>
      <c r="J27" s="29">
        <f t="shared" ref="J27:J37" si="9">IF(J$26=0,0,J26)</f>
        <v>0</v>
      </c>
      <c r="K27" s="29">
        <f t="shared" ref="K27:L37" si="10">IF(K$26=0,0,K26)</f>
        <v>0</v>
      </c>
      <c r="L27" s="29">
        <f t="shared" si="10"/>
        <v>0</v>
      </c>
      <c r="M27" s="29">
        <f t="shared" ref="M27:M37" si="11">IF(M$26=0,0,M26)</f>
        <v>0</v>
      </c>
      <c r="N27" s="30">
        <f t="shared" ref="N27:N44" si="12">SUM(D27:M27)</f>
        <v>80964</v>
      </c>
      <c r="O27" s="29">
        <f t="shared" si="3"/>
        <v>7912</v>
      </c>
      <c r="P27" s="29">
        <f>P26</f>
        <v>87</v>
      </c>
      <c r="Q27" s="29">
        <f>Q26</f>
        <v>0</v>
      </c>
      <c r="R27" s="29">
        <f>R26</f>
        <v>0</v>
      </c>
      <c r="S27" s="33"/>
      <c r="T27" s="29">
        <f t="shared" ref="T27:W37" si="13">T26</f>
        <v>0</v>
      </c>
      <c r="U27" s="29">
        <f t="shared" si="13"/>
        <v>0</v>
      </c>
      <c r="V27" s="29">
        <f>V26</f>
        <v>5000</v>
      </c>
      <c r="W27" s="29">
        <f t="shared" si="13"/>
        <v>0</v>
      </c>
      <c r="X27" s="31">
        <f t="shared" si="4"/>
        <v>12999</v>
      </c>
      <c r="Y27" s="32">
        <f t="shared" si="5"/>
        <v>67965</v>
      </c>
      <c r="Z27" s="59"/>
      <c r="AA27" s="118"/>
      <c r="AB27" s="112">
        <v>1900</v>
      </c>
      <c r="AC27" s="114"/>
    </row>
    <row r="28" spans="1:29" s="16" customFormat="1" ht="18.95" customHeight="1">
      <c r="A28" s="39"/>
      <c r="B28" s="16">
        <v>5</v>
      </c>
      <c r="C28" s="58">
        <v>44682</v>
      </c>
      <c r="D28" s="29">
        <f t="shared" si="6"/>
        <v>60400</v>
      </c>
      <c r="E28" s="29">
        <f t="shared" ref="E28:E37" si="14">IF($E$26=0,0,ROUND(D28/2,0))</f>
        <v>0</v>
      </c>
      <c r="F28" s="29">
        <f t="shared" si="7"/>
        <v>0</v>
      </c>
      <c r="G28" s="29">
        <f t="shared" si="7"/>
        <v>0</v>
      </c>
      <c r="H28" s="29">
        <f t="shared" si="8"/>
        <v>18724</v>
      </c>
      <c r="I28" s="67">
        <f t="shared" ref="I28:I37" si="15">I27</f>
        <v>1840</v>
      </c>
      <c r="J28" s="29">
        <f t="shared" si="9"/>
        <v>0</v>
      </c>
      <c r="K28" s="29">
        <f t="shared" ref="K28" si="16">IF(K$26=0,0,K27)</f>
        <v>0</v>
      </c>
      <c r="L28" s="29">
        <f>IF(L$26=0,0,L27)</f>
        <v>0</v>
      </c>
      <c r="M28" s="29">
        <f t="shared" si="11"/>
        <v>0</v>
      </c>
      <c r="N28" s="30">
        <f t="shared" si="12"/>
        <v>80964</v>
      </c>
      <c r="O28" s="29">
        <f t="shared" si="3"/>
        <v>7912</v>
      </c>
      <c r="P28" s="29">
        <f t="shared" ref="P28:P37" si="17">P27</f>
        <v>87</v>
      </c>
      <c r="Q28" s="29">
        <f t="shared" ref="Q28:Q37" si="18">Q27</f>
        <v>0</v>
      </c>
      <c r="R28" s="29">
        <f t="shared" ref="R28:R37" si="19">R27</f>
        <v>0</v>
      </c>
      <c r="S28" s="29">
        <v>0</v>
      </c>
      <c r="T28" s="29">
        <f t="shared" si="13"/>
        <v>0</v>
      </c>
      <c r="U28" s="29">
        <f t="shared" si="13"/>
        <v>0</v>
      </c>
      <c r="V28" s="29">
        <f t="shared" si="13"/>
        <v>5000</v>
      </c>
      <c r="W28" s="29">
        <f t="shared" ref="W28" si="20">W27</f>
        <v>0</v>
      </c>
      <c r="X28" s="31">
        <f t="shared" si="4"/>
        <v>12999</v>
      </c>
      <c r="Y28" s="32">
        <f t="shared" si="5"/>
        <v>67965</v>
      </c>
      <c r="Z28" s="59"/>
      <c r="AA28" s="118"/>
      <c r="AB28" s="112">
        <v>4200</v>
      </c>
      <c r="AC28" s="114"/>
    </row>
    <row r="29" spans="1:29" s="16" customFormat="1" ht="18.95" customHeight="1">
      <c r="A29" s="39"/>
      <c r="B29" s="16">
        <v>6</v>
      </c>
      <c r="C29" s="58">
        <v>44713</v>
      </c>
      <c r="D29" s="29">
        <f t="shared" si="6"/>
        <v>60400</v>
      </c>
      <c r="E29" s="29">
        <f t="shared" si="14"/>
        <v>0</v>
      </c>
      <c r="F29" s="29">
        <f t="shared" si="7"/>
        <v>0</v>
      </c>
      <c r="G29" s="29">
        <f t="shared" si="7"/>
        <v>0</v>
      </c>
      <c r="H29" s="29">
        <f t="shared" si="8"/>
        <v>18724</v>
      </c>
      <c r="I29" s="67">
        <f t="shared" si="15"/>
        <v>1840</v>
      </c>
      <c r="J29" s="29">
        <f t="shared" si="9"/>
        <v>0</v>
      </c>
      <c r="K29" s="29">
        <f t="shared" si="10"/>
        <v>0</v>
      </c>
      <c r="L29" s="29">
        <f t="shared" si="10"/>
        <v>0</v>
      </c>
      <c r="M29" s="29">
        <f t="shared" si="11"/>
        <v>0</v>
      </c>
      <c r="N29" s="30">
        <f t="shared" si="12"/>
        <v>80964</v>
      </c>
      <c r="O29" s="29">
        <f t="shared" si="3"/>
        <v>7912</v>
      </c>
      <c r="P29" s="29">
        <f t="shared" si="17"/>
        <v>87</v>
      </c>
      <c r="Q29" s="29">
        <f t="shared" si="18"/>
        <v>0</v>
      </c>
      <c r="R29" s="29">
        <f t="shared" si="19"/>
        <v>0</v>
      </c>
      <c r="S29" s="29">
        <v>0</v>
      </c>
      <c r="T29" s="29">
        <f t="shared" si="13"/>
        <v>0</v>
      </c>
      <c r="U29" s="29">
        <f t="shared" si="13"/>
        <v>0</v>
      </c>
      <c r="V29" s="29">
        <f t="shared" si="13"/>
        <v>5000</v>
      </c>
      <c r="W29" s="29">
        <f t="shared" ref="W29" si="21">W28</f>
        <v>0</v>
      </c>
      <c r="X29" s="31">
        <f t="shared" si="4"/>
        <v>12999</v>
      </c>
      <c r="Y29" s="32">
        <f t="shared" si="5"/>
        <v>67965</v>
      </c>
      <c r="Z29" s="59"/>
      <c r="AA29" s="118"/>
      <c r="AB29" s="112">
        <v>4600</v>
      </c>
      <c r="AC29" s="114"/>
    </row>
    <row r="30" spans="1:29" s="16" customFormat="1" ht="18.95" customHeight="1">
      <c r="A30" s="39"/>
      <c r="B30" s="16">
        <v>7</v>
      </c>
      <c r="C30" s="58">
        <v>44743</v>
      </c>
      <c r="D30" s="29">
        <f>IF(T3="JULY",MROUND(ROUND(1.03*D29,0),100),D29)</f>
        <v>60400</v>
      </c>
      <c r="E30" s="29">
        <f t="shared" si="14"/>
        <v>0</v>
      </c>
      <c r="F30" s="29">
        <f>IF(F$26=0,0,F29)</f>
        <v>0</v>
      </c>
      <c r="G30" s="29">
        <f>IF(G$26=0,0,G29)</f>
        <v>0</v>
      </c>
      <c r="H30" s="29">
        <f t="shared" ref="H30:H37" si="22">ROUND(34%*D30,0)</f>
        <v>20536</v>
      </c>
      <c r="I30" s="67">
        <f t="shared" si="15"/>
        <v>1840</v>
      </c>
      <c r="J30" s="29">
        <f>IF(J$26=0,0,J29)</f>
        <v>0</v>
      </c>
      <c r="K30" s="29">
        <f t="shared" ref="K30" si="23">IF(K$26=0,0,K29)</f>
        <v>0</v>
      </c>
      <c r="L30" s="29">
        <f>IF(L$26=0,0,L29)</f>
        <v>0</v>
      </c>
      <c r="M30" s="29">
        <f>IF(M$26=0,0,M29)</f>
        <v>0</v>
      </c>
      <c r="N30" s="30">
        <f t="shared" si="12"/>
        <v>82776</v>
      </c>
      <c r="O30" s="29">
        <f t="shared" si="3"/>
        <v>8094</v>
      </c>
      <c r="P30" s="29">
        <f>P29</f>
        <v>87</v>
      </c>
      <c r="Q30" s="29">
        <f>Q29</f>
        <v>0</v>
      </c>
      <c r="R30" s="29">
        <f>R29</f>
        <v>0</v>
      </c>
      <c r="S30" s="29">
        <v>0</v>
      </c>
      <c r="T30" s="29">
        <f>T29</f>
        <v>0</v>
      </c>
      <c r="U30" s="29">
        <f>U29</f>
        <v>0</v>
      </c>
      <c r="V30" s="29">
        <f t="shared" ref="V30:W37" si="24">V29</f>
        <v>5000</v>
      </c>
      <c r="W30" s="29">
        <f t="shared" si="24"/>
        <v>0</v>
      </c>
      <c r="X30" s="31">
        <f t="shared" si="4"/>
        <v>13181</v>
      </c>
      <c r="Y30" s="32">
        <f t="shared" si="5"/>
        <v>69595</v>
      </c>
      <c r="Z30" s="59"/>
      <c r="AA30" s="118"/>
      <c r="AB30" s="112">
        <v>4800</v>
      </c>
      <c r="AC30" s="114"/>
    </row>
    <row r="31" spans="1:29" s="16" customFormat="1" ht="18.95" customHeight="1">
      <c r="A31" s="39"/>
      <c r="B31" s="16">
        <v>8</v>
      </c>
      <c r="C31" s="58">
        <v>44774</v>
      </c>
      <c r="D31" s="29">
        <f t="shared" ref="D31:D37" si="25">D30</f>
        <v>60400</v>
      </c>
      <c r="E31" s="29">
        <f t="shared" si="14"/>
        <v>0</v>
      </c>
      <c r="F31" s="29">
        <f t="shared" si="7"/>
        <v>0</v>
      </c>
      <c r="G31" s="29">
        <f t="shared" si="7"/>
        <v>0</v>
      </c>
      <c r="H31" s="29">
        <f t="shared" si="22"/>
        <v>20536</v>
      </c>
      <c r="I31" s="67">
        <f t="shared" si="15"/>
        <v>1840</v>
      </c>
      <c r="J31" s="29">
        <f t="shared" si="9"/>
        <v>0</v>
      </c>
      <c r="K31" s="29">
        <f t="shared" si="10"/>
        <v>0</v>
      </c>
      <c r="L31" s="29">
        <f t="shared" si="10"/>
        <v>0</v>
      </c>
      <c r="M31" s="29">
        <f t="shared" si="11"/>
        <v>0</v>
      </c>
      <c r="N31" s="30">
        <f t="shared" si="12"/>
        <v>82776</v>
      </c>
      <c r="O31" s="29">
        <f t="shared" si="3"/>
        <v>8094</v>
      </c>
      <c r="P31" s="29">
        <f t="shared" si="17"/>
        <v>87</v>
      </c>
      <c r="Q31" s="29">
        <f t="shared" si="18"/>
        <v>0</v>
      </c>
      <c r="R31" s="29">
        <f t="shared" si="19"/>
        <v>0</v>
      </c>
      <c r="S31" s="29">
        <v>0</v>
      </c>
      <c r="T31" s="29">
        <f t="shared" si="13"/>
        <v>0</v>
      </c>
      <c r="U31" s="29">
        <f t="shared" si="13"/>
        <v>0</v>
      </c>
      <c r="V31" s="29">
        <f t="shared" si="24"/>
        <v>5000</v>
      </c>
      <c r="W31" s="29">
        <f t="shared" si="24"/>
        <v>0</v>
      </c>
      <c r="X31" s="31">
        <f t="shared" si="4"/>
        <v>13181</v>
      </c>
      <c r="Y31" s="32">
        <f t="shared" si="5"/>
        <v>69595</v>
      </c>
      <c r="Z31" s="59"/>
      <c r="AA31" s="118"/>
      <c r="AB31" s="112">
        <v>5400</v>
      </c>
      <c r="AC31" s="114"/>
    </row>
    <row r="32" spans="1:29" s="16" customFormat="1" ht="18.95" customHeight="1">
      <c r="A32" s="39"/>
      <c r="B32" s="16">
        <v>9</v>
      </c>
      <c r="C32" s="58">
        <v>44805</v>
      </c>
      <c r="D32" s="29">
        <f t="shared" si="25"/>
        <v>60400</v>
      </c>
      <c r="E32" s="29">
        <f t="shared" si="14"/>
        <v>0</v>
      </c>
      <c r="F32" s="29">
        <f t="shared" si="7"/>
        <v>0</v>
      </c>
      <c r="G32" s="29">
        <f t="shared" si="7"/>
        <v>0</v>
      </c>
      <c r="H32" s="29">
        <f t="shared" si="22"/>
        <v>20536</v>
      </c>
      <c r="I32" s="67">
        <f t="shared" si="15"/>
        <v>1840</v>
      </c>
      <c r="J32" s="29">
        <f t="shared" si="9"/>
        <v>0</v>
      </c>
      <c r="K32" s="29">
        <f t="shared" si="10"/>
        <v>0</v>
      </c>
      <c r="L32" s="29">
        <f t="shared" si="10"/>
        <v>0</v>
      </c>
      <c r="M32" s="29">
        <f t="shared" si="11"/>
        <v>0</v>
      </c>
      <c r="N32" s="30">
        <f t="shared" si="12"/>
        <v>82776</v>
      </c>
      <c r="O32" s="29">
        <f t="shared" si="3"/>
        <v>8094</v>
      </c>
      <c r="P32" s="29">
        <f t="shared" si="17"/>
        <v>87</v>
      </c>
      <c r="Q32" s="29">
        <f t="shared" si="18"/>
        <v>0</v>
      </c>
      <c r="R32" s="29">
        <f t="shared" si="19"/>
        <v>0</v>
      </c>
      <c r="S32" s="29">
        <v>0</v>
      </c>
      <c r="T32" s="29">
        <f t="shared" si="13"/>
        <v>0</v>
      </c>
      <c r="U32" s="29">
        <f t="shared" si="13"/>
        <v>0</v>
      </c>
      <c r="V32" s="29">
        <f t="shared" si="24"/>
        <v>5000</v>
      </c>
      <c r="W32" s="29">
        <f t="shared" si="24"/>
        <v>0</v>
      </c>
      <c r="X32" s="31">
        <f t="shared" si="4"/>
        <v>13181</v>
      </c>
      <c r="Y32" s="32">
        <f t="shared" si="5"/>
        <v>69595</v>
      </c>
      <c r="Z32" s="59"/>
      <c r="AA32" s="119"/>
      <c r="AB32" s="113"/>
      <c r="AC32" s="114"/>
    </row>
    <row r="33" spans="1:29" s="16" customFormat="1" ht="18.95" customHeight="1">
      <c r="A33" s="39"/>
      <c r="B33" s="16">
        <v>10</v>
      </c>
      <c r="C33" s="58">
        <v>44835</v>
      </c>
      <c r="D33" s="29">
        <f t="shared" si="25"/>
        <v>60400</v>
      </c>
      <c r="E33" s="29">
        <f t="shared" si="14"/>
        <v>0</v>
      </c>
      <c r="F33" s="29">
        <f>IF(F$26=0,0,F32)</f>
        <v>0</v>
      </c>
      <c r="G33" s="29">
        <f t="shared" ref="G33:G37" si="26">IF(G$26=0,0,G32)</f>
        <v>0</v>
      </c>
      <c r="H33" s="29">
        <f t="shared" si="22"/>
        <v>20536</v>
      </c>
      <c r="I33" s="67">
        <f t="shared" si="15"/>
        <v>1840</v>
      </c>
      <c r="J33" s="29">
        <f t="shared" si="9"/>
        <v>0</v>
      </c>
      <c r="K33" s="29">
        <f t="shared" si="10"/>
        <v>0</v>
      </c>
      <c r="L33" s="29">
        <f t="shared" si="10"/>
        <v>0</v>
      </c>
      <c r="M33" s="29">
        <f t="shared" si="11"/>
        <v>0</v>
      </c>
      <c r="N33" s="30">
        <f t="shared" si="12"/>
        <v>82776</v>
      </c>
      <c r="O33" s="29">
        <f t="shared" si="3"/>
        <v>8094</v>
      </c>
      <c r="P33" s="29">
        <f t="shared" si="17"/>
        <v>87</v>
      </c>
      <c r="Q33" s="29">
        <f t="shared" si="18"/>
        <v>0</v>
      </c>
      <c r="R33" s="29">
        <f t="shared" si="19"/>
        <v>0</v>
      </c>
      <c r="S33" s="29">
        <v>0</v>
      </c>
      <c r="T33" s="29">
        <f t="shared" si="13"/>
        <v>0</v>
      </c>
      <c r="U33" s="29">
        <f t="shared" si="13"/>
        <v>0</v>
      </c>
      <c r="V33" s="29">
        <f t="shared" si="24"/>
        <v>5000</v>
      </c>
      <c r="W33" s="29">
        <f t="shared" si="24"/>
        <v>0</v>
      </c>
      <c r="X33" s="31">
        <f t="shared" si="4"/>
        <v>13181</v>
      </c>
      <c r="Y33" s="32">
        <f t="shared" si="5"/>
        <v>69595</v>
      </c>
      <c r="Z33" s="59"/>
      <c r="AA33" s="119"/>
      <c r="AB33" s="113"/>
      <c r="AC33" s="114"/>
    </row>
    <row r="34" spans="1:29" s="16" customFormat="1" ht="18.95" customHeight="1">
      <c r="A34" s="39"/>
      <c r="B34" s="16">
        <v>11</v>
      </c>
      <c r="C34" s="58">
        <v>44866</v>
      </c>
      <c r="D34" s="29">
        <f t="shared" si="25"/>
        <v>60400</v>
      </c>
      <c r="E34" s="29">
        <f t="shared" si="14"/>
        <v>0</v>
      </c>
      <c r="F34" s="29">
        <f>IF(F$26=0,0,F33)</f>
        <v>0</v>
      </c>
      <c r="G34" s="29">
        <f t="shared" si="26"/>
        <v>0</v>
      </c>
      <c r="H34" s="29">
        <f t="shared" si="22"/>
        <v>20536</v>
      </c>
      <c r="I34" s="67">
        <f t="shared" si="15"/>
        <v>1840</v>
      </c>
      <c r="J34" s="29">
        <f t="shared" si="9"/>
        <v>0</v>
      </c>
      <c r="K34" s="29">
        <f t="shared" si="10"/>
        <v>0</v>
      </c>
      <c r="L34" s="29">
        <f t="shared" si="10"/>
        <v>0</v>
      </c>
      <c r="M34" s="29">
        <f t="shared" si="11"/>
        <v>0</v>
      </c>
      <c r="N34" s="30">
        <f t="shared" si="12"/>
        <v>82776</v>
      </c>
      <c r="O34" s="29">
        <f t="shared" si="3"/>
        <v>8094</v>
      </c>
      <c r="P34" s="29">
        <f t="shared" si="17"/>
        <v>87</v>
      </c>
      <c r="Q34" s="29">
        <f t="shared" si="18"/>
        <v>0</v>
      </c>
      <c r="R34" s="29">
        <f t="shared" si="19"/>
        <v>0</v>
      </c>
      <c r="S34" s="29">
        <v>0</v>
      </c>
      <c r="T34" s="29">
        <f t="shared" si="13"/>
        <v>0</v>
      </c>
      <c r="U34" s="29">
        <f t="shared" si="13"/>
        <v>0</v>
      </c>
      <c r="V34" s="29">
        <f t="shared" si="24"/>
        <v>5000</v>
      </c>
      <c r="W34" s="29">
        <f t="shared" si="24"/>
        <v>0</v>
      </c>
      <c r="X34" s="31">
        <f t="shared" si="4"/>
        <v>13181</v>
      </c>
      <c r="Y34" s="32">
        <f t="shared" si="5"/>
        <v>69595</v>
      </c>
      <c r="Z34" s="59"/>
      <c r="AA34" s="119"/>
      <c r="AB34" s="113"/>
      <c r="AC34" s="114"/>
    </row>
    <row r="35" spans="1:29" s="16" customFormat="1" ht="18.95" customHeight="1">
      <c r="A35" s="39"/>
      <c r="B35" s="16">
        <v>12</v>
      </c>
      <c r="C35" s="58">
        <v>44896</v>
      </c>
      <c r="D35" s="29">
        <f t="shared" si="25"/>
        <v>60400</v>
      </c>
      <c r="E35" s="29">
        <f t="shared" si="14"/>
        <v>0</v>
      </c>
      <c r="F35" s="29">
        <f>IF(F$26=0,0,F34)</f>
        <v>0</v>
      </c>
      <c r="G35" s="29">
        <f t="shared" si="26"/>
        <v>0</v>
      </c>
      <c r="H35" s="29">
        <f t="shared" si="22"/>
        <v>20536</v>
      </c>
      <c r="I35" s="67">
        <f t="shared" si="15"/>
        <v>1840</v>
      </c>
      <c r="J35" s="29">
        <f t="shared" si="9"/>
        <v>0</v>
      </c>
      <c r="K35" s="29">
        <f t="shared" si="10"/>
        <v>0</v>
      </c>
      <c r="L35" s="29">
        <f t="shared" si="10"/>
        <v>0</v>
      </c>
      <c r="M35" s="29">
        <f t="shared" si="11"/>
        <v>0</v>
      </c>
      <c r="N35" s="30">
        <f t="shared" si="12"/>
        <v>82776</v>
      </c>
      <c r="O35" s="29">
        <f t="shared" si="3"/>
        <v>8094</v>
      </c>
      <c r="P35" s="29">
        <f t="shared" si="17"/>
        <v>87</v>
      </c>
      <c r="Q35" s="29">
        <f t="shared" si="18"/>
        <v>0</v>
      </c>
      <c r="R35" s="29">
        <f t="shared" si="19"/>
        <v>0</v>
      </c>
      <c r="S35" s="29">
        <v>0</v>
      </c>
      <c r="T35" s="29">
        <f t="shared" si="13"/>
        <v>0</v>
      </c>
      <c r="U35" s="29">
        <f t="shared" si="13"/>
        <v>0</v>
      </c>
      <c r="V35" s="29">
        <f t="shared" si="24"/>
        <v>5000</v>
      </c>
      <c r="W35" s="29"/>
      <c r="X35" s="31">
        <f t="shared" si="4"/>
        <v>13181</v>
      </c>
      <c r="Y35" s="32">
        <f t="shared" si="5"/>
        <v>69595</v>
      </c>
      <c r="Z35" s="59"/>
      <c r="AA35" s="119"/>
      <c r="AB35" s="113"/>
      <c r="AC35" s="114"/>
    </row>
    <row r="36" spans="1:29" s="16" customFormat="1" ht="18.95" customHeight="1">
      <c r="A36" s="39"/>
      <c r="B36" s="16">
        <v>1</v>
      </c>
      <c r="C36" s="58">
        <v>44927</v>
      </c>
      <c r="D36" s="29">
        <f>IF(T3="JANUARY",MROUND(ROUND(1.03*D35,0),100),D35)</f>
        <v>62200</v>
      </c>
      <c r="E36" s="29">
        <f t="shared" si="14"/>
        <v>0</v>
      </c>
      <c r="F36" s="29">
        <f>IF(F$26=0,0,F35)</f>
        <v>0</v>
      </c>
      <c r="G36" s="29">
        <f t="shared" si="26"/>
        <v>0</v>
      </c>
      <c r="H36" s="29">
        <f t="shared" si="22"/>
        <v>21148</v>
      </c>
      <c r="I36" s="67">
        <f t="shared" si="15"/>
        <v>1840</v>
      </c>
      <c r="J36" s="29">
        <f t="shared" si="9"/>
        <v>0</v>
      </c>
      <c r="K36" s="29">
        <f t="shared" si="10"/>
        <v>0</v>
      </c>
      <c r="L36" s="29">
        <f t="shared" si="10"/>
        <v>0</v>
      </c>
      <c r="M36" s="29">
        <f t="shared" si="11"/>
        <v>0</v>
      </c>
      <c r="N36" s="30">
        <f t="shared" si="12"/>
        <v>85188</v>
      </c>
      <c r="O36" s="29">
        <f t="shared" si="3"/>
        <v>8335</v>
      </c>
      <c r="P36" s="29">
        <f t="shared" si="17"/>
        <v>87</v>
      </c>
      <c r="Q36" s="29">
        <f t="shared" si="18"/>
        <v>0</v>
      </c>
      <c r="R36" s="29">
        <f t="shared" si="19"/>
        <v>0</v>
      </c>
      <c r="S36" s="29">
        <v>0</v>
      </c>
      <c r="T36" s="29">
        <f t="shared" si="13"/>
        <v>0</v>
      </c>
      <c r="U36" s="29">
        <f t="shared" si="13"/>
        <v>0</v>
      </c>
      <c r="V36" s="29">
        <f t="shared" si="24"/>
        <v>5000</v>
      </c>
      <c r="W36" s="29"/>
      <c r="X36" s="31">
        <f t="shared" si="4"/>
        <v>13422</v>
      </c>
      <c r="Y36" s="32">
        <f t="shared" si="5"/>
        <v>71766</v>
      </c>
      <c r="Z36" s="59"/>
      <c r="AA36" s="119"/>
      <c r="AB36" s="113"/>
      <c r="AC36" s="114"/>
    </row>
    <row r="37" spans="1:29" s="16" customFormat="1" ht="18.95" customHeight="1">
      <c r="A37" s="39"/>
      <c r="B37" s="16">
        <v>2</v>
      </c>
      <c r="C37" s="58">
        <v>44958</v>
      </c>
      <c r="D37" s="29">
        <f t="shared" si="25"/>
        <v>62200</v>
      </c>
      <c r="E37" s="29">
        <f t="shared" si="14"/>
        <v>0</v>
      </c>
      <c r="F37" s="29">
        <f>IF(F$26=0,0,F36)</f>
        <v>0</v>
      </c>
      <c r="G37" s="29">
        <f t="shared" si="26"/>
        <v>0</v>
      </c>
      <c r="H37" s="29">
        <f t="shared" si="22"/>
        <v>21148</v>
      </c>
      <c r="I37" s="67">
        <f t="shared" si="15"/>
        <v>1840</v>
      </c>
      <c r="J37" s="29">
        <f t="shared" si="9"/>
        <v>0</v>
      </c>
      <c r="K37" s="29">
        <f t="shared" si="10"/>
        <v>0</v>
      </c>
      <c r="L37" s="29">
        <f t="shared" si="10"/>
        <v>0</v>
      </c>
      <c r="M37" s="29">
        <f t="shared" si="11"/>
        <v>0</v>
      </c>
      <c r="N37" s="30">
        <f t="shared" si="12"/>
        <v>85188</v>
      </c>
      <c r="O37" s="29">
        <f t="shared" si="3"/>
        <v>8335</v>
      </c>
      <c r="P37" s="29">
        <f t="shared" si="17"/>
        <v>87</v>
      </c>
      <c r="Q37" s="29">
        <f t="shared" si="18"/>
        <v>0</v>
      </c>
      <c r="R37" s="29">
        <f t="shared" si="19"/>
        <v>0</v>
      </c>
      <c r="S37" s="29">
        <v>0</v>
      </c>
      <c r="T37" s="29">
        <f t="shared" si="13"/>
        <v>0</v>
      </c>
      <c r="U37" s="29">
        <f t="shared" si="13"/>
        <v>0</v>
      </c>
      <c r="V37" s="29">
        <f t="shared" si="24"/>
        <v>5000</v>
      </c>
      <c r="W37" s="29"/>
      <c r="X37" s="31">
        <f t="shared" si="4"/>
        <v>13422</v>
      </c>
      <c r="Y37" s="32">
        <f t="shared" si="5"/>
        <v>71766</v>
      </c>
      <c r="Z37" s="59"/>
      <c r="AA37" s="119"/>
      <c r="AB37" s="113"/>
      <c r="AC37" s="114"/>
    </row>
    <row r="38" spans="1:29" s="16" customFormat="1" ht="18.95" customHeight="1">
      <c r="A38" s="39"/>
      <c r="C38" s="60" t="s">
        <v>71</v>
      </c>
      <c r="D38" s="29"/>
      <c r="E38" s="29"/>
      <c r="F38" s="29"/>
      <c r="G38" s="29"/>
      <c r="H38" s="29">
        <f>(ROUND(34%*D26,0)-ROUND(31%*D26,0))*6</f>
        <v>10872</v>
      </c>
      <c r="I38" s="29"/>
      <c r="J38" s="29"/>
      <c r="K38" s="29"/>
      <c r="L38" s="29"/>
      <c r="M38" s="29"/>
      <c r="N38" s="30">
        <f>H38</f>
        <v>10872</v>
      </c>
      <c r="O38" s="29">
        <f>IF($W$2="Yes",ROUND(H38*10/100,0),IF($W$2="no",ROUNDDOWN(N38,-2)))</f>
        <v>1087</v>
      </c>
      <c r="P38" s="29"/>
      <c r="Q38" s="29"/>
      <c r="R38" s="29">
        <v>0</v>
      </c>
      <c r="S38" s="29"/>
      <c r="T38" s="29"/>
      <c r="U38" s="29"/>
      <c r="V38" s="29"/>
      <c r="W38" s="29"/>
      <c r="X38" s="31">
        <f t="shared" si="4"/>
        <v>1087</v>
      </c>
      <c r="Y38" s="32">
        <f t="shared" si="5"/>
        <v>9785</v>
      </c>
      <c r="Z38" s="59"/>
      <c r="AA38" s="114"/>
      <c r="AB38" s="114"/>
      <c r="AC38" s="114"/>
    </row>
    <row r="39" spans="1:29" s="16" customFormat="1" ht="18.95" customHeight="1">
      <c r="A39" s="39"/>
      <c r="C39" s="60" t="s">
        <v>47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  <c r="T39" s="29"/>
      <c r="U39" s="29"/>
      <c r="V39" s="29"/>
      <c r="W39" s="29"/>
      <c r="X39" s="31">
        <f t="shared" si="4"/>
        <v>0</v>
      </c>
      <c r="Y39" s="32">
        <f t="shared" si="5"/>
        <v>0</v>
      </c>
      <c r="Z39" s="59"/>
      <c r="AA39" s="114"/>
      <c r="AB39" s="114"/>
      <c r="AC39" s="114"/>
    </row>
    <row r="40" spans="1:29" s="16" customFormat="1" ht="18.95" customHeight="1">
      <c r="A40" s="39"/>
      <c r="C40" s="61" t="s">
        <v>26</v>
      </c>
      <c r="D40" s="29">
        <f>IF(W4="Yes",6908,0)</f>
        <v>6908</v>
      </c>
      <c r="E40" s="29"/>
      <c r="F40" s="29"/>
      <c r="G40" s="29"/>
      <c r="H40" s="29"/>
      <c r="I40" s="29"/>
      <c r="J40" s="29"/>
      <c r="K40" s="29"/>
      <c r="L40" s="29"/>
      <c r="M40" s="29"/>
      <c r="N40" s="30">
        <f>SUM(D40:M40)</f>
        <v>6908</v>
      </c>
      <c r="O40" s="29">
        <f>VLOOKUP(W2&amp;" / "&amp;W4,O6:R10,4,0)</f>
        <v>0</v>
      </c>
      <c r="P40" s="29"/>
      <c r="Q40" s="29">
        <f>VLOOKUP(W2&amp;" / "&amp;W4,O12:R16,4,0)</f>
        <v>5100</v>
      </c>
      <c r="R40" s="29"/>
      <c r="S40" s="29"/>
      <c r="T40" s="29"/>
      <c r="U40" s="29"/>
      <c r="V40" s="29"/>
      <c r="W40" s="29"/>
      <c r="X40" s="31">
        <f t="shared" si="4"/>
        <v>5100</v>
      </c>
      <c r="Y40" s="32">
        <f t="shared" si="5"/>
        <v>1808</v>
      </c>
      <c r="Z40" s="59"/>
      <c r="AA40" s="114"/>
      <c r="AB40" s="114"/>
      <c r="AC40" s="114"/>
    </row>
    <row r="41" spans="1:29" s="16" customFormat="1" ht="18.95" customHeight="1">
      <c r="A41" s="39"/>
      <c r="C41" s="62" t="s">
        <v>27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12"/>
        <v>0</v>
      </c>
      <c r="O41" s="29"/>
      <c r="P41" s="29"/>
      <c r="Q41" s="29"/>
      <c r="R41" s="29"/>
      <c r="S41" s="29"/>
      <c r="T41" s="29"/>
      <c r="U41" s="29"/>
      <c r="V41" s="29"/>
      <c r="W41" s="29"/>
      <c r="X41" s="31">
        <f t="shared" si="4"/>
        <v>0</v>
      </c>
      <c r="Y41" s="32">
        <f t="shared" si="5"/>
        <v>0</v>
      </c>
      <c r="Z41" s="59"/>
      <c r="AA41" s="114"/>
      <c r="AB41" s="114"/>
      <c r="AC41" s="114"/>
    </row>
    <row r="42" spans="1:29" s="16" customFormat="1" ht="18.95" customHeight="1">
      <c r="A42" s="39"/>
      <c r="C42" s="62" t="s">
        <v>42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12"/>
        <v>0</v>
      </c>
      <c r="O42" s="29"/>
      <c r="P42" s="29"/>
      <c r="Q42" s="29"/>
      <c r="R42" s="29"/>
      <c r="S42" s="29"/>
      <c r="T42" s="29"/>
      <c r="U42" s="29"/>
      <c r="V42" s="29"/>
      <c r="W42" s="29"/>
      <c r="X42" s="31">
        <f t="shared" si="4"/>
        <v>0</v>
      </c>
      <c r="Y42" s="32">
        <f t="shared" si="5"/>
        <v>0</v>
      </c>
      <c r="Z42" s="59"/>
      <c r="AA42" s="114"/>
      <c r="AB42" s="114"/>
      <c r="AC42" s="114"/>
    </row>
    <row r="43" spans="1:29" s="16" customFormat="1" ht="18.95" customHeight="1">
      <c r="A43" s="39"/>
      <c r="C43" s="62" t="s">
        <v>43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>
        <f t="shared" si="12"/>
        <v>0</v>
      </c>
      <c r="O43" s="29"/>
      <c r="P43" s="29"/>
      <c r="Q43" s="29"/>
      <c r="R43" s="29"/>
      <c r="S43" s="29"/>
      <c r="T43" s="29"/>
      <c r="U43" s="29"/>
      <c r="V43" s="29"/>
      <c r="W43" s="29"/>
      <c r="X43" s="31">
        <f t="shared" si="4"/>
        <v>0</v>
      </c>
      <c r="Y43" s="32">
        <f t="shared" si="5"/>
        <v>0</v>
      </c>
      <c r="Z43" s="59"/>
      <c r="AA43" s="114"/>
      <c r="AB43" s="114"/>
      <c r="AC43" s="114"/>
    </row>
    <row r="44" spans="1:29" s="16" customFormat="1" ht="18.95" customHeight="1">
      <c r="A44" s="39"/>
      <c r="C44" s="62" t="s">
        <v>30</v>
      </c>
      <c r="D44" s="29"/>
      <c r="E44" s="29">
        <v>0</v>
      </c>
      <c r="F44" s="29">
        <v>0</v>
      </c>
      <c r="G44" s="29"/>
      <c r="H44" s="29"/>
      <c r="I44" s="29"/>
      <c r="J44" s="29"/>
      <c r="K44" s="29"/>
      <c r="L44" s="29"/>
      <c r="M44" s="29"/>
      <c r="N44" s="30">
        <f t="shared" si="12"/>
        <v>0</v>
      </c>
      <c r="O44" s="29"/>
      <c r="P44" s="29"/>
      <c r="Q44" s="29"/>
      <c r="R44" s="29"/>
      <c r="S44" s="29"/>
      <c r="T44" s="29"/>
      <c r="U44" s="29"/>
      <c r="V44" s="29"/>
      <c r="W44" s="29"/>
      <c r="X44" s="31">
        <f t="shared" si="4"/>
        <v>0</v>
      </c>
      <c r="Y44" s="32">
        <f t="shared" si="5"/>
        <v>0</v>
      </c>
      <c r="Z44" s="59"/>
      <c r="AA44" s="114"/>
      <c r="AB44" s="114"/>
      <c r="AC44" s="114"/>
    </row>
    <row r="45" spans="1:29" s="17" customFormat="1" ht="70.5" customHeight="1" thickBot="1">
      <c r="A45" s="40"/>
      <c r="C45" s="63" t="s">
        <v>22</v>
      </c>
      <c r="D45" s="64">
        <f t="shared" ref="D45:Y45" si="27">SUM(D26:D44)</f>
        <v>735308</v>
      </c>
      <c r="E45" s="64">
        <f t="shared" si="27"/>
        <v>0</v>
      </c>
      <c r="F45" s="64">
        <f t="shared" si="27"/>
        <v>0</v>
      </c>
      <c r="G45" s="64">
        <f t="shared" si="27"/>
        <v>0</v>
      </c>
      <c r="H45" s="64">
        <f t="shared" si="27"/>
        <v>251280</v>
      </c>
      <c r="I45" s="64">
        <f t="shared" si="27"/>
        <v>22080</v>
      </c>
      <c r="J45" s="64">
        <f t="shared" si="27"/>
        <v>0</v>
      </c>
      <c r="K45" s="64">
        <f t="shared" si="27"/>
        <v>0</v>
      </c>
      <c r="L45" s="64">
        <f t="shared" si="27"/>
        <v>0</v>
      </c>
      <c r="M45" s="64">
        <f t="shared" si="27"/>
        <v>0</v>
      </c>
      <c r="N45" s="64">
        <f t="shared" si="27"/>
        <v>1008668</v>
      </c>
      <c r="O45" s="64">
        <f t="shared" si="27"/>
        <v>97969</v>
      </c>
      <c r="P45" s="64">
        <f t="shared" si="27"/>
        <v>1044</v>
      </c>
      <c r="Q45" s="64">
        <f t="shared" si="27"/>
        <v>5100</v>
      </c>
      <c r="R45" s="64">
        <f t="shared" si="27"/>
        <v>0</v>
      </c>
      <c r="S45" s="65">
        <f t="shared" si="27"/>
        <v>0</v>
      </c>
      <c r="T45" s="64">
        <f t="shared" si="27"/>
        <v>0</v>
      </c>
      <c r="U45" s="64">
        <f t="shared" si="27"/>
        <v>0</v>
      </c>
      <c r="V45" s="64">
        <f t="shared" si="27"/>
        <v>60000</v>
      </c>
      <c r="W45" s="64">
        <f t="shared" si="27"/>
        <v>0</v>
      </c>
      <c r="X45" s="65">
        <f t="shared" si="27"/>
        <v>164113</v>
      </c>
      <c r="Y45" s="65">
        <f t="shared" si="27"/>
        <v>844555</v>
      </c>
      <c r="Z45" s="66"/>
      <c r="AA45" s="115"/>
      <c r="AB45" s="115"/>
      <c r="AC45" s="115"/>
    </row>
    <row r="46" spans="1:29" s="7" customFormat="1">
      <c r="A46" s="4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16"/>
      <c r="AB46" s="116"/>
      <c r="AC46" s="116"/>
    </row>
    <row r="47" spans="1:29" s="7" customFormat="1">
      <c r="A47" s="4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16"/>
      <c r="AB47" s="116"/>
      <c r="AC47" s="116"/>
    </row>
    <row r="48" spans="1:29" s="7" customFormat="1">
      <c r="A48" s="4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116"/>
      <c r="AB48" s="116"/>
      <c r="AC48" s="116"/>
    </row>
    <row r="49" spans="3:26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3:26">
      <c r="C50" s="3"/>
      <c r="D50" s="3"/>
      <c r="E50" s="20" t="s">
        <v>23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20" t="s">
        <v>24</v>
      </c>
      <c r="Z50" s="3"/>
    </row>
    <row r="51" spans="3:26"/>
    <row r="52" spans="3:26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</row>
    <row r="53" spans="3:26"/>
    <row r="54" spans="3:26"/>
    <row r="55" spans="3:26" hidden="1"/>
    <row r="56" spans="3:26" hidden="1"/>
    <row r="57" spans="3:26" hidden="1"/>
    <row r="58" spans="3:26" hidden="1"/>
    <row r="59" spans="3:26" hidden="1"/>
    <row r="60" spans="3:26" hidden="1"/>
    <row r="61" spans="3:26" hidden="1"/>
    <row r="62" spans="3:26" hidden="1"/>
    <row r="63" spans="3:26" hidden="1"/>
    <row r="64" spans="3:26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/>
  </sheetData>
  <sheetProtection password="FC12" sheet="1" objects="1" scenarios="1"/>
  <customSheetViews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46">
    <mergeCell ref="W2:X2"/>
    <mergeCell ref="C4:O4"/>
    <mergeCell ref="C1:Z1"/>
    <mergeCell ref="C2:V2"/>
    <mergeCell ref="Q4:V4"/>
    <mergeCell ref="T3:V3"/>
    <mergeCell ref="N3:R3"/>
    <mergeCell ref="Y23:Z23"/>
    <mergeCell ref="Y20:Z20"/>
    <mergeCell ref="R23:U23"/>
    <mergeCell ref="C24:N24"/>
    <mergeCell ref="O24:X24"/>
    <mergeCell ref="Y24:Y25"/>
    <mergeCell ref="Z24:Z25"/>
    <mergeCell ref="R22:U22"/>
    <mergeCell ref="V20:X20"/>
    <mergeCell ref="V21:X21"/>
    <mergeCell ref="V22:X22"/>
    <mergeCell ref="E23:H23"/>
    <mergeCell ref="I23:L23"/>
    <mergeCell ref="M23:O23"/>
    <mergeCell ref="P23:Q23"/>
    <mergeCell ref="V23:X23"/>
    <mergeCell ref="C52:Z52"/>
    <mergeCell ref="W4:X4"/>
    <mergeCell ref="Y22:Z22"/>
    <mergeCell ref="C18:Z18"/>
    <mergeCell ref="Y21:Z21"/>
    <mergeCell ref="M20:O20"/>
    <mergeCell ref="M21:O21"/>
    <mergeCell ref="M22:O22"/>
    <mergeCell ref="C23:D23"/>
    <mergeCell ref="P20:Q20"/>
    <mergeCell ref="P21:Q21"/>
    <mergeCell ref="E20:H20"/>
    <mergeCell ref="E21:H21"/>
    <mergeCell ref="C20:D20"/>
    <mergeCell ref="C22:D22"/>
    <mergeCell ref="R20:U20"/>
    <mergeCell ref="C19:Z19"/>
    <mergeCell ref="R21:U21"/>
    <mergeCell ref="E22:H22"/>
    <mergeCell ref="I20:L20"/>
    <mergeCell ref="I21:L21"/>
    <mergeCell ref="I22:L22"/>
    <mergeCell ref="P22:Q22"/>
  </mergeCells>
  <phoneticPr fontId="0" type="noConversion"/>
  <conditionalFormatting sqref="W27:W44 D26:V44">
    <cfRule type="cellIs" dxfId="3" priority="8" stopIfTrue="1" operator="equal">
      <formula>0</formula>
    </cfRule>
  </conditionalFormatting>
  <dataValidations count="5">
    <dataValidation type="list" allowBlank="1" showInputMessage="1" showErrorMessage="1" sqref="W2 W4">
      <formula1>"Yes,No"</formula1>
    </dataValidation>
    <dataValidation type="list" allowBlank="1" showInputMessage="1" showErrorMessage="1" sqref="Y4">
      <formula1>$AB$2:$AB$3</formula1>
    </dataValidation>
    <dataValidation type="list" allowBlank="1" showInputMessage="1" showErrorMessage="1" sqref="Z4">
      <formula1>$AB$26:$AB$33</formula1>
    </dataValidation>
    <dataValidation type="list" allowBlank="1" showInputMessage="1" showErrorMessage="1" sqref="P4">
      <formula1>$AB$20:$AB$21</formula1>
    </dataValidation>
    <dataValidation type="list" allowBlank="1" showInputMessage="1" showErrorMessage="1" sqref="T3:V3">
      <formula1>$AC$2:$AC$3</formula1>
    </dataValidation>
  </dataValidations>
  <printOptions horizontalCentered="1"/>
  <pageMargins left="0.15748031496063" right="0.15748031496063" top="0.24" bottom="0.22" header="0.22" footer="0.23622047244094499"/>
  <pageSetup paperSize="9" scale="6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R576"/>
  <sheetViews>
    <sheetView zoomScale="115" zoomScaleNormal="115" workbookViewId="0">
      <selection activeCell="A9" sqref="A9"/>
    </sheetView>
  </sheetViews>
  <sheetFormatPr defaultColWidth="0" defaultRowHeight="15.75" zeroHeight="1"/>
  <cols>
    <col min="1" max="1" width="52.7109375" style="1" customWidth="1" collapsed="1"/>
    <col min="2" max="2" width="14.42578125" style="1" customWidth="1" collapsed="1"/>
    <col min="3" max="3" width="0.5703125" style="1" customWidth="1" collapsed="1"/>
    <col min="4" max="4" width="68.28515625" style="1" customWidth="1" collapsed="1"/>
    <col min="5" max="5" width="14.42578125" style="1" customWidth="1" collapsed="1"/>
    <col min="6" max="6" width="17.5703125" style="35" customWidth="1" collapsed="1"/>
    <col min="7" max="7" width="15.140625" style="1" hidden="1" customWidth="1" collapsed="1"/>
    <col min="8" max="8" width="7.28515625" style="1" hidden="1" customWidth="1" collapsed="1"/>
    <col min="9" max="9" width="5.7109375" style="1" hidden="1" customWidth="1" collapsed="1"/>
    <col min="10" max="11" width="7.140625" style="1" hidden="1" customWidth="1" collapsed="1"/>
    <col min="12" max="12" width="7.7109375" style="1" hidden="1" customWidth="1" collapsed="1"/>
    <col min="13" max="13" width="8.28515625" style="1" hidden="1" customWidth="1" collapsed="1"/>
    <col min="14" max="14" width="7.85546875" style="1" hidden="1" customWidth="1" collapsed="1"/>
    <col min="15" max="16" width="5.140625" style="1" hidden="1" customWidth="1" collapsed="1"/>
    <col min="17" max="17" width="7.5703125" style="1" hidden="1" customWidth="1" collapsed="1"/>
    <col min="18" max="18" width="7.140625" style="1" hidden="1" customWidth="1" collapsed="1"/>
    <col min="19" max="19" width="5.140625" style="1" hidden="1" customWidth="1" collapsed="1"/>
    <col min="20" max="20" width="8.85546875" style="1" hidden="1" customWidth="1" collapsed="1"/>
    <col min="21" max="21" width="0" style="1" hidden="1" customWidth="1" collapsed="1"/>
    <col min="22" max="22" width="5.140625" style="1" hidden="1" customWidth="1" collapsed="1"/>
    <col min="23" max="23" width="5.7109375" style="1" hidden="1" customWidth="1" collapsed="1"/>
    <col min="24" max="24" width="6" style="1" hidden="1" customWidth="1" collapsed="1"/>
    <col min="25" max="25" width="8" style="1" hidden="1" customWidth="1" collapsed="1"/>
    <col min="26" max="26" width="7" style="1" hidden="1" customWidth="1" collapsed="1"/>
    <col min="27" max="27" width="5.140625" style="1" hidden="1" customWidth="1" collapsed="1"/>
    <col min="28" max="29" width="11.140625" style="1" hidden="1" customWidth="1" collapsed="1"/>
    <col min="30" max="30" width="5.28515625" style="1" hidden="1" customWidth="1" collapsed="1"/>
    <col min="31" max="31" width="8.28515625" style="1" hidden="1" customWidth="1" collapsed="1"/>
    <col min="32" max="33" width="5.28515625" style="1" hidden="1" customWidth="1" collapsed="1"/>
    <col min="34" max="34" width="8.28515625" style="1" hidden="1" customWidth="1" collapsed="1"/>
    <col min="35" max="35" width="5.140625" style="1" hidden="1" customWidth="1" collapsed="1"/>
    <col min="36" max="37" width="9.5703125" style="1" hidden="1" customWidth="1" collapsed="1"/>
    <col min="38" max="38" width="10.5703125" style="1" hidden="1" customWidth="1" collapsed="1"/>
    <col min="39" max="39" width="5.140625" style="1" hidden="1" customWidth="1" collapsed="1"/>
    <col min="40" max="40" width="7.28515625" style="1" hidden="1" customWidth="1" collapsed="1"/>
    <col min="41" max="41" width="7.7109375" style="1" hidden="1" customWidth="1" collapsed="1"/>
    <col min="42" max="42" width="5.140625" style="1" hidden="1" customWidth="1" collapsed="1"/>
    <col min="43" max="43" width="8" style="1" hidden="1" customWidth="1" collapsed="1"/>
    <col min="44" max="44" width="11.42578125" style="1" hidden="1" customWidth="1" collapsed="1"/>
    <col min="45" max="45" width="14.28515625" style="1" hidden="1" customWidth="1" collapsed="1"/>
    <col min="46" max="46" width="9" style="1" hidden="1" customWidth="1" collapsed="1"/>
    <col min="47" max="47" width="5.85546875" style="1" hidden="1" customWidth="1" collapsed="1"/>
    <col min="48" max="48" width="7.5703125" style="1" hidden="1" customWidth="1" collapsed="1"/>
    <col min="49" max="49" width="13.140625" style="1" hidden="1" customWidth="1" collapsed="1"/>
    <col min="50" max="50" width="7.5703125" style="1" hidden="1" customWidth="1" collapsed="1"/>
    <col min="51" max="51" width="13.140625" style="1" hidden="1" customWidth="1" collapsed="1"/>
    <col min="52" max="52" width="7.5703125" style="1" hidden="1" customWidth="1" collapsed="1"/>
    <col min="53" max="53" width="13.140625" style="1" hidden="1" customWidth="1" collapsed="1"/>
    <col min="54" max="54" width="7.5703125" style="1" hidden="1" customWidth="1" collapsed="1"/>
    <col min="55" max="55" width="13.140625" style="1" hidden="1" customWidth="1" collapsed="1"/>
    <col min="56" max="56" width="7.5703125" style="1" hidden="1" customWidth="1" collapsed="1"/>
    <col min="57" max="57" width="13.140625" style="1" hidden="1" customWidth="1" collapsed="1"/>
    <col min="58" max="58" width="7.5703125" style="1" hidden="1" customWidth="1" collapsed="1"/>
    <col min="59" max="59" width="13.140625" style="1" hidden="1" customWidth="1" collapsed="1"/>
    <col min="60" max="60" width="7.5703125" style="1" hidden="1" customWidth="1" collapsed="1"/>
    <col min="61" max="61" width="13.140625" style="1" hidden="1" customWidth="1" collapsed="1"/>
    <col min="62" max="62" width="7.5703125" style="1" hidden="1" customWidth="1" collapsed="1"/>
    <col min="63" max="63" width="13.140625" style="1" hidden="1" customWidth="1" collapsed="1"/>
    <col min="64" max="64" width="5.140625" style="1" hidden="1" customWidth="1" collapsed="1"/>
    <col min="65" max="65" width="7.140625" style="1" hidden="1" customWidth="1" collapsed="1"/>
    <col min="66" max="66" width="6.7109375" style="1" hidden="1" customWidth="1" collapsed="1"/>
    <col min="67" max="67" width="5.140625" style="1" hidden="1" customWidth="1" collapsed="1"/>
    <col min="68" max="69" width="7.7109375" style="1" hidden="1" customWidth="1" collapsed="1"/>
    <col min="70" max="71" width="7.28515625" style="1" hidden="1" customWidth="1" collapsed="1"/>
    <col min="72" max="72" width="9.7109375" style="1" hidden="1" customWidth="1" collapsed="1"/>
    <col min="73" max="73" width="9.28515625" style="1" hidden="1" customWidth="1" collapsed="1"/>
    <col min="74" max="74" width="7.7109375" style="1" hidden="1" customWidth="1" collapsed="1"/>
    <col min="75" max="75" width="7.85546875" style="1" hidden="1" customWidth="1" collapsed="1"/>
    <col min="76" max="76" width="9.28515625" style="1" hidden="1" customWidth="1" collapsed="1"/>
    <col min="77" max="77" width="10" style="1" hidden="1" customWidth="1" collapsed="1"/>
    <col min="78" max="78" width="7" style="1" hidden="1" customWidth="1" collapsed="1"/>
    <col min="79" max="79" width="7.5703125" style="1" hidden="1" customWidth="1" collapsed="1"/>
    <col min="80" max="80" width="9.28515625" style="1" hidden="1" customWidth="1" collapsed="1"/>
    <col min="81" max="81" width="9" style="1" hidden="1" customWidth="1" collapsed="1"/>
    <col min="82" max="82" width="7.7109375" style="1" hidden="1" customWidth="1" collapsed="1"/>
    <col min="83" max="83" width="5.140625" style="1" hidden="1" customWidth="1" collapsed="1"/>
    <col min="84" max="84" width="7.28515625" style="1" hidden="1" customWidth="1" collapsed="1"/>
    <col min="85" max="85" width="6.5703125" style="1" hidden="1" customWidth="1" collapsed="1"/>
    <col min="86" max="86" width="6.28515625" style="1" hidden="1" customWidth="1" collapsed="1"/>
    <col min="87" max="87" width="6.42578125" style="1" hidden="1" customWidth="1" collapsed="1"/>
    <col min="88" max="88" width="5.140625" style="1" hidden="1" customWidth="1" collapsed="1"/>
    <col min="89" max="89" width="6.28515625" style="1" hidden="1" customWidth="1" collapsed="1"/>
    <col min="90" max="94" width="5.28515625" style="1" hidden="1" customWidth="1" collapsed="1"/>
    <col min="95" max="95" width="5.140625" style="1" hidden="1" customWidth="1" collapsed="1"/>
    <col min="96" max="96" width="7.5703125" style="1" hidden="1" customWidth="1" collapsed="1"/>
    <col min="97" max="97" width="7.28515625" style="1" hidden="1" customWidth="1" collapsed="1"/>
    <col min="98" max="98" width="12.85546875" style="1" hidden="1" customWidth="1" collapsed="1"/>
    <col min="99" max="99" width="7.28515625" style="1" hidden="1" customWidth="1" collapsed="1"/>
    <col min="100" max="100" width="12.85546875" style="1" hidden="1" customWidth="1" collapsed="1"/>
    <col min="101" max="101" width="9.85546875" style="1" hidden="1" customWidth="1" collapsed="1"/>
    <col min="102" max="102" width="10" style="1" hidden="1" customWidth="1" collapsed="1"/>
    <col min="103" max="103" width="13.42578125" style="1" hidden="1" customWidth="1" collapsed="1"/>
    <col min="104" max="104" width="10.140625" style="1" hidden="1" customWidth="1" collapsed="1"/>
    <col min="105" max="105" width="8.42578125" style="1" hidden="1" customWidth="1" collapsed="1"/>
    <col min="106" max="106" width="13.5703125" style="1" hidden="1" customWidth="1" collapsed="1"/>
    <col min="107" max="107" width="5.140625" style="1" hidden="1" customWidth="1" collapsed="1"/>
    <col min="108" max="108" width="8" style="1" hidden="1" customWidth="1" collapsed="1"/>
    <col min="109" max="109" width="11.42578125" style="1" hidden="1" customWidth="1" collapsed="1"/>
    <col min="110" max="110" width="7.7109375" style="1" hidden="1" customWidth="1" collapsed="1"/>
    <col min="111" max="111" width="7.5703125" style="1" hidden="1" customWidth="1" collapsed="1"/>
    <col min="112" max="113" width="5.140625" style="1" hidden="1" customWidth="1" collapsed="1"/>
    <col min="114" max="114" width="14.140625" style="1" hidden="1" customWidth="1" collapsed="1"/>
    <col min="115" max="115" width="15.5703125" style="1" hidden="1" customWidth="1" collapsed="1"/>
    <col min="116" max="116" width="6.85546875" style="1" hidden="1" customWidth="1" collapsed="1"/>
    <col min="117" max="16384" width="0" style="1" hidden="1" collapsed="1"/>
  </cols>
  <sheetData>
    <row r="1" spans="1:122" ht="30.75" customHeight="1">
      <c r="A1" s="206" t="s">
        <v>181</v>
      </c>
      <c r="B1" s="206"/>
      <c r="C1" s="206"/>
      <c r="D1" s="206"/>
      <c r="E1" s="206"/>
      <c r="F1" s="206"/>
    </row>
    <row r="2" spans="1:122" ht="27.75" customHeight="1">
      <c r="A2" s="207" t="str">
        <f>Salary!M20&amp; " ,   " &amp;Salary!K20&amp;" PAN - "&amp;Salary!E22</f>
        <v>Parmanand Meghwal ,    PAN - ASQPM6344G</v>
      </c>
      <c r="B2" s="207"/>
      <c r="C2" s="207"/>
      <c r="D2" s="207"/>
      <c r="E2" s="207"/>
      <c r="F2" s="207"/>
    </row>
    <row r="3" spans="1:122" ht="15" customHeight="1">
      <c r="A3" s="99" t="s">
        <v>148</v>
      </c>
      <c r="B3" s="52">
        <v>9240</v>
      </c>
      <c r="C3" s="53"/>
      <c r="D3" s="99" t="s">
        <v>161</v>
      </c>
      <c r="E3" s="52">
        <v>0</v>
      </c>
      <c r="F3" s="48" t="s">
        <v>45</v>
      </c>
      <c r="DR3" s="5" t="s">
        <v>8</v>
      </c>
    </row>
    <row r="4" spans="1:122">
      <c r="A4" s="100" t="s">
        <v>182</v>
      </c>
      <c r="B4" s="54">
        <v>0</v>
      </c>
      <c r="C4" s="55"/>
      <c r="D4" s="101" t="s">
        <v>163</v>
      </c>
      <c r="E4" s="54">
        <v>0</v>
      </c>
      <c r="F4" s="48">
        <f>Salary!D45+Salary!H45</f>
        <v>986588</v>
      </c>
      <c r="DR4" s="5"/>
    </row>
    <row r="5" spans="1:122" ht="15" customHeight="1">
      <c r="A5" s="99" t="s">
        <v>193</v>
      </c>
      <c r="B5" s="52">
        <v>0</v>
      </c>
      <c r="C5" s="53"/>
      <c r="D5" s="99" t="s">
        <v>192</v>
      </c>
      <c r="E5" s="52">
        <v>0</v>
      </c>
      <c r="F5" s="49" t="s">
        <v>16</v>
      </c>
      <c r="DR5" s="5"/>
    </row>
    <row r="6" spans="1:122" ht="17.25" customHeight="1">
      <c r="A6" s="101" t="s">
        <v>151</v>
      </c>
      <c r="B6" s="54">
        <v>0</v>
      </c>
      <c r="C6" s="55"/>
      <c r="D6" s="101" t="s">
        <v>191</v>
      </c>
      <c r="E6" s="54">
        <v>0</v>
      </c>
      <c r="F6" s="49">
        <f>'Tax Old Regime'!P46</f>
        <v>800420</v>
      </c>
      <c r="DR6" s="5"/>
    </row>
    <row r="7" spans="1:122" ht="15" customHeight="1">
      <c r="A7" s="99" t="s">
        <v>150</v>
      </c>
      <c r="B7" s="52">
        <v>0</v>
      </c>
      <c r="C7" s="53"/>
      <c r="D7" s="103" t="s">
        <v>165</v>
      </c>
      <c r="E7" s="52">
        <v>50000</v>
      </c>
      <c r="F7" s="50" t="s">
        <v>25</v>
      </c>
      <c r="DR7" s="5"/>
    </row>
    <row r="8" spans="1:122" ht="15" customHeight="1">
      <c r="A8" s="102" t="s">
        <v>210</v>
      </c>
      <c r="B8" s="56">
        <v>0</v>
      </c>
      <c r="C8" s="55"/>
      <c r="D8" s="101" t="s">
        <v>170</v>
      </c>
      <c r="E8" s="56">
        <v>0</v>
      </c>
      <c r="F8" s="51">
        <f>Salary!V45</f>
        <v>60000</v>
      </c>
      <c r="DR8" s="5"/>
    </row>
    <row r="9" spans="1:122" ht="15" customHeight="1">
      <c r="A9" s="99" t="s">
        <v>149</v>
      </c>
      <c r="B9" s="52">
        <v>0</v>
      </c>
      <c r="C9" s="53"/>
      <c r="D9" s="99" t="s">
        <v>171</v>
      </c>
      <c r="E9" s="52">
        <v>0</v>
      </c>
      <c r="F9" s="208" t="s">
        <v>37</v>
      </c>
      <c r="DR9" s="5"/>
    </row>
    <row r="10" spans="1:122" ht="15" customHeight="1">
      <c r="A10" s="102" t="s">
        <v>152</v>
      </c>
      <c r="B10" s="56">
        <v>0</v>
      </c>
      <c r="C10" s="55"/>
      <c r="D10" s="102" t="s">
        <v>172</v>
      </c>
      <c r="E10" s="56">
        <v>0</v>
      </c>
      <c r="F10" s="208"/>
      <c r="DR10" s="5" t="s">
        <v>9</v>
      </c>
    </row>
    <row r="11" spans="1:122" ht="15" customHeight="1">
      <c r="A11" s="99" t="s">
        <v>153</v>
      </c>
      <c r="B11" s="52">
        <v>0</v>
      </c>
      <c r="C11" s="53"/>
      <c r="D11" s="99" t="s">
        <v>173</v>
      </c>
      <c r="E11" s="52">
        <v>0</v>
      </c>
      <c r="F11" s="208"/>
      <c r="DR11" s="5" t="s">
        <v>11</v>
      </c>
    </row>
    <row r="12" spans="1:122" ht="15" customHeight="1">
      <c r="A12" s="102" t="s">
        <v>162</v>
      </c>
      <c r="B12" s="56">
        <v>0</v>
      </c>
      <c r="C12" s="55"/>
      <c r="D12" s="102" t="s">
        <v>174</v>
      </c>
      <c r="E12" s="56">
        <v>0</v>
      </c>
      <c r="F12" s="49">
        <f>'Tax Old Regime'!P30</f>
        <v>99013</v>
      </c>
      <c r="DR12" s="5" t="s">
        <v>3</v>
      </c>
    </row>
    <row r="13" spans="1:122" ht="15" customHeight="1">
      <c r="A13" s="99" t="s">
        <v>154</v>
      </c>
      <c r="B13" s="52">
        <v>0</v>
      </c>
      <c r="C13" s="53"/>
      <c r="D13" s="99" t="s">
        <v>175</v>
      </c>
      <c r="E13" s="52">
        <v>0</v>
      </c>
      <c r="F13" s="49"/>
      <c r="DR13" s="5"/>
    </row>
    <row r="14" spans="1:122" ht="15" customHeight="1">
      <c r="A14" s="102" t="s">
        <v>156</v>
      </c>
      <c r="B14" s="56">
        <v>0</v>
      </c>
      <c r="C14" s="55"/>
      <c r="D14" s="105" t="s">
        <v>176</v>
      </c>
      <c r="E14" s="56">
        <v>0</v>
      </c>
      <c r="F14" s="209" t="s">
        <v>183</v>
      </c>
      <c r="DR14" s="5" t="s">
        <v>0</v>
      </c>
    </row>
    <row r="15" spans="1:122" ht="15" customHeight="1">
      <c r="A15" s="99" t="s">
        <v>157</v>
      </c>
      <c r="B15" s="52">
        <v>0</v>
      </c>
      <c r="C15" s="53"/>
      <c r="D15" s="99" t="s">
        <v>177</v>
      </c>
      <c r="E15" s="52">
        <v>0</v>
      </c>
      <c r="F15" s="209"/>
      <c r="DR15" s="5" t="s">
        <v>11</v>
      </c>
    </row>
    <row r="16" spans="1:122" ht="15" customHeight="1">
      <c r="A16" s="102" t="s">
        <v>158</v>
      </c>
      <c r="B16" s="56">
        <v>0</v>
      </c>
      <c r="C16" s="55"/>
      <c r="D16" s="102" t="s">
        <v>178</v>
      </c>
      <c r="E16" s="56">
        <v>0</v>
      </c>
      <c r="F16" s="209"/>
      <c r="DR16" s="5" t="s">
        <v>12</v>
      </c>
    </row>
    <row r="17" spans="1:122" ht="15" customHeight="1">
      <c r="A17" s="99" t="s">
        <v>159</v>
      </c>
      <c r="B17" s="52">
        <v>0</v>
      </c>
      <c r="C17" s="53"/>
      <c r="D17" s="99" t="s">
        <v>179</v>
      </c>
      <c r="E17" s="52">
        <v>0</v>
      </c>
      <c r="F17" s="212">
        <f>IF(B3&gt;=1,(F4*10%+B3),0)</f>
        <v>107898.8</v>
      </c>
      <c r="DR17" s="5" t="s">
        <v>4</v>
      </c>
    </row>
    <row r="18" spans="1:122" ht="15" customHeight="1">
      <c r="A18" s="102" t="s">
        <v>160</v>
      </c>
      <c r="B18" s="56">
        <v>0</v>
      </c>
      <c r="C18" s="55"/>
      <c r="D18" s="102" t="s">
        <v>180</v>
      </c>
      <c r="E18" s="56">
        <v>0</v>
      </c>
      <c r="F18" s="212"/>
      <c r="DR18" s="5" t="s">
        <v>13</v>
      </c>
    </row>
    <row r="19" spans="1:122" ht="15" customHeight="1">
      <c r="A19" s="211" t="str">
        <f>'Tax Old Regime'!A62</f>
        <v>Income Tax Payable</v>
      </c>
      <c r="B19" s="211"/>
      <c r="C19" s="45"/>
      <c r="D19" s="46">
        <f>'Tax Old Regime'!P62</f>
        <v>15487</v>
      </c>
      <c r="E19" s="57" t="s">
        <v>41</v>
      </c>
      <c r="F19" s="47">
        <f>Salary!I45</f>
        <v>22080</v>
      </c>
      <c r="DR19" s="5" t="s">
        <v>6</v>
      </c>
    </row>
    <row r="20" spans="1:122" ht="15" customHeight="1">
      <c r="A20" s="210" t="str">
        <f>"Total Rebate of (US 80C, 80CCC,80CCD(1)) =  "&amp;'Tax Old Regime'!P30</f>
        <v>Total Rebate of (US 80C, 80CCC,80CCD(1)) =  99013</v>
      </c>
      <c r="B20" s="210"/>
      <c r="C20" s="2"/>
      <c r="D20" s="36" t="str">
        <f>"Investable Amount = "&amp;(150000-'Tax Old Regime'!P30)</f>
        <v>Investable Amount = 50987</v>
      </c>
      <c r="E20" s="2"/>
      <c r="F20" s="2"/>
      <c r="DR20" s="5" t="s">
        <v>10</v>
      </c>
    </row>
    <row r="21" spans="1:122" ht="48" customHeight="1">
      <c r="A21" s="204" t="s">
        <v>204</v>
      </c>
      <c r="B21" s="205"/>
      <c r="C21" s="205"/>
      <c r="D21" s="205"/>
      <c r="E21" s="205"/>
      <c r="F21" s="205"/>
    </row>
    <row r="22" spans="1:122" ht="24.75" customHeight="1">
      <c r="A22" s="203" t="s">
        <v>203</v>
      </c>
      <c r="B22" s="203"/>
      <c r="C22" s="203"/>
      <c r="D22" s="203"/>
      <c r="E22" s="203"/>
      <c r="F22" s="203"/>
    </row>
    <row r="23" spans="1:122" hidden="1"/>
    <row r="24" spans="1:122" hidden="1"/>
    <row r="25" spans="1:122" hidden="1"/>
    <row r="26" spans="1:122" hidden="1"/>
    <row r="27" spans="1:122" hidden="1"/>
    <row r="28" spans="1:122" hidden="1"/>
    <row r="29" spans="1:122" hidden="1"/>
    <row r="30" spans="1:122" hidden="1"/>
    <row r="31" spans="1:122" hidden="1"/>
    <row r="32" spans="1:1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</sheetData>
  <sheetProtection password="FC12" sheet="1" objects="1" scenarios="1"/>
  <customSheetViews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1"/>
      <headerFooter alignWithMargins="0"/>
    </customSheetView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2"/>
      <headerFooter alignWithMargins="0"/>
    </customSheetView>
  </customSheetViews>
  <mergeCells count="9">
    <mergeCell ref="A22:F22"/>
    <mergeCell ref="A21:F21"/>
    <mergeCell ref="A1:F1"/>
    <mergeCell ref="A2:F2"/>
    <mergeCell ref="F9:F11"/>
    <mergeCell ref="F14:F16"/>
    <mergeCell ref="A20:B20"/>
    <mergeCell ref="A19:B19"/>
    <mergeCell ref="F17:F18"/>
  </mergeCells>
  <phoneticPr fontId="0" type="noConversion"/>
  <conditionalFormatting sqref="A19:E20 F20">
    <cfRule type="expression" dxfId="2" priority="7" stopIfTrue="1">
      <formula>$A$19="Income Tax Refundable"</formula>
    </cfRule>
    <cfRule type="expression" dxfId="1" priority="8" stopIfTrue="1">
      <formula>$A$19="Income Tax Payable"</formula>
    </cfRule>
  </conditionalFormatting>
  <conditionalFormatting sqref="DR11:DR20">
    <cfRule type="cellIs" dxfId="0" priority="10" stopIfTrue="1" operator="lessThan">
      <formula>1</formula>
    </cfRule>
  </conditionalFormatting>
  <dataValidations count="9">
    <dataValidation type="whole" operator="lessThanOrEqual" allowBlank="1" showInputMessage="1" showErrorMessage="1" errorTitle="Sorry...!!! Not Allow" error="HRA Rebate Permissible up to Actual HRA Recieved" sqref="E3">
      <formula1>H18</formula1>
    </dataValidation>
    <dataValidation type="whole" operator="lessThanOrEqual" allowBlank="1" showInputMessage="1" showErrorMessage="1" errorTitle="Sorry...!!! Not Allow" error="HRA Rebate Permissible up to Actual HRA Recieved" sqref="B3">
      <formula1>F19</formula1>
    </dataValidation>
    <dataValidation type="whole" operator="lessThanOrEqual" allowBlank="1" showInputMessage="1" showErrorMessage="1" errorTitle="Sorry...!!! Not Allow" error="HRA Rebate Permissible up to Actual HRA Recieved" sqref="C3:C13">
      <formula1>G18</formula1>
    </dataValidation>
    <dataValidation type="whole" operator="lessThanOrEqual" allowBlank="1" showInputMessage="1" showErrorMessage="1" errorTitle="Sorry...!!! Not Allow" error="HRA Rebate Permissible up to Actual HRA Recieved" sqref="C14:C18">
      <formula1>G28</formula1>
    </dataValidation>
    <dataValidation type="whole" operator="lessThan" allowBlank="1" showInputMessage="1" showErrorMessage="1" error="Maximum 2 lakh allowed " sqref="B9">
      <formula1>200001</formula1>
    </dataValidation>
    <dataValidation type="whole" operator="lessThan" allowBlank="1" showInputMessage="1" showErrorMessage="1" sqref="E14">
      <formula1>10001</formula1>
    </dataValidation>
    <dataValidation type="whole" operator="lessThan" allowBlank="1" showInputMessage="1" showErrorMessage="1" error="max 5000 allowed" sqref="B4">
      <formula1>5001</formula1>
    </dataValidation>
    <dataValidation type="whole" operator="lessThan" allowBlank="1" showInputMessage="1" showErrorMessage="1" error="max 50000 allowed" sqref="E7">
      <formula1>50001</formula1>
    </dataValidation>
    <dataValidation type="whole" operator="lessThan" allowBlank="1" showInputMessage="1" showErrorMessage="1" error="max 25000 for senior citizen max 50000" sqref="E8">
      <formula1>50001</formula1>
    </dataValidation>
  </dataValidations>
  <pageMargins left="0.5" right="0.5" top="0.2" bottom="0.2" header="0" footer="0"/>
  <pageSetup paperSize="9" scale="56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00FF"/>
  </sheetPr>
  <dimension ref="A1:R82"/>
  <sheetViews>
    <sheetView showGridLines="0" workbookViewId="0">
      <selection activeCell="A2" sqref="A2:P2"/>
    </sheetView>
  </sheetViews>
  <sheetFormatPr defaultColWidth="0" defaultRowHeight="15.75" zeroHeight="1"/>
  <cols>
    <col min="1" max="1" width="4.5703125" style="10" customWidth="1" collapsed="1"/>
    <col min="2" max="2" width="4.5703125" style="9" customWidth="1" collapsed="1"/>
    <col min="3" max="4" width="9.140625" style="9" customWidth="1" collapsed="1"/>
    <col min="5" max="5" width="3.85546875" style="9" customWidth="1" collapsed="1"/>
    <col min="6" max="6" width="5.42578125" style="9" customWidth="1" collapsed="1"/>
    <col min="7" max="7" width="4.5703125" style="9" customWidth="1" collapsed="1"/>
    <col min="8" max="8" width="11.85546875" style="9" customWidth="1" collapsed="1"/>
    <col min="9" max="9" width="5.140625" style="9" customWidth="1" collapsed="1"/>
    <col min="10" max="10" width="11.7109375" style="9" customWidth="1" collapsed="1"/>
    <col min="11" max="11" width="11.42578125" style="9" customWidth="1" collapsed="1"/>
    <col min="12" max="12" width="9.42578125" style="9" customWidth="1" collapsed="1"/>
    <col min="13" max="13" width="4.5703125" style="9" customWidth="1" collapsed="1"/>
    <col min="14" max="14" width="12.7109375" style="9" customWidth="1" collapsed="1"/>
    <col min="15" max="15" width="3.85546875" style="11" customWidth="1" collapsed="1"/>
    <col min="16" max="16" width="19.28515625" style="12" customWidth="1" collapsed="1"/>
    <col min="17" max="17" width="2.42578125" customWidth="1" collapsed="1"/>
    <col min="18" max="18" width="0" hidden="1" customWidth="1"/>
    <col min="19" max="16384" width="9.140625" hidden="1" collapsed="1"/>
  </cols>
  <sheetData>
    <row r="1" spans="1:16" s="13" customFormat="1" ht="18.75">
      <c r="A1" s="280" t="str">
        <f>Salary!C18</f>
        <v>JHS BAKAURA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s="13" customFormat="1" ht="21.75" thickBot="1">
      <c r="A2" s="281" t="s">
        <v>146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s="13" customFormat="1" ht="15" customHeight="1">
      <c r="A3" s="80">
        <v>1</v>
      </c>
      <c r="B3" s="282" t="s">
        <v>95</v>
      </c>
      <c r="C3" s="283"/>
      <c r="D3" s="296" t="str">
        <f>Salary!M20</f>
        <v>Parmanand Meghwal</v>
      </c>
      <c r="E3" s="296"/>
      <c r="F3" s="296"/>
      <c r="G3" s="296"/>
      <c r="H3" s="296"/>
      <c r="I3" s="296"/>
      <c r="J3" s="75" t="s">
        <v>50</v>
      </c>
      <c r="K3" s="297" t="str">
        <f>Salary!M22</f>
        <v>TEACHER</v>
      </c>
      <c r="L3" s="297"/>
      <c r="M3" s="297"/>
      <c r="N3" s="27" t="s">
        <v>17</v>
      </c>
      <c r="O3" s="284" t="str">
        <f>Salary!E22</f>
        <v>ASQPM6344G</v>
      </c>
      <c r="P3" s="285"/>
    </row>
    <row r="4" spans="1:16" s="13" customFormat="1" ht="15" customHeight="1">
      <c r="A4" s="81">
        <v>2</v>
      </c>
      <c r="B4" s="286" t="s">
        <v>100</v>
      </c>
      <c r="C4" s="286"/>
      <c r="D4" s="224"/>
      <c r="E4" s="224"/>
      <c r="F4" s="224"/>
      <c r="G4" s="224"/>
      <c r="H4" s="224"/>
      <c r="I4" s="224"/>
      <c r="J4" s="286"/>
      <c r="K4" s="224"/>
      <c r="L4" s="224"/>
      <c r="M4" s="224"/>
      <c r="N4" s="286"/>
      <c r="O4" s="69" t="s">
        <v>83</v>
      </c>
      <c r="P4" s="21">
        <f>IF(Salary!W2="No",Salary!N45,(Salary!N45+Salary!O45))</f>
        <v>1106637</v>
      </c>
    </row>
    <row r="5" spans="1:16" s="13" customFormat="1" ht="15" customHeight="1">
      <c r="A5" s="81">
        <v>3</v>
      </c>
      <c r="B5" s="287" t="s">
        <v>101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69" t="s">
        <v>83</v>
      </c>
      <c r="P5" s="22">
        <f>'Other Deduction'!B3</f>
        <v>9240</v>
      </c>
    </row>
    <row r="6" spans="1:16" s="13" customFormat="1" ht="15" customHeight="1">
      <c r="A6" s="81">
        <v>4</v>
      </c>
      <c r="B6" s="288" t="s">
        <v>18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69" t="s">
        <v>83</v>
      </c>
      <c r="P6" s="22">
        <f>P4-P5</f>
        <v>1097397</v>
      </c>
    </row>
    <row r="7" spans="1:16" s="13" customFormat="1" ht="15" customHeight="1">
      <c r="A7" s="221">
        <v>5</v>
      </c>
      <c r="B7" s="292" t="s">
        <v>108</v>
      </c>
      <c r="C7" s="293"/>
      <c r="D7" s="293"/>
      <c r="E7" s="293"/>
      <c r="F7" s="293"/>
      <c r="G7" s="293"/>
      <c r="H7" s="293"/>
      <c r="I7" s="293"/>
      <c r="J7" s="293"/>
      <c r="K7" s="293"/>
      <c r="L7" s="294">
        <f>'Other Deduction'!B4</f>
        <v>0</v>
      </c>
      <c r="M7" s="294"/>
      <c r="N7" s="294"/>
      <c r="O7" s="269"/>
      <c r="P7" s="270"/>
    </row>
    <row r="8" spans="1:16" s="13" customFormat="1" ht="15" customHeight="1">
      <c r="A8" s="222"/>
      <c r="B8" s="243" t="s">
        <v>109</v>
      </c>
      <c r="C8" s="244"/>
      <c r="D8" s="244"/>
      <c r="E8" s="244"/>
      <c r="F8" s="244"/>
      <c r="G8" s="244"/>
      <c r="H8" s="244"/>
      <c r="I8" s="244"/>
      <c r="J8" s="244"/>
      <c r="K8" s="244"/>
      <c r="L8" s="294">
        <f>'Other Deduction'!B5</f>
        <v>0</v>
      </c>
      <c r="M8" s="294"/>
      <c r="N8" s="294"/>
      <c r="O8" s="273"/>
      <c r="P8" s="274"/>
    </row>
    <row r="9" spans="1:16" s="13" customFormat="1" ht="15" customHeight="1">
      <c r="A9" s="223"/>
      <c r="B9" s="295" t="s">
        <v>110</v>
      </c>
      <c r="C9" s="293"/>
      <c r="D9" s="293"/>
      <c r="E9" s="293"/>
      <c r="F9" s="293"/>
      <c r="G9" s="293"/>
      <c r="H9" s="293"/>
      <c r="I9" s="293"/>
      <c r="J9" s="293"/>
      <c r="K9" s="293"/>
      <c r="L9" s="294">
        <f>IF(P6&lt;50000,P6,50000)</f>
        <v>50000</v>
      </c>
      <c r="M9" s="294"/>
      <c r="N9" s="294"/>
      <c r="O9" s="69" t="s">
        <v>83</v>
      </c>
      <c r="P9" s="22">
        <f>SUM(L7:N9)</f>
        <v>50000</v>
      </c>
    </row>
    <row r="10" spans="1:16" s="13" customFormat="1" ht="15" customHeight="1">
      <c r="A10" s="81">
        <v>6</v>
      </c>
      <c r="B10" s="289" t="s">
        <v>102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1"/>
      <c r="O10" s="69" t="s">
        <v>83</v>
      </c>
      <c r="P10" s="22">
        <f>P6-P9</f>
        <v>1047397</v>
      </c>
    </row>
    <row r="11" spans="1:16" s="13" customFormat="1" ht="15" customHeight="1">
      <c r="A11" s="325">
        <v>7</v>
      </c>
      <c r="B11" s="224" t="s">
        <v>103</v>
      </c>
      <c r="C11" s="224"/>
      <c r="D11" s="224"/>
      <c r="E11" s="224"/>
      <c r="F11" s="224"/>
      <c r="G11" s="224"/>
      <c r="H11" s="224"/>
      <c r="I11" s="224"/>
      <c r="J11" s="304" t="s">
        <v>104</v>
      </c>
      <c r="K11" s="304"/>
      <c r="L11" s="294">
        <f>'Other Deduction'!B6</f>
        <v>0</v>
      </c>
      <c r="M11" s="294"/>
      <c r="N11" s="294"/>
      <c r="O11" s="299"/>
      <c r="P11" s="300"/>
    </row>
    <row r="12" spans="1:16" s="13" customFormat="1" ht="27.75" customHeight="1">
      <c r="A12" s="325"/>
      <c r="B12" s="329" t="s">
        <v>106</v>
      </c>
      <c r="C12" s="330"/>
      <c r="D12" s="326" t="s">
        <v>105</v>
      </c>
      <c r="E12" s="327"/>
      <c r="F12" s="328"/>
      <c r="G12" s="301" t="s">
        <v>107</v>
      </c>
      <c r="H12" s="302"/>
      <c r="I12" s="303"/>
      <c r="J12" s="304" t="s">
        <v>111</v>
      </c>
      <c r="K12" s="304"/>
      <c r="L12" s="304" t="s">
        <v>49</v>
      </c>
      <c r="M12" s="304"/>
      <c r="N12" s="304"/>
      <c r="O12" s="299"/>
      <c r="P12" s="300"/>
    </row>
    <row r="13" spans="1:16" s="13" customFormat="1" ht="15" customHeight="1">
      <c r="A13" s="325"/>
      <c r="B13" s="331"/>
      <c r="C13" s="332"/>
      <c r="D13" s="307">
        <f>ROUND(L11*0.3,0)</f>
        <v>0</v>
      </c>
      <c r="E13" s="308"/>
      <c r="F13" s="309"/>
      <c r="G13" s="307">
        <f>IF((Salary!U45+'Other Deduction'!B9)&gt;200000,200000,(Salary!U45+'Other Deduction'!B9))</f>
        <v>0</v>
      </c>
      <c r="H13" s="308"/>
      <c r="I13" s="309"/>
      <c r="J13" s="294">
        <f>'Other Deduction'!B7</f>
        <v>0</v>
      </c>
      <c r="K13" s="294"/>
      <c r="L13" s="294">
        <f>D13+G13+J13</f>
        <v>0</v>
      </c>
      <c r="M13" s="294"/>
      <c r="N13" s="294"/>
      <c r="O13" s="299"/>
      <c r="P13" s="300"/>
    </row>
    <row r="14" spans="1:16" s="13" customFormat="1" ht="15" customHeight="1">
      <c r="A14" s="81"/>
      <c r="B14" s="289" t="s">
        <v>112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1"/>
      <c r="O14" s="69" t="s">
        <v>83</v>
      </c>
      <c r="P14" s="22">
        <f>L11-L13</f>
        <v>0</v>
      </c>
    </row>
    <row r="15" spans="1:16" s="13" customFormat="1" ht="15" customHeight="1">
      <c r="A15" s="81">
        <v>8</v>
      </c>
      <c r="B15" s="289" t="s">
        <v>113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1"/>
      <c r="O15" s="69" t="s">
        <v>83</v>
      </c>
      <c r="P15" s="22">
        <f>P10+P14</f>
        <v>1047397</v>
      </c>
    </row>
    <row r="16" spans="1:16" s="13" customFormat="1" ht="15" customHeight="1">
      <c r="A16" s="81">
        <v>9</v>
      </c>
      <c r="B16" s="224" t="s">
        <v>114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69" t="s">
        <v>83</v>
      </c>
      <c r="P16" s="22">
        <f>'Other Deduction'!E3+'Other Deduction'!E4</f>
        <v>0</v>
      </c>
    </row>
    <row r="17" spans="1:16" s="13" customFormat="1" ht="15" customHeight="1">
      <c r="A17" s="81">
        <v>10</v>
      </c>
      <c r="B17" s="224" t="s">
        <v>115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69" t="s">
        <v>83</v>
      </c>
      <c r="P17" s="21">
        <f>P15+P16</f>
        <v>1047397</v>
      </c>
    </row>
    <row r="18" spans="1:16" s="13" customFormat="1" ht="15" customHeight="1">
      <c r="A18" s="221">
        <v>11</v>
      </c>
      <c r="B18" s="246" t="s">
        <v>116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310"/>
    </row>
    <row r="19" spans="1:16" s="13" customFormat="1" ht="18" customHeight="1">
      <c r="A19" s="222"/>
      <c r="B19" s="246" t="s">
        <v>166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310"/>
    </row>
    <row r="20" spans="1:16" s="13" customFormat="1" ht="14.25" customHeight="1">
      <c r="A20" s="222"/>
      <c r="B20" s="68">
        <v>1</v>
      </c>
      <c r="C20" s="275" t="s">
        <v>164</v>
      </c>
      <c r="D20" s="276"/>
      <c r="E20" s="276"/>
      <c r="F20" s="276"/>
      <c r="G20" s="69" t="s">
        <v>83</v>
      </c>
      <c r="H20" s="70">
        <f>IF(Salary!W2="Yes",Salary!O45,0)</f>
        <v>97969</v>
      </c>
      <c r="I20" s="68">
        <v>10</v>
      </c>
      <c r="J20" s="257" t="s">
        <v>82</v>
      </c>
      <c r="K20" s="258"/>
      <c r="L20" s="259"/>
      <c r="M20" s="69" t="s">
        <v>83</v>
      </c>
      <c r="N20" s="70">
        <f>'Other Deduction'!E6</f>
        <v>0</v>
      </c>
      <c r="O20" s="269"/>
      <c r="P20" s="270"/>
    </row>
    <row r="21" spans="1:16" s="13" customFormat="1" ht="26.25" customHeight="1">
      <c r="A21" s="222"/>
      <c r="B21" s="68">
        <v>2</v>
      </c>
      <c r="C21" s="275" t="s">
        <v>78</v>
      </c>
      <c r="D21" s="276"/>
      <c r="E21" s="276"/>
      <c r="F21" s="276"/>
      <c r="G21" s="69" t="s">
        <v>83</v>
      </c>
      <c r="H21" s="70">
        <f>Salary!R45+'Other Deduction'!B10</f>
        <v>0</v>
      </c>
      <c r="I21" s="68">
        <v>11</v>
      </c>
      <c r="J21" s="277" t="s">
        <v>84</v>
      </c>
      <c r="K21" s="278"/>
      <c r="L21" s="279"/>
      <c r="M21" s="69" t="s">
        <v>83</v>
      </c>
      <c r="N21" s="71">
        <f>'Other Deduction'!B15</f>
        <v>0</v>
      </c>
      <c r="O21" s="271"/>
      <c r="P21" s="272"/>
    </row>
    <row r="22" spans="1:16" s="13" customFormat="1" ht="14.25" customHeight="1">
      <c r="A22" s="222"/>
      <c r="B22" s="68">
        <v>3</v>
      </c>
      <c r="C22" s="275" t="s">
        <v>79</v>
      </c>
      <c r="D22" s="276"/>
      <c r="E22" s="276"/>
      <c r="F22" s="276"/>
      <c r="G22" s="69" t="s">
        <v>83</v>
      </c>
      <c r="H22" s="70">
        <f>'Other Deduction'!B14</f>
        <v>0</v>
      </c>
      <c r="I22" s="68">
        <v>12</v>
      </c>
      <c r="J22" s="277" t="s">
        <v>85</v>
      </c>
      <c r="K22" s="278"/>
      <c r="L22" s="279"/>
      <c r="M22" s="69" t="s">
        <v>83</v>
      </c>
      <c r="N22" s="71">
        <f>'Other Deduction'!B12</f>
        <v>0</v>
      </c>
      <c r="O22" s="271"/>
      <c r="P22" s="272"/>
    </row>
    <row r="23" spans="1:16" s="13" customFormat="1" ht="15" customHeight="1">
      <c r="A23" s="222"/>
      <c r="B23" s="68">
        <v>4</v>
      </c>
      <c r="C23" s="275" t="s">
        <v>91</v>
      </c>
      <c r="D23" s="276"/>
      <c r="E23" s="276"/>
      <c r="F23" s="276"/>
      <c r="G23" s="69" t="s">
        <v>83</v>
      </c>
      <c r="H23" s="70">
        <f>'Other Deduction'!B16</f>
        <v>0</v>
      </c>
      <c r="I23" s="68">
        <v>13</v>
      </c>
      <c r="J23" s="277" t="s">
        <v>86</v>
      </c>
      <c r="K23" s="278"/>
      <c r="L23" s="279"/>
      <c r="M23" s="69" t="s">
        <v>83</v>
      </c>
      <c r="N23" s="70">
        <f>'Other Deduction'!E15</f>
        <v>0</v>
      </c>
      <c r="O23" s="271"/>
      <c r="P23" s="272"/>
    </row>
    <row r="24" spans="1:16" s="13" customFormat="1" ht="15.75" customHeight="1">
      <c r="A24" s="222"/>
      <c r="B24" s="68">
        <v>5</v>
      </c>
      <c r="C24" s="275" t="s">
        <v>92</v>
      </c>
      <c r="D24" s="276"/>
      <c r="E24" s="276"/>
      <c r="F24" s="276"/>
      <c r="G24" s="69" t="s">
        <v>83</v>
      </c>
      <c r="H24" s="70">
        <f>'Other Deduction'!B17</f>
        <v>0</v>
      </c>
      <c r="I24" s="68">
        <v>14</v>
      </c>
      <c r="J24" s="257" t="s">
        <v>87</v>
      </c>
      <c r="K24" s="333"/>
      <c r="L24" s="334"/>
      <c r="M24" s="69" t="s">
        <v>83</v>
      </c>
      <c r="N24" s="70">
        <f>'Other Deduction'!E16</f>
        <v>0</v>
      </c>
      <c r="O24" s="271"/>
      <c r="P24" s="272"/>
    </row>
    <row r="25" spans="1:16" s="13" customFormat="1" ht="15.75" customHeight="1">
      <c r="A25" s="222"/>
      <c r="B25" s="68">
        <v>6</v>
      </c>
      <c r="C25" s="262" t="s">
        <v>155</v>
      </c>
      <c r="D25" s="305"/>
      <c r="E25" s="305"/>
      <c r="F25" s="306"/>
      <c r="G25" s="69" t="s">
        <v>83</v>
      </c>
      <c r="H25" s="70">
        <f>IF(Salary!W2="No",Salary!O45,0)</f>
        <v>0</v>
      </c>
      <c r="I25" s="68">
        <v>15</v>
      </c>
      <c r="J25" s="257" t="s">
        <v>88</v>
      </c>
      <c r="K25" s="333"/>
      <c r="L25" s="334"/>
      <c r="M25" s="69" t="s">
        <v>83</v>
      </c>
      <c r="N25" s="70">
        <f>'Other Deduction'!B11</f>
        <v>0</v>
      </c>
      <c r="O25" s="271"/>
      <c r="P25" s="272"/>
    </row>
    <row r="26" spans="1:16" s="13" customFormat="1" ht="15" customHeight="1">
      <c r="A26" s="222"/>
      <c r="B26" s="68">
        <v>7</v>
      </c>
      <c r="C26" s="262" t="s">
        <v>80</v>
      </c>
      <c r="D26" s="305"/>
      <c r="E26" s="305"/>
      <c r="F26" s="306"/>
      <c r="G26" s="69" t="s">
        <v>83</v>
      </c>
      <c r="H26" s="71">
        <f>Salary!P45</f>
        <v>1044</v>
      </c>
      <c r="I26" s="68">
        <v>16</v>
      </c>
      <c r="J26" s="257" t="s">
        <v>89</v>
      </c>
      <c r="K26" s="258"/>
      <c r="L26" s="259"/>
      <c r="M26" s="69" t="s">
        <v>83</v>
      </c>
      <c r="N26" s="70">
        <f>'Other Deduction'!E5</f>
        <v>0</v>
      </c>
      <c r="O26" s="271"/>
      <c r="P26" s="272"/>
    </row>
    <row r="27" spans="1:16" s="13" customFormat="1" ht="15.75" customHeight="1">
      <c r="A27" s="222"/>
      <c r="B27" s="68">
        <v>8</v>
      </c>
      <c r="C27" s="275" t="s">
        <v>81</v>
      </c>
      <c r="D27" s="275"/>
      <c r="E27" s="275"/>
      <c r="F27" s="275"/>
      <c r="G27" s="69" t="s">
        <v>83</v>
      </c>
      <c r="H27" s="71">
        <f>'Other Deduction'!B13</f>
        <v>0</v>
      </c>
      <c r="I27" s="68">
        <v>17</v>
      </c>
      <c r="J27" s="277" t="s">
        <v>90</v>
      </c>
      <c r="K27" s="278"/>
      <c r="L27" s="279"/>
      <c r="M27" s="69" t="s">
        <v>83</v>
      </c>
      <c r="N27" s="70">
        <f>'Other Deduction'!B18</f>
        <v>0</v>
      </c>
      <c r="O27" s="271"/>
      <c r="P27" s="272"/>
    </row>
    <row r="28" spans="1:16" s="13" customFormat="1" ht="27" customHeight="1">
      <c r="A28" s="222"/>
      <c r="B28" s="72">
        <v>9</v>
      </c>
      <c r="C28" s="255" t="s">
        <v>211</v>
      </c>
      <c r="D28" s="255"/>
      <c r="E28" s="255"/>
      <c r="F28" s="255"/>
      <c r="G28" s="73" t="s">
        <v>83</v>
      </c>
      <c r="H28" s="74">
        <f>Salary!T45+'Other Deduction'!B8</f>
        <v>0</v>
      </c>
      <c r="I28" s="72">
        <v>18</v>
      </c>
      <c r="J28" s="314"/>
      <c r="K28" s="314"/>
      <c r="L28" s="314"/>
      <c r="M28" s="73" t="s">
        <v>83</v>
      </c>
      <c r="N28" s="70"/>
      <c r="O28" s="271"/>
      <c r="P28" s="272"/>
    </row>
    <row r="29" spans="1:16" s="13" customFormat="1" ht="15" customHeight="1">
      <c r="A29" s="222"/>
      <c r="B29" s="311" t="s">
        <v>94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3"/>
      <c r="M29" s="73" t="s">
        <v>83</v>
      </c>
      <c r="N29" s="14">
        <f>SUM(H20:H28)+SUM(N20:N28)</f>
        <v>99013</v>
      </c>
      <c r="O29" s="273"/>
      <c r="P29" s="274"/>
    </row>
    <row r="30" spans="1:16" s="13" customFormat="1" ht="16.5" customHeight="1">
      <c r="A30" s="222"/>
      <c r="B30" s="256" t="s">
        <v>93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78" t="s">
        <v>83</v>
      </c>
      <c r="P30" s="21">
        <f>IF(N29&lt;150001,ROUND(N29,0),150000)</f>
        <v>99013</v>
      </c>
    </row>
    <row r="31" spans="1:16" s="13" customFormat="1" ht="17.25" customHeight="1">
      <c r="A31" s="104"/>
      <c r="B31" s="319" t="s">
        <v>167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1"/>
      <c r="O31" s="78" t="s">
        <v>83</v>
      </c>
      <c r="P31" s="21">
        <f>IF(Salary!W2="yes",Salary!O45,0)</f>
        <v>97969</v>
      </c>
    </row>
    <row r="32" spans="1:16" s="13" customFormat="1" ht="15" customHeight="1">
      <c r="A32" s="104"/>
      <c r="B32" s="316" t="s">
        <v>168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8"/>
      <c r="O32" s="78" t="s">
        <v>83</v>
      </c>
      <c r="P32" s="21">
        <f>'Other Deduction'!E7</f>
        <v>50000</v>
      </c>
    </row>
    <row r="33" spans="1:16" s="13" customFormat="1" ht="15" customHeight="1">
      <c r="A33" s="104"/>
      <c r="B33" s="322" t="s">
        <v>169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4"/>
      <c r="O33" s="78"/>
      <c r="P33" s="21">
        <f>P30+P31+P32</f>
        <v>246982</v>
      </c>
    </row>
    <row r="34" spans="1:16" s="13" customFormat="1" ht="15" customHeight="1">
      <c r="A34" s="221">
        <v>12</v>
      </c>
      <c r="B34" s="260" t="s">
        <v>117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1"/>
    </row>
    <row r="35" spans="1:16" s="13" customFormat="1" ht="27.75" customHeight="1">
      <c r="A35" s="222"/>
      <c r="B35" s="262" t="s">
        <v>118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4"/>
      <c r="O35" s="78" t="s">
        <v>83</v>
      </c>
      <c r="P35" s="22">
        <f>'Other Deduction'!E8</f>
        <v>0</v>
      </c>
    </row>
    <row r="36" spans="1:16" s="13" customFormat="1" ht="17.25" customHeight="1">
      <c r="A36" s="222"/>
      <c r="B36" s="265" t="s">
        <v>190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78" t="s">
        <v>83</v>
      </c>
      <c r="P36" s="22">
        <f>'Other Deduction'!E9</f>
        <v>0</v>
      </c>
    </row>
    <row r="37" spans="1:16" s="13" customFormat="1" ht="18" customHeight="1">
      <c r="A37" s="222"/>
      <c r="B37" s="265" t="s">
        <v>189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78" t="s">
        <v>83</v>
      </c>
      <c r="P37" s="22">
        <f>'Other Deduction'!E10</f>
        <v>0</v>
      </c>
    </row>
    <row r="38" spans="1:16" s="13" customFormat="1" ht="16.5" customHeight="1">
      <c r="A38" s="222"/>
      <c r="B38" s="265" t="s">
        <v>188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78" t="s">
        <v>83</v>
      </c>
      <c r="P38" s="22">
        <f>'Other Deduction'!E11</f>
        <v>0</v>
      </c>
    </row>
    <row r="39" spans="1:16" s="13" customFormat="1" ht="16.5" customHeight="1">
      <c r="A39" s="222"/>
      <c r="B39" s="265" t="s">
        <v>187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78" t="s">
        <v>83</v>
      </c>
      <c r="P39" s="22">
        <f>'Other Deduction'!E12</f>
        <v>0</v>
      </c>
    </row>
    <row r="40" spans="1:16" s="13" customFormat="1" ht="15" customHeight="1">
      <c r="A40" s="222"/>
      <c r="B40" s="262" t="s">
        <v>186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4"/>
      <c r="O40" s="78" t="s">
        <v>83</v>
      </c>
      <c r="P40" s="22">
        <f>'Other Deduction'!E13</f>
        <v>0</v>
      </c>
    </row>
    <row r="41" spans="1:16" s="13" customFormat="1" ht="17.25" customHeight="1">
      <c r="A41" s="222"/>
      <c r="B41" s="266" t="s">
        <v>185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8"/>
      <c r="O41" s="78" t="s">
        <v>83</v>
      </c>
      <c r="P41" s="22">
        <f>IF(Salary!P4="Yes",IF('Other Deduction'!E3&lt;50001,'Other Deduction'!E3,50000),IF('Other Deduction'!E3&lt;10001,'Other Deduction'!E3,10000))</f>
        <v>0</v>
      </c>
    </row>
    <row r="42" spans="1:16" s="13" customFormat="1" ht="15.75" customHeight="1">
      <c r="A42" s="222"/>
      <c r="B42" s="266" t="s">
        <v>184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8"/>
      <c r="O42" s="78" t="s">
        <v>83</v>
      </c>
      <c r="P42" s="22">
        <f>'Other Deduction'!E14</f>
        <v>0</v>
      </c>
    </row>
    <row r="43" spans="1:16" s="13" customFormat="1" ht="15" customHeight="1">
      <c r="A43" s="223"/>
      <c r="B43" s="256" t="s">
        <v>119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78" t="s">
        <v>83</v>
      </c>
      <c r="P43" s="23">
        <f>SUM(P35:P42)</f>
        <v>0</v>
      </c>
    </row>
    <row r="44" spans="1:16" s="13" customFormat="1" ht="15" customHeight="1">
      <c r="A44" s="81">
        <v>13</v>
      </c>
      <c r="B44" s="246" t="s">
        <v>120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78" t="s">
        <v>83</v>
      </c>
      <c r="P44" s="22">
        <f>P33+P43</f>
        <v>246982</v>
      </c>
    </row>
    <row r="45" spans="1:16" s="13" customFormat="1" ht="15" customHeight="1">
      <c r="A45" s="81">
        <v>14</v>
      </c>
      <c r="B45" s="224" t="s">
        <v>121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78" t="s">
        <v>83</v>
      </c>
      <c r="P45" s="22">
        <f>(P17-P44)</f>
        <v>800415</v>
      </c>
    </row>
    <row r="46" spans="1:16" s="13" customFormat="1">
      <c r="A46" s="81">
        <v>15</v>
      </c>
      <c r="B46" s="246" t="s">
        <v>122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78" t="s">
        <v>83</v>
      </c>
      <c r="P46" s="21">
        <f>ROUND(P45,-1)</f>
        <v>800420</v>
      </c>
    </row>
    <row r="47" spans="1:16" s="13" customFormat="1" ht="15" customHeight="1">
      <c r="A47" s="221">
        <v>16</v>
      </c>
      <c r="B47" s="224" t="s">
        <v>123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5"/>
    </row>
    <row r="48" spans="1:16" s="13" customFormat="1" ht="15" customHeight="1">
      <c r="A48" s="222"/>
      <c r="B48" s="226" t="s">
        <v>125</v>
      </c>
      <c r="C48" s="226"/>
      <c r="D48" s="226"/>
      <c r="E48" s="226"/>
      <c r="F48" s="226"/>
      <c r="G48" s="226" t="s">
        <v>124</v>
      </c>
      <c r="H48" s="226"/>
      <c r="I48" s="226"/>
      <c r="J48" s="226"/>
      <c r="K48" s="227" t="s">
        <v>126</v>
      </c>
      <c r="L48" s="228"/>
      <c r="M48" s="228"/>
      <c r="N48" s="229"/>
      <c r="O48" s="8"/>
      <c r="P48" s="24"/>
    </row>
    <row r="49" spans="1:16" s="13" customFormat="1" ht="15" customHeight="1">
      <c r="A49" s="222"/>
      <c r="B49" s="230" t="s">
        <v>127</v>
      </c>
      <c r="C49" s="231"/>
      <c r="D49" s="232"/>
      <c r="E49" s="234" t="s">
        <v>19</v>
      </c>
      <c r="F49" s="234"/>
      <c r="G49" s="230" t="s">
        <v>129</v>
      </c>
      <c r="H49" s="231"/>
      <c r="I49" s="232"/>
      <c r="J49" s="77" t="s">
        <v>19</v>
      </c>
      <c r="K49" s="230"/>
      <c r="L49" s="231"/>
      <c r="M49" s="232"/>
      <c r="N49" s="77"/>
      <c r="O49" s="78" t="s">
        <v>83</v>
      </c>
      <c r="P49" s="25">
        <v>0</v>
      </c>
    </row>
    <row r="50" spans="1:16" s="13" customFormat="1" ht="15" customHeight="1">
      <c r="A50" s="222"/>
      <c r="B50" s="230" t="s">
        <v>20</v>
      </c>
      <c r="C50" s="231"/>
      <c r="D50" s="232"/>
      <c r="E50" s="233">
        <v>0.05</v>
      </c>
      <c r="F50" s="234"/>
      <c r="G50" s="234" t="s">
        <v>36</v>
      </c>
      <c r="H50" s="234"/>
      <c r="I50" s="234"/>
      <c r="J50" s="76">
        <v>0.05</v>
      </c>
      <c r="K50" s="230" t="s">
        <v>128</v>
      </c>
      <c r="L50" s="231"/>
      <c r="M50" s="232"/>
      <c r="N50" s="77" t="s">
        <v>19</v>
      </c>
      <c r="O50" s="78" t="s">
        <v>83</v>
      </c>
      <c r="P50" s="25">
        <f>ROUND(IF(Salary!P4="No",IF(P46&lt;250001,0,IF(P46&gt;500000,12500,((P46-250000)*0.05))),IF(P46&lt;300001,0,IF(P46&gt;500000,10000,((P46-300000)*0.05)))),0)</f>
        <v>12500</v>
      </c>
    </row>
    <row r="51" spans="1:16" s="13" customFormat="1" ht="15" customHeight="1">
      <c r="A51" s="222"/>
      <c r="B51" s="230" t="s">
        <v>21</v>
      </c>
      <c r="C51" s="231"/>
      <c r="D51" s="232"/>
      <c r="E51" s="233">
        <v>0.2</v>
      </c>
      <c r="F51" s="234"/>
      <c r="G51" s="234" t="s">
        <v>21</v>
      </c>
      <c r="H51" s="234"/>
      <c r="I51" s="234"/>
      <c r="J51" s="76">
        <v>0.2</v>
      </c>
      <c r="K51" s="230" t="s">
        <v>21</v>
      </c>
      <c r="L51" s="231"/>
      <c r="M51" s="232"/>
      <c r="N51" s="76">
        <v>0.2</v>
      </c>
      <c r="O51" s="78" t="s">
        <v>83</v>
      </c>
      <c r="P51" s="25">
        <f>IF(P46&lt;500001,0,IF(P46&gt;1000000,100000,((P46-500000)*0.2)))</f>
        <v>60084</v>
      </c>
    </row>
    <row r="52" spans="1:16" s="13" customFormat="1" ht="15" customHeight="1">
      <c r="A52" s="222"/>
      <c r="B52" s="230" t="s">
        <v>130</v>
      </c>
      <c r="C52" s="231"/>
      <c r="D52" s="232"/>
      <c r="E52" s="233">
        <v>0.3</v>
      </c>
      <c r="F52" s="234"/>
      <c r="G52" s="234" t="s">
        <v>131</v>
      </c>
      <c r="H52" s="234"/>
      <c r="I52" s="234"/>
      <c r="J52" s="76">
        <v>0.3</v>
      </c>
      <c r="K52" s="230" t="s">
        <v>131</v>
      </c>
      <c r="L52" s="231"/>
      <c r="M52" s="232"/>
      <c r="N52" s="76">
        <v>0.3</v>
      </c>
      <c r="O52" s="78" t="s">
        <v>83</v>
      </c>
      <c r="P52" s="25">
        <f>IF(P46&lt;1000001,0,((P46-1000000)*0.3))</f>
        <v>0</v>
      </c>
    </row>
    <row r="53" spans="1:16" s="13" customFormat="1" ht="15" customHeight="1">
      <c r="A53" s="222"/>
      <c r="B53" s="214" t="s">
        <v>132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6"/>
      <c r="O53" s="78" t="s">
        <v>83</v>
      </c>
      <c r="P53" s="21">
        <f>SUM(P49:P52)</f>
        <v>72584</v>
      </c>
    </row>
    <row r="54" spans="1:16" s="13" customFormat="1" ht="15" customHeight="1">
      <c r="A54" s="222"/>
      <c r="B54" s="214" t="s">
        <v>133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6"/>
      <c r="O54" s="78" t="s">
        <v>83</v>
      </c>
      <c r="P54" s="22">
        <f>IF(P46&gt;500000,0,IF(P53&lt;12501,P53,12500))</f>
        <v>0</v>
      </c>
    </row>
    <row r="55" spans="1:16" s="13" customFormat="1" ht="15" customHeight="1">
      <c r="A55" s="222"/>
      <c r="B55" s="214" t="s">
        <v>134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6"/>
      <c r="O55" s="78" t="s">
        <v>83</v>
      </c>
      <c r="P55" s="21">
        <f>P53-P54</f>
        <v>72584</v>
      </c>
    </row>
    <row r="56" spans="1:16" s="13" customFormat="1" ht="15" customHeight="1">
      <c r="A56" s="222"/>
      <c r="B56" s="217" t="s">
        <v>135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78" t="s">
        <v>83</v>
      </c>
      <c r="P56" s="22">
        <f>ROUND(P55*0.04,0)</f>
        <v>2903</v>
      </c>
    </row>
    <row r="57" spans="1:16" s="13" customFormat="1" ht="15" customHeight="1">
      <c r="A57" s="223"/>
      <c r="B57" s="218" t="s">
        <v>136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20"/>
      <c r="O57" s="78" t="s">
        <v>83</v>
      </c>
      <c r="P57" s="21">
        <f>SUM(P55:P56)</f>
        <v>75487</v>
      </c>
    </row>
    <row r="58" spans="1:16" s="13" customFormat="1" ht="15" customHeight="1">
      <c r="A58" s="81">
        <v>17</v>
      </c>
      <c r="B58" s="243" t="s">
        <v>137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5"/>
      <c r="O58" s="78" t="s">
        <v>83</v>
      </c>
      <c r="P58" s="22">
        <f>'Other Deduction'!E17</f>
        <v>0</v>
      </c>
    </row>
    <row r="59" spans="1:16" s="13" customFormat="1" ht="15" customHeight="1">
      <c r="A59" s="81">
        <v>18</v>
      </c>
      <c r="B59" s="246" t="s">
        <v>138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78" t="s">
        <v>83</v>
      </c>
      <c r="P59" s="21">
        <f>P57-P58</f>
        <v>75487</v>
      </c>
    </row>
    <row r="60" spans="1:16" ht="33.75" customHeight="1">
      <c r="A60" s="221">
        <v>19</v>
      </c>
      <c r="B60" s="249" t="s">
        <v>139</v>
      </c>
      <c r="C60" s="250"/>
      <c r="D60" s="251"/>
      <c r="E60" s="247" t="s">
        <v>140</v>
      </c>
      <c r="F60" s="247"/>
      <c r="G60" s="247"/>
      <c r="H60" s="247"/>
      <c r="I60" s="236" t="s">
        <v>141</v>
      </c>
      <c r="J60" s="248"/>
      <c r="K60" s="79" t="s">
        <v>142</v>
      </c>
      <c r="L60" s="236" t="s">
        <v>143</v>
      </c>
      <c r="M60" s="248"/>
      <c r="N60" s="79" t="s">
        <v>144</v>
      </c>
      <c r="O60" s="236" t="s">
        <v>145</v>
      </c>
      <c r="P60" s="237"/>
    </row>
    <row r="61" spans="1:16">
      <c r="A61" s="223"/>
      <c r="B61" s="252"/>
      <c r="C61" s="253"/>
      <c r="D61" s="254"/>
      <c r="E61" s="238">
        <f>SUM(Salary!V26:V32)</f>
        <v>35000</v>
      </c>
      <c r="F61" s="238"/>
      <c r="G61" s="238"/>
      <c r="H61" s="238"/>
      <c r="I61" s="238">
        <f>SUM(Salary!V33:V35)</f>
        <v>15000</v>
      </c>
      <c r="J61" s="238"/>
      <c r="K61" s="18">
        <f>Salary!V36</f>
        <v>5000</v>
      </c>
      <c r="L61" s="238">
        <f>Salary!V37</f>
        <v>5000</v>
      </c>
      <c r="M61" s="238"/>
      <c r="N61" s="43">
        <f>SUM(Salary!V38:V44)+'Other Deduction'!E18</f>
        <v>0</v>
      </c>
      <c r="O61" s="239">
        <f>E61+I61+K61+L61+N61</f>
        <v>60000</v>
      </c>
      <c r="P61" s="240"/>
    </row>
    <row r="62" spans="1:16" ht="16.5" thickBot="1">
      <c r="A62" s="241" t="str">
        <f>IF(P59&gt;O61,"Income Tax Payable",IF(P59&lt;O61,"Income Tax Refundable","Income Tax Payble/Refundable"))</f>
        <v>Income Tax Payable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78" t="s">
        <v>83</v>
      </c>
      <c r="P62" s="26">
        <f>IF(P59&gt;O61,P59-O61,O61-P59)</f>
        <v>15487</v>
      </c>
    </row>
    <row r="63" spans="1:16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28"/>
    </row>
    <row r="64" spans="1:16">
      <c r="A64" s="84"/>
      <c r="B64" s="315" t="s">
        <v>147</v>
      </c>
      <c r="C64" s="315"/>
      <c r="D64" s="315"/>
      <c r="E64" s="315"/>
      <c r="F64" s="85"/>
      <c r="G64" s="85"/>
      <c r="H64" s="85"/>
      <c r="I64" s="85"/>
      <c r="J64" s="85"/>
      <c r="K64" s="85"/>
      <c r="L64" s="315" t="s">
        <v>24</v>
      </c>
      <c r="M64" s="315"/>
      <c r="N64" s="315"/>
      <c r="O64" s="315"/>
      <c r="P64" s="86"/>
    </row>
    <row r="65" spans="1:17">
      <c r="A65" s="315"/>
      <c r="B65" s="315"/>
      <c r="C65" s="315"/>
      <c r="D65" s="315"/>
      <c r="E65" s="85"/>
      <c r="F65" s="85"/>
      <c r="G65" s="85"/>
      <c r="H65" s="85"/>
      <c r="I65" s="85"/>
      <c r="J65" s="85"/>
      <c r="K65" s="85"/>
      <c r="L65" s="85"/>
      <c r="M65" s="315"/>
      <c r="N65" s="315"/>
      <c r="O65" s="315"/>
      <c r="P65" s="315"/>
    </row>
    <row r="66" spans="1:17" s="44" customFormat="1" ht="15.75" hidden="1" customHeight="1">
      <c r="A66" s="87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</row>
    <row r="67" spans="1:17" s="44" customFormat="1" ht="15.75" hidden="1" customHeight="1">
      <c r="A67" s="88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</row>
    <row r="68" spans="1:17" s="44" customFormat="1" ht="24" hidden="1" customHeight="1">
      <c r="A68" s="87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</row>
    <row r="69" spans="1:17" s="44" customFormat="1" ht="15.75" hidden="1" customHeight="1">
      <c r="A69" s="87"/>
      <c r="B69" s="89"/>
      <c r="C69" s="89"/>
      <c r="D69" s="89"/>
      <c r="E69" s="89"/>
      <c r="F69" s="89"/>
      <c r="G69" s="89"/>
      <c r="H69" s="89"/>
      <c r="I69" s="89"/>
      <c r="J69" s="89"/>
      <c r="K69" s="213"/>
      <c r="L69" s="213"/>
      <c r="M69" s="213"/>
      <c r="N69" s="213"/>
      <c r="O69" s="213"/>
      <c r="P69" s="213"/>
    </row>
    <row r="70" spans="1:17" s="44" customFormat="1" ht="15.75" hidden="1" customHeight="1">
      <c r="A70" s="87"/>
      <c r="B70" s="89"/>
      <c r="C70" s="89"/>
      <c r="D70" s="89"/>
      <c r="E70" s="89"/>
      <c r="F70" s="89"/>
      <c r="G70" s="89"/>
      <c r="H70" s="89"/>
      <c r="I70" s="89"/>
      <c r="J70" s="89"/>
      <c r="K70" s="213"/>
      <c r="L70" s="213"/>
      <c r="M70" s="213"/>
      <c r="N70" s="213"/>
      <c r="O70" s="213"/>
      <c r="P70" s="213"/>
    </row>
    <row r="71" spans="1:17" s="44" customFormat="1" ht="15.75" hidden="1" customHeight="1">
      <c r="A71" s="87"/>
      <c r="B71" s="89"/>
      <c r="C71" s="89"/>
      <c r="D71" s="89"/>
      <c r="E71" s="89"/>
      <c r="F71" s="89"/>
      <c r="G71" s="89"/>
      <c r="H71" s="89"/>
      <c r="I71" s="89"/>
      <c r="J71" s="89"/>
      <c r="K71" s="213"/>
      <c r="L71" s="213"/>
      <c r="M71" s="213"/>
      <c r="N71" s="213"/>
      <c r="O71" s="213"/>
      <c r="P71" s="213"/>
    </row>
    <row r="72" spans="1:17" s="44" customFormat="1" ht="15.75" hidden="1" customHeight="1">
      <c r="A72" s="87"/>
      <c r="B72" s="89"/>
      <c r="C72" s="89"/>
      <c r="D72" s="89"/>
      <c r="E72" s="89"/>
      <c r="F72" s="89"/>
      <c r="G72" s="89"/>
      <c r="H72" s="89"/>
      <c r="I72" s="89"/>
      <c r="J72" s="89"/>
      <c r="K72" s="213"/>
      <c r="L72" s="213"/>
      <c r="M72" s="213"/>
      <c r="N72" s="213"/>
      <c r="O72" s="213"/>
      <c r="P72" s="213"/>
    </row>
    <row r="73" spans="1:17" s="44" customFormat="1" ht="15.75" hidden="1" customHeight="1">
      <c r="A73" s="87"/>
      <c r="B73" s="89"/>
      <c r="C73" s="89"/>
      <c r="D73" s="89"/>
      <c r="E73" s="89"/>
      <c r="F73" s="89"/>
      <c r="G73" s="89"/>
      <c r="H73" s="89"/>
      <c r="I73" s="89"/>
      <c r="J73" s="89"/>
      <c r="K73" s="213"/>
      <c r="L73" s="213"/>
      <c r="M73" s="213"/>
      <c r="N73" s="213"/>
      <c r="O73" s="213"/>
      <c r="P73" s="213"/>
    </row>
    <row r="74" spans="1:17" s="44" customFormat="1" hidden="1">
      <c r="A74" s="88"/>
      <c r="B74" s="90"/>
      <c r="C74" s="298"/>
      <c r="D74" s="298"/>
      <c r="E74" s="298"/>
      <c r="F74" s="298"/>
      <c r="G74" s="298"/>
      <c r="H74" s="298"/>
      <c r="I74" s="298"/>
      <c r="J74" s="90"/>
      <c r="K74" s="213"/>
      <c r="L74" s="213"/>
      <c r="M74" s="213"/>
      <c r="N74" s="213"/>
      <c r="O74" s="213"/>
      <c r="P74" s="213"/>
    </row>
    <row r="75" spans="1:17" s="44" customFormat="1" hidden="1">
      <c r="A75" s="88"/>
      <c r="B75" s="90"/>
      <c r="C75" s="90"/>
      <c r="D75" s="90"/>
      <c r="E75" s="90"/>
      <c r="F75" s="90"/>
      <c r="G75" s="90"/>
      <c r="H75" s="90"/>
      <c r="I75" s="90"/>
      <c r="J75" s="90"/>
      <c r="K75" s="213"/>
      <c r="L75" s="213"/>
      <c r="M75" s="213"/>
      <c r="N75" s="213"/>
      <c r="O75" s="213"/>
      <c r="P75" s="213"/>
    </row>
    <row r="76" spans="1:17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3"/>
      <c r="P76" s="94"/>
      <c r="Q76" s="42"/>
    </row>
    <row r="77" spans="1:17" hidden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3"/>
      <c r="P77" s="94"/>
      <c r="Q77" s="42"/>
    </row>
    <row r="78" spans="1:17" hidden="1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3"/>
      <c r="P78" s="94"/>
      <c r="Q78" s="42"/>
    </row>
    <row r="79" spans="1:17" hidden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7"/>
      <c r="P79" s="98"/>
    </row>
    <row r="80" spans="1:17" hidden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7"/>
      <c r="P80" s="98"/>
    </row>
    <row r="81" spans="1:16" hidden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7"/>
      <c r="P81" s="98"/>
    </row>
    <row r="82" spans="1:16" hidden="1"/>
  </sheetData>
  <sheetProtection password="FC12" sheet="1" objects="1" scenarios="1"/>
  <customSheetViews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23">
    <mergeCell ref="M65:P65"/>
    <mergeCell ref="B32:N32"/>
    <mergeCell ref="B31:N31"/>
    <mergeCell ref="B33:N33"/>
    <mergeCell ref="B64:E64"/>
    <mergeCell ref="L64:O64"/>
    <mergeCell ref="J26:L26"/>
    <mergeCell ref="A11:A13"/>
    <mergeCell ref="B11:I11"/>
    <mergeCell ref="J11:K11"/>
    <mergeCell ref="D13:F13"/>
    <mergeCell ref="D12:F12"/>
    <mergeCell ref="B12:C13"/>
    <mergeCell ref="A18:A30"/>
    <mergeCell ref="A65:D65"/>
    <mergeCell ref="C24:F24"/>
    <mergeCell ref="C25:F25"/>
    <mergeCell ref="J25:L25"/>
    <mergeCell ref="B45:N45"/>
    <mergeCell ref="J21:L21"/>
    <mergeCell ref="J24:L24"/>
    <mergeCell ref="B46:N46"/>
    <mergeCell ref="E49:F49"/>
    <mergeCell ref="G49:I49"/>
    <mergeCell ref="C74:I74"/>
    <mergeCell ref="L11:N11"/>
    <mergeCell ref="O11:P13"/>
    <mergeCell ref="G12:I12"/>
    <mergeCell ref="J12:K12"/>
    <mergeCell ref="B14:N14"/>
    <mergeCell ref="B15:N15"/>
    <mergeCell ref="B16:N16"/>
    <mergeCell ref="B17:N17"/>
    <mergeCell ref="C26:F26"/>
    <mergeCell ref="L12:N12"/>
    <mergeCell ref="G13:I13"/>
    <mergeCell ref="J13:K13"/>
    <mergeCell ref="L13:N13"/>
    <mergeCell ref="C27:F27"/>
    <mergeCell ref="J27:L27"/>
    <mergeCell ref="B44:N44"/>
    <mergeCell ref="E50:F50"/>
    <mergeCell ref="B18:P18"/>
    <mergeCell ref="B19:P19"/>
    <mergeCell ref="C20:F20"/>
    <mergeCell ref="C21:F21"/>
    <mergeCell ref="B29:L29"/>
    <mergeCell ref="J28:L28"/>
    <mergeCell ref="A1:P1"/>
    <mergeCell ref="A2:P2"/>
    <mergeCell ref="B3:C3"/>
    <mergeCell ref="O3:P3"/>
    <mergeCell ref="B4:N4"/>
    <mergeCell ref="B5:N5"/>
    <mergeCell ref="B6:N6"/>
    <mergeCell ref="B10:N10"/>
    <mergeCell ref="B7:K7"/>
    <mergeCell ref="L7:N7"/>
    <mergeCell ref="B9:K9"/>
    <mergeCell ref="L9:N9"/>
    <mergeCell ref="D3:I3"/>
    <mergeCell ref="K3:M3"/>
    <mergeCell ref="A7:A9"/>
    <mergeCell ref="L8:N8"/>
    <mergeCell ref="B8:K8"/>
    <mergeCell ref="O7:P8"/>
    <mergeCell ref="K49:M49"/>
    <mergeCell ref="C28:F28"/>
    <mergeCell ref="B30:N30"/>
    <mergeCell ref="J20:L20"/>
    <mergeCell ref="A34:A43"/>
    <mergeCell ref="B34:P34"/>
    <mergeCell ref="B35:N35"/>
    <mergeCell ref="B36:N36"/>
    <mergeCell ref="B37:N37"/>
    <mergeCell ref="B38:N38"/>
    <mergeCell ref="B39:N39"/>
    <mergeCell ref="B40:N40"/>
    <mergeCell ref="B43:N43"/>
    <mergeCell ref="B41:N41"/>
    <mergeCell ref="B42:N42"/>
    <mergeCell ref="O20:P29"/>
    <mergeCell ref="C22:F22"/>
    <mergeCell ref="J22:L22"/>
    <mergeCell ref="C23:F23"/>
    <mergeCell ref="J23:L23"/>
    <mergeCell ref="E52:F52"/>
    <mergeCell ref="G52:I52"/>
    <mergeCell ref="K52:M52"/>
    <mergeCell ref="L61:M61"/>
    <mergeCell ref="O61:P61"/>
    <mergeCell ref="A62:N62"/>
    <mergeCell ref="B58:N58"/>
    <mergeCell ref="B59:N59"/>
    <mergeCell ref="E60:H60"/>
    <mergeCell ref="I60:J60"/>
    <mergeCell ref="L60:M60"/>
    <mergeCell ref="B60:D61"/>
    <mergeCell ref="A60:A61"/>
    <mergeCell ref="K69:P75"/>
    <mergeCell ref="B53:N53"/>
    <mergeCell ref="B56:N56"/>
    <mergeCell ref="B57:N57"/>
    <mergeCell ref="A47:A57"/>
    <mergeCell ref="B47:P47"/>
    <mergeCell ref="B48:F48"/>
    <mergeCell ref="G48:J48"/>
    <mergeCell ref="K48:N48"/>
    <mergeCell ref="B51:D51"/>
    <mergeCell ref="B52:D52"/>
    <mergeCell ref="B49:D49"/>
    <mergeCell ref="B50:D50"/>
    <mergeCell ref="E51:F51"/>
    <mergeCell ref="G51:I51"/>
    <mergeCell ref="K51:M51"/>
    <mergeCell ref="G50:I50"/>
    <mergeCell ref="K50:M50"/>
    <mergeCell ref="B54:N54"/>
    <mergeCell ref="B55:N55"/>
    <mergeCell ref="B66:P68"/>
    <mergeCell ref="O60:P60"/>
    <mergeCell ref="E61:H61"/>
    <mergeCell ref="I61:J61"/>
  </mergeCells>
  <printOptions horizontalCentered="1"/>
  <pageMargins left="0.39370078740157499" right="0.23622047244094499" top="0.23622047244094499" bottom="0.27559055118110198" header="0.196850393700787" footer="0.23622047244094499"/>
  <pageSetup paperSize="9" scale="75" orientation="portrait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R85"/>
  <sheetViews>
    <sheetView showGridLines="0" workbookViewId="0">
      <selection activeCell="P56" sqref="P56"/>
    </sheetView>
  </sheetViews>
  <sheetFormatPr defaultColWidth="0" defaultRowHeight="15.75" customHeight="1" zeroHeight="1"/>
  <cols>
    <col min="1" max="1" width="4.5703125" style="10" customWidth="1" collapsed="1"/>
    <col min="2" max="2" width="4.5703125" style="9" customWidth="1" collapsed="1"/>
    <col min="3" max="4" width="9.140625" style="9" customWidth="1" collapsed="1"/>
    <col min="5" max="5" width="3.85546875" style="9" customWidth="1" collapsed="1"/>
    <col min="6" max="6" width="5.42578125" style="9" customWidth="1" collapsed="1"/>
    <col min="7" max="7" width="4.5703125" style="9" customWidth="1" collapsed="1"/>
    <col min="8" max="8" width="11.85546875" style="9" customWidth="1" collapsed="1"/>
    <col min="9" max="9" width="5.140625" style="9" customWidth="1" collapsed="1"/>
    <col min="10" max="10" width="11.7109375" style="9" customWidth="1" collapsed="1"/>
    <col min="11" max="11" width="11.42578125" style="9" customWidth="1" collapsed="1"/>
    <col min="12" max="12" width="9.42578125" style="9" customWidth="1" collapsed="1"/>
    <col min="13" max="13" width="4.5703125" style="9" customWidth="1" collapsed="1"/>
    <col min="14" max="14" width="12.7109375" style="9" customWidth="1" collapsed="1"/>
    <col min="15" max="15" width="3.85546875" style="11" customWidth="1" collapsed="1"/>
    <col min="16" max="16" width="19.28515625" style="12" customWidth="1" collapsed="1"/>
    <col min="17" max="17" width="2.42578125" customWidth="1" collapsed="1"/>
    <col min="18" max="18" width="0" hidden="1" customWidth="1"/>
    <col min="19" max="16384" width="9.140625" hidden="1" collapsed="1"/>
  </cols>
  <sheetData>
    <row r="1" spans="1:16" s="13" customFormat="1" ht="18.75">
      <c r="A1" s="280" t="str">
        <f>Salary!C18</f>
        <v>JHS BAKAURA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s="13" customFormat="1" ht="21.75" thickBot="1">
      <c r="A2" s="281" t="s">
        <v>146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s="13" customFormat="1" ht="15" customHeight="1">
      <c r="A3" s="80">
        <v>1</v>
      </c>
      <c r="B3" s="282" t="s">
        <v>95</v>
      </c>
      <c r="C3" s="283"/>
      <c r="D3" s="296" t="str">
        <f>Salary!M20</f>
        <v>Parmanand Meghwal</v>
      </c>
      <c r="E3" s="296"/>
      <c r="F3" s="296"/>
      <c r="G3" s="296"/>
      <c r="H3" s="296"/>
      <c r="I3" s="296"/>
      <c r="J3" s="75" t="s">
        <v>50</v>
      </c>
      <c r="K3" s="297" t="str">
        <f>Salary!M22</f>
        <v>TEACHER</v>
      </c>
      <c r="L3" s="297"/>
      <c r="M3" s="297"/>
      <c r="N3" s="27" t="s">
        <v>17</v>
      </c>
      <c r="O3" s="284" t="str">
        <f>Salary!E22</f>
        <v>ASQPM6344G</v>
      </c>
      <c r="P3" s="285"/>
    </row>
    <row r="4" spans="1:16" s="13" customFormat="1" ht="15" customHeight="1">
      <c r="A4" s="81">
        <v>2</v>
      </c>
      <c r="B4" s="286" t="s">
        <v>212</v>
      </c>
      <c r="C4" s="286"/>
      <c r="D4" s="224"/>
      <c r="E4" s="224"/>
      <c r="F4" s="224"/>
      <c r="G4" s="224"/>
      <c r="H4" s="224"/>
      <c r="I4" s="224"/>
      <c r="J4" s="286"/>
      <c r="K4" s="224"/>
      <c r="L4" s="224"/>
      <c r="M4" s="224"/>
      <c r="N4" s="286"/>
      <c r="O4" s="155" t="s">
        <v>83</v>
      </c>
      <c r="P4" s="21">
        <f>IF(Salary!W2="No",Salary!N45,(Salary!N45+Salary!O45))</f>
        <v>1106637</v>
      </c>
    </row>
    <row r="5" spans="1:16" s="13" customFormat="1" ht="15" customHeight="1">
      <c r="A5" s="81">
        <v>3</v>
      </c>
      <c r="B5" s="287" t="s">
        <v>101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155" t="s">
        <v>83</v>
      </c>
      <c r="P5" s="22"/>
    </row>
    <row r="6" spans="1:16" s="13" customFormat="1" ht="15" customHeight="1">
      <c r="A6" s="81">
        <v>4</v>
      </c>
      <c r="B6" s="288" t="s">
        <v>18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155" t="s">
        <v>83</v>
      </c>
      <c r="P6" s="22">
        <f>P4-P5</f>
        <v>1106637</v>
      </c>
    </row>
    <row r="7" spans="1:16" s="13" customFormat="1" ht="15" customHeight="1">
      <c r="A7" s="221">
        <v>5</v>
      </c>
      <c r="B7" s="292" t="s">
        <v>108</v>
      </c>
      <c r="C7" s="293"/>
      <c r="D7" s="293"/>
      <c r="E7" s="293"/>
      <c r="F7" s="293"/>
      <c r="G7" s="293"/>
      <c r="H7" s="293"/>
      <c r="I7" s="293"/>
      <c r="J7" s="293"/>
      <c r="K7" s="293"/>
      <c r="L7" s="294">
        <f>'Other Deduction'!B4</f>
        <v>0</v>
      </c>
      <c r="M7" s="294"/>
      <c r="N7" s="294"/>
      <c r="O7" s="269"/>
      <c r="P7" s="270"/>
    </row>
    <row r="8" spans="1:16" s="13" customFormat="1" ht="15" customHeight="1">
      <c r="A8" s="222"/>
      <c r="B8" s="243" t="s">
        <v>109</v>
      </c>
      <c r="C8" s="244"/>
      <c r="D8" s="244"/>
      <c r="E8" s="244"/>
      <c r="F8" s="244"/>
      <c r="G8" s="244"/>
      <c r="H8" s="244"/>
      <c r="I8" s="244"/>
      <c r="J8" s="244"/>
      <c r="K8" s="244"/>
      <c r="L8" s="294">
        <f>'Other Deduction'!B5</f>
        <v>0</v>
      </c>
      <c r="M8" s="294"/>
      <c r="N8" s="294"/>
      <c r="O8" s="273"/>
      <c r="P8" s="274"/>
    </row>
    <row r="9" spans="1:16" s="13" customFormat="1" ht="15" customHeight="1">
      <c r="A9" s="223"/>
      <c r="B9" s="295" t="s">
        <v>110</v>
      </c>
      <c r="C9" s="293"/>
      <c r="D9" s="293"/>
      <c r="E9" s="293"/>
      <c r="F9" s="293"/>
      <c r="G9" s="293"/>
      <c r="H9" s="293"/>
      <c r="I9" s="293"/>
      <c r="J9" s="293"/>
      <c r="K9" s="293"/>
      <c r="L9" s="294">
        <v>0</v>
      </c>
      <c r="M9" s="294"/>
      <c r="N9" s="294"/>
      <c r="O9" s="155" t="s">
        <v>83</v>
      </c>
      <c r="P9" s="22">
        <f>SUM(L7:N9)</f>
        <v>0</v>
      </c>
    </row>
    <row r="10" spans="1:16" s="13" customFormat="1" ht="15" customHeight="1">
      <c r="A10" s="81">
        <v>6</v>
      </c>
      <c r="B10" s="289" t="s">
        <v>102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1"/>
      <c r="O10" s="155" t="s">
        <v>83</v>
      </c>
      <c r="P10" s="22">
        <f>P6-P9</f>
        <v>1106637</v>
      </c>
    </row>
    <row r="11" spans="1:16" s="13" customFormat="1" ht="15" customHeight="1">
      <c r="A11" s="325">
        <v>7</v>
      </c>
      <c r="B11" s="224" t="s">
        <v>103</v>
      </c>
      <c r="C11" s="224"/>
      <c r="D11" s="224"/>
      <c r="E11" s="224"/>
      <c r="F11" s="224"/>
      <c r="G11" s="224"/>
      <c r="H11" s="224"/>
      <c r="I11" s="224"/>
      <c r="J11" s="304" t="s">
        <v>104</v>
      </c>
      <c r="K11" s="304"/>
      <c r="L11" s="294">
        <f>'Other Deduction'!B6</f>
        <v>0</v>
      </c>
      <c r="M11" s="294"/>
      <c r="N11" s="294"/>
      <c r="O11" s="299"/>
      <c r="P11" s="300"/>
    </row>
    <row r="12" spans="1:16" s="13" customFormat="1" ht="27.75" customHeight="1">
      <c r="A12" s="325"/>
      <c r="B12" s="329" t="s">
        <v>106</v>
      </c>
      <c r="C12" s="330"/>
      <c r="D12" s="326" t="s">
        <v>105</v>
      </c>
      <c r="E12" s="327"/>
      <c r="F12" s="328"/>
      <c r="G12" s="301" t="s">
        <v>107</v>
      </c>
      <c r="H12" s="302"/>
      <c r="I12" s="303"/>
      <c r="J12" s="304" t="s">
        <v>111</v>
      </c>
      <c r="K12" s="304"/>
      <c r="L12" s="304" t="s">
        <v>49</v>
      </c>
      <c r="M12" s="304"/>
      <c r="N12" s="304"/>
      <c r="O12" s="299"/>
      <c r="P12" s="300"/>
    </row>
    <row r="13" spans="1:16" s="13" customFormat="1" ht="15" customHeight="1">
      <c r="A13" s="325"/>
      <c r="B13" s="331"/>
      <c r="C13" s="332"/>
      <c r="D13" s="307">
        <f>ROUND(L11*0.3,0)</f>
        <v>0</v>
      </c>
      <c r="E13" s="308"/>
      <c r="F13" s="309"/>
      <c r="G13" s="307">
        <f>IF((Salary!U45+'Other Deduction'!B9)&gt;200000,200000,(Salary!U45+'Other Deduction'!B9))</f>
        <v>0</v>
      </c>
      <c r="H13" s="308"/>
      <c r="I13" s="309"/>
      <c r="J13" s="294">
        <f>'Other Deduction'!B7</f>
        <v>0</v>
      </c>
      <c r="K13" s="294"/>
      <c r="L13" s="294">
        <f>D13+G13+J13</f>
        <v>0</v>
      </c>
      <c r="M13" s="294"/>
      <c r="N13" s="294"/>
      <c r="O13" s="299"/>
      <c r="P13" s="300"/>
    </row>
    <row r="14" spans="1:16" s="13" customFormat="1" ht="15" customHeight="1">
      <c r="A14" s="81"/>
      <c r="B14" s="289" t="s">
        <v>112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1"/>
      <c r="O14" s="155" t="s">
        <v>83</v>
      </c>
      <c r="P14" s="22">
        <v>0</v>
      </c>
    </row>
    <row r="15" spans="1:16" s="13" customFormat="1" ht="15" customHeight="1">
      <c r="A15" s="81">
        <v>8</v>
      </c>
      <c r="B15" s="289" t="s">
        <v>113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1"/>
      <c r="O15" s="155" t="s">
        <v>83</v>
      </c>
      <c r="P15" s="22">
        <f>P10+P14</f>
        <v>1106637</v>
      </c>
    </row>
    <row r="16" spans="1:16" s="13" customFormat="1" ht="15" customHeight="1">
      <c r="A16" s="81">
        <v>9</v>
      </c>
      <c r="B16" s="224" t="s">
        <v>114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155" t="s">
        <v>83</v>
      </c>
      <c r="P16" s="22">
        <f>'Other Deduction'!E3+'Other Deduction'!E4</f>
        <v>0</v>
      </c>
    </row>
    <row r="17" spans="1:16" s="13" customFormat="1" ht="15" customHeight="1">
      <c r="A17" s="81">
        <v>10</v>
      </c>
      <c r="B17" s="224" t="s">
        <v>115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155" t="s">
        <v>83</v>
      </c>
      <c r="P17" s="21">
        <f>P15+P16</f>
        <v>1106637</v>
      </c>
    </row>
    <row r="18" spans="1:16" s="13" customFormat="1" ht="15" customHeight="1">
      <c r="A18" s="221">
        <v>11</v>
      </c>
      <c r="B18" s="246" t="s">
        <v>116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310"/>
    </row>
    <row r="19" spans="1:16" s="13" customFormat="1" ht="18" customHeight="1">
      <c r="A19" s="222"/>
      <c r="B19" s="246" t="s">
        <v>166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310"/>
    </row>
    <row r="20" spans="1:16" s="13" customFormat="1" ht="14.25" customHeight="1">
      <c r="A20" s="222"/>
      <c r="B20" s="68">
        <v>1</v>
      </c>
      <c r="C20" s="275" t="s">
        <v>164</v>
      </c>
      <c r="D20" s="276"/>
      <c r="E20" s="276"/>
      <c r="F20" s="276"/>
      <c r="G20" s="155" t="s">
        <v>83</v>
      </c>
      <c r="H20" s="70">
        <f>IF(Salary!W2="Yes",Salary!O45,0)</f>
        <v>97969</v>
      </c>
      <c r="I20" s="68">
        <v>10</v>
      </c>
      <c r="J20" s="257" t="s">
        <v>82</v>
      </c>
      <c r="K20" s="258"/>
      <c r="L20" s="259"/>
      <c r="M20" s="155" t="s">
        <v>83</v>
      </c>
      <c r="N20" s="70">
        <f>'Other Deduction'!E6</f>
        <v>0</v>
      </c>
      <c r="O20" s="269"/>
      <c r="P20" s="270"/>
    </row>
    <row r="21" spans="1:16" s="13" customFormat="1" ht="26.25" customHeight="1">
      <c r="A21" s="222"/>
      <c r="B21" s="68">
        <v>2</v>
      </c>
      <c r="C21" s="275" t="s">
        <v>78</v>
      </c>
      <c r="D21" s="276"/>
      <c r="E21" s="276"/>
      <c r="F21" s="276"/>
      <c r="G21" s="155" t="s">
        <v>83</v>
      </c>
      <c r="H21" s="70">
        <f>Salary!R45+'Other Deduction'!B10</f>
        <v>0</v>
      </c>
      <c r="I21" s="68">
        <v>11</v>
      </c>
      <c r="J21" s="277" t="s">
        <v>84</v>
      </c>
      <c r="K21" s="278"/>
      <c r="L21" s="279"/>
      <c r="M21" s="155" t="s">
        <v>83</v>
      </c>
      <c r="N21" s="71">
        <f>'Other Deduction'!B15</f>
        <v>0</v>
      </c>
      <c r="O21" s="271"/>
      <c r="P21" s="272"/>
    </row>
    <row r="22" spans="1:16" s="13" customFormat="1" ht="14.25" customHeight="1">
      <c r="A22" s="222"/>
      <c r="B22" s="68">
        <v>3</v>
      </c>
      <c r="C22" s="275" t="s">
        <v>79</v>
      </c>
      <c r="D22" s="276"/>
      <c r="E22" s="276"/>
      <c r="F22" s="276"/>
      <c r="G22" s="155" t="s">
        <v>83</v>
      </c>
      <c r="H22" s="70">
        <f>'Other Deduction'!B14</f>
        <v>0</v>
      </c>
      <c r="I22" s="68">
        <v>12</v>
      </c>
      <c r="J22" s="277" t="s">
        <v>85</v>
      </c>
      <c r="K22" s="278"/>
      <c r="L22" s="279"/>
      <c r="M22" s="155" t="s">
        <v>83</v>
      </c>
      <c r="N22" s="71">
        <f>'Other Deduction'!B12</f>
        <v>0</v>
      </c>
      <c r="O22" s="271"/>
      <c r="P22" s="272"/>
    </row>
    <row r="23" spans="1:16" s="13" customFormat="1" ht="15" customHeight="1">
      <c r="A23" s="222"/>
      <c r="B23" s="68">
        <v>4</v>
      </c>
      <c r="C23" s="275" t="s">
        <v>91</v>
      </c>
      <c r="D23" s="276"/>
      <c r="E23" s="276"/>
      <c r="F23" s="276"/>
      <c r="G23" s="155" t="s">
        <v>83</v>
      </c>
      <c r="H23" s="70">
        <f>'Other Deduction'!B16</f>
        <v>0</v>
      </c>
      <c r="I23" s="68">
        <v>13</v>
      </c>
      <c r="J23" s="277" t="s">
        <v>86</v>
      </c>
      <c r="K23" s="278"/>
      <c r="L23" s="279"/>
      <c r="M23" s="155" t="s">
        <v>83</v>
      </c>
      <c r="N23" s="70">
        <f>'Other Deduction'!E15</f>
        <v>0</v>
      </c>
      <c r="O23" s="271"/>
      <c r="P23" s="272"/>
    </row>
    <row r="24" spans="1:16" s="13" customFormat="1" ht="15.75" customHeight="1">
      <c r="A24" s="222"/>
      <c r="B24" s="68">
        <v>5</v>
      </c>
      <c r="C24" s="275" t="s">
        <v>92</v>
      </c>
      <c r="D24" s="276"/>
      <c r="E24" s="276"/>
      <c r="F24" s="276"/>
      <c r="G24" s="155" t="s">
        <v>83</v>
      </c>
      <c r="H24" s="70">
        <f>'Other Deduction'!B17</f>
        <v>0</v>
      </c>
      <c r="I24" s="68">
        <v>14</v>
      </c>
      <c r="J24" s="257" t="s">
        <v>87</v>
      </c>
      <c r="K24" s="333"/>
      <c r="L24" s="334"/>
      <c r="M24" s="155" t="s">
        <v>83</v>
      </c>
      <c r="N24" s="70">
        <f>'Other Deduction'!E16</f>
        <v>0</v>
      </c>
      <c r="O24" s="271"/>
      <c r="P24" s="272"/>
    </row>
    <row r="25" spans="1:16" s="13" customFormat="1" ht="15.75" customHeight="1">
      <c r="A25" s="222"/>
      <c r="B25" s="68">
        <v>6</v>
      </c>
      <c r="C25" s="262" t="s">
        <v>155</v>
      </c>
      <c r="D25" s="305"/>
      <c r="E25" s="305"/>
      <c r="F25" s="306"/>
      <c r="G25" s="155" t="s">
        <v>83</v>
      </c>
      <c r="H25" s="70">
        <f>IF(Salary!W2="No",Salary!O45,0)</f>
        <v>0</v>
      </c>
      <c r="I25" s="68">
        <v>15</v>
      </c>
      <c r="J25" s="257" t="s">
        <v>88</v>
      </c>
      <c r="K25" s="333"/>
      <c r="L25" s="334"/>
      <c r="M25" s="155" t="s">
        <v>83</v>
      </c>
      <c r="N25" s="70">
        <f>'Other Deduction'!B11</f>
        <v>0</v>
      </c>
      <c r="O25" s="271"/>
      <c r="P25" s="272"/>
    </row>
    <row r="26" spans="1:16" s="13" customFormat="1" ht="15" customHeight="1">
      <c r="A26" s="222"/>
      <c r="B26" s="68">
        <v>7</v>
      </c>
      <c r="C26" s="262" t="s">
        <v>80</v>
      </c>
      <c r="D26" s="305"/>
      <c r="E26" s="305"/>
      <c r="F26" s="306"/>
      <c r="G26" s="155" t="s">
        <v>83</v>
      </c>
      <c r="H26" s="71">
        <f>Salary!P45</f>
        <v>1044</v>
      </c>
      <c r="I26" s="68">
        <v>16</v>
      </c>
      <c r="J26" s="257" t="s">
        <v>89</v>
      </c>
      <c r="K26" s="258"/>
      <c r="L26" s="259"/>
      <c r="M26" s="155" t="s">
        <v>83</v>
      </c>
      <c r="N26" s="70">
        <f>'Other Deduction'!E5</f>
        <v>0</v>
      </c>
      <c r="O26" s="271"/>
      <c r="P26" s="272"/>
    </row>
    <row r="27" spans="1:16" s="13" customFormat="1" ht="15.75" customHeight="1">
      <c r="A27" s="222"/>
      <c r="B27" s="68">
        <v>8</v>
      </c>
      <c r="C27" s="275" t="s">
        <v>81</v>
      </c>
      <c r="D27" s="275"/>
      <c r="E27" s="275"/>
      <c r="F27" s="275"/>
      <c r="G27" s="155" t="s">
        <v>83</v>
      </c>
      <c r="H27" s="71">
        <f>'Other Deduction'!B13</f>
        <v>0</v>
      </c>
      <c r="I27" s="68">
        <v>17</v>
      </c>
      <c r="J27" s="277" t="s">
        <v>90</v>
      </c>
      <c r="K27" s="278"/>
      <c r="L27" s="279"/>
      <c r="M27" s="155" t="s">
        <v>83</v>
      </c>
      <c r="N27" s="70">
        <f>'Other Deduction'!B18</f>
        <v>0</v>
      </c>
      <c r="O27" s="271"/>
      <c r="P27" s="272"/>
    </row>
    <row r="28" spans="1:16" s="13" customFormat="1" ht="27" customHeight="1">
      <c r="A28" s="222"/>
      <c r="B28" s="72">
        <v>9</v>
      </c>
      <c r="C28" s="255" t="s">
        <v>211</v>
      </c>
      <c r="D28" s="255"/>
      <c r="E28" s="255"/>
      <c r="F28" s="255"/>
      <c r="G28" s="157" t="s">
        <v>83</v>
      </c>
      <c r="H28" s="74">
        <f>Salary!T45+'Other Deduction'!B8</f>
        <v>0</v>
      </c>
      <c r="I28" s="72">
        <v>18</v>
      </c>
      <c r="J28" s="314"/>
      <c r="K28" s="314"/>
      <c r="L28" s="314"/>
      <c r="M28" s="157" t="s">
        <v>83</v>
      </c>
      <c r="N28" s="70"/>
      <c r="O28" s="271"/>
      <c r="P28" s="272"/>
    </row>
    <row r="29" spans="1:16" s="13" customFormat="1" ht="15" customHeight="1">
      <c r="A29" s="222"/>
      <c r="B29" s="311" t="s">
        <v>94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3"/>
      <c r="M29" s="157" t="s">
        <v>83</v>
      </c>
      <c r="N29" s="14">
        <f>SUM(H20:H28)+SUM(N20:N28)</f>
        <v>99013</v>
      </c>
      <c r="O29" s="273"/>
      <c r="P29" s="274"/>
    </row>
    <row r="30" spans="1:16" s="13" customFormat="1" ht="16.5" customHeight="1">
      <c r="A30" s="222"/>
      <c r="B30" s="256" t="s">
        <v>93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157" t="s">
        <v>83</v>
      </c>
      <c r="P30" s="21">
        <v>0</v>
      </c>
    </row>
    <row r="31" spans="1:16" s="13" customFormat="1" ht="17.25" customHeight="1">
      <c r="A31" s="154"/>
      <c r="B31" s="319" t="s">
        <v>167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1"/>
      <c r="O31" s="157" t="s">
        <v>83</v>
      </c>
      <c r="P31" s="21">
        <f>IF(Salary!W2="yes",Salary!O45,0)</f>
        <v>97969</v>
      </c>
    </row>
    <row r="32" spans="1:16" s="13" customFormat="1" ht="15" customHeight="1">
      <c r="A32" s="154"/>
      <c r="B32" s="316" t="s">
        <v>168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8"/>
      <c r="O32" s="157" t="s">
        <v>83</v>
      </c>
      <c r="P32" s="21">
        <v>0</v>
      </c>
    </row>
    <row r="33" spans="1:16" s="13" customFormat="1" ht="15" customHeight="1">
      <c r="A33" s="154"/>
      <c r="B33" s="322" t="s">
        <v>169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4"/>
      <c r="O33" s="157"/>
      <c r="P33" s="21">
        <f>P30+P31+P32</f>
        <v>97969</v>
      </c>
    </row>
    <row r="34" spans="1:16" s="13" customFormat="1" ht="15" customHeight="1">
      <c r="A34" s="221">
        <v>12</v>
      </c>
      <c r="B34" s="260" t="s">
        <v>117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1"/>
    </row>
    <row r="35" spans="1:16" s="13" customFormat="1" ht="27.75" customHeight="1">
      <c r="A35" s="222"/>
      <c r="B35" s="262" t="s">
        <v>118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4"/>
      <c r="O35" s="157" t="s">
        <v>83</v>
      </c>
      <c r="P35" s="22">
        <f>'Other Deduction'!E8</f>
        <v>0</v>
      </c>
    </row>
    <row r="36" spans="1:16" s="13" customFormat="1" ht="17.25" customHeight="1">
      <c r="A36" s="222"/>
      <c r="B36" s="265" t="s">
        <v>190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157" t="s">
        <v>83</v>
      </c>
      <c r="P36" s="22">
        <f>'Other Deduction'!E9</f>
        <v>0</v>
      </c>
    </row>
    <row r="37" spans="1:16" s="13" customFormat="1" ht="18" customHeight="1">
      <c r="A37" s="222"/>
      <c r="B37" s="265" t="s">
        <v>189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157" t="s">
        <v>83</v>
      </c>
      <c r="P37" s="22">
        <f>'Other Deduction'!E10</f>
        <v>0</v>
      </c>
    </row>
    <row r="38" spans="1:16" s="13" customFormat="1" ht="16.5" customHeight="1">
      <c r="A38" s="222"/>
      <c r="B38" s="265" t="s">
        <v>188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157" t="s">
        <v>83</v>
      </c>
      <c r="P38" s="22">
        <f>'Other Deduction'!E11</f>
        <v>0</v>
      </c>
    </row>
    <row r="39" spans="1:16" s="13" customFormat="1" ht="16.5" customHeight="1">
      <c r="A39" s="222"/>
      <c r="B39" s="265" t="s">
        <v>187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157" t="s">
        <v>83</v>
      </c>
      <c r="P39" s="22">
        <f>'Other Deduction'!E12</f>
        <v>0</v>
      </c>
    </row>
    <row r="40" spans="1:16" s="13" customFormat="1" ht="15" customHeight="1">
      <c r="A40" s="222"/>
      <c r="B40" s="262" t="s">
        <v>186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4"/>
      <c r="O40" s="157" t="s">
        <v>83</v>
      </c>
      <c r="P40" s="22">
        <f>'Other Deduction'!E13</f>
        <v>0</v>
      </c>
    </row>
    <row r="41" spans="1:16" s="13" customFormat="1" ht="17.25" customHeight="1">
      <c r="A41" s="222"/>
      <c r="B41" s="266" t="s">
        <v>185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8"/>
      <c r="O41" s="157" t="s">
        <v>83</v>
      </c>
      <c r="P41" s="22">
        <f>IF(Salary!P4="Yes",IF('Other Deduction'!E3&lt;50001,'Other Deduction'!E3,50000),IF('Other Deduction'!E3&lt;10001,'Other Deduction'!E3,10000))</f>
        <v>0</v>
      </c>
    </row>
    <row r="42" spans="1:16" s="13" customFormat="1" ht="15.75" customHeight="1">
      <c r="A42" s="222"/>
      <c r="B42" s="266" t="s">
        <v>184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8"/>
      <c r="O42" s="157" t="s">
        <v>83</v>
      </c>
      <c r="P42" s="22">
        <f>'Other Deduction'!E14</f>
        <v>0</v>
      </c>
    </row>
    <row r="43" spans="1:16" s="13" customFormat="1" ht="15" customHeight="1">
      <c r="A43" s="223"/>
      <c r="B43" s="256" t="s">
        <v>119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157" t="s">
        <v>83</v>
      </c>
      <c r="P43" s="23">
        <f>SUM(P35:P42)</f>
        <v>0</v>
      </c>
    </row>
    <row r="44" spans="1:16" s="13" customFormat="1" ht="15" customHeight="1">
      <c r="A44" s="81">
        <v>13</v>
      </c>
      <c r="B44" s="246" t="s">
        <v>120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157" t="s">
        <v>83</v>
      </c>
      <c r="P44" s="22">
        <f>P33+P43</f>
        <v>97969</v>
      </c>
    </row>
    <row r="45" spans="1:16" s="13" customFormat="1" ht="15" customHeight="1">
      <c r="A45" s="81">
        <v>14</v>
      </c>
      <c r="B45" s="224" t="s">
        <v>121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157" t="s">
        <v>83</v>
      </c>
      <c r="P45" s="22">
        <f>(P17-P44)</f>
        <v>1008668</v>
      </c>
    </row>
    <row r="46" spans="1:16" s="13" customFormat="1">
      <c r="A46" s="81">
        <v>15</v>
      </c>
      <c r="B46" s="246" t="s">
        <v>122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157" t="s">
        <v>83</v>
      </c>
      <c r="P46" s="21">
        <f>ROUND(P45,-1)</f>
        <v>1008670</v>
      </c>
    </row>
    <row r="47" spans="1:16" s="13" customFormat="1" ht="15" customHeight="1">
      <c r="A47" s="221">
        <v>16</v>
      </c>
      <c r="B47" s="224" t="s">
        <v>123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5"/>
    </row>
    <row r="48" spans="1:16" s="13" customFormat="1" ht="15" customHeight="1">
      <c r="A48" s="222"/>
      <c r="B48" s="226" t="s">
        <v>125</v>
      </c>
      <c r="C48" s="226"/>
      <c r="D48" s="226"/>
      <c r="E48" s="226"/>
      <c r="F48" s="226"/>
      <c r="G48" s="226" t="s">
        <v>124</v>
      </c>
      <c r="H48" s="226"/>
      <c r="I48" s="226"/>
      <c r="J48" s="226"/>
      <c r="K48" s="227" t="s">
        <v>126</v>
      </c>
      <c r="L48" s="228"/>
      <c r="M48" s="228"/>
      <c r="N48" s="229"/>
      <c r="O48" s="8"/>
      <c r="P48" s="24"/>
    </row>
    <row r="49" spans="1:16" s="13" customFormat="1" ht="15" customHeight="1">
      <c r="A49" s="222"/>
      <c r="B49" s="230" t="s">
        <v>127</v>
      </c>
      <c r="C49" s="231"/>
      <c r="D49" s="232"/>
      <c r="E49" s="234" t="s">
        <v>19</v>
      </c>
      <c r="F49" s="234"/>
      <c r="G49" s="230" t="s">
        <v>127</v>
      </c>
      <c r="H49" s="231"/>
      <c r="I49" s="232"/>
      <c r="J49" s="164" t="s">
        <v>19</v>
      </c>
      <c r="K49" s="230" t="s">
        <v>127</v>
      </c>
      <c r="L49" s="231"/>
      <c r="M49" s="232"/>
      <c r="N49" s="164" t="s">
        <v>19</v>
      </c>
      <c r="O49" s="157" t="s">
        <v>83</v>
      </c>
      <c r="P49" s="25">
        <v>0</v>
      </c>
    </row>
    <row r="50" spans="1:16" s="13" customFormat="1" ht="15" customHeight="1">
      <c r="A50" s="222"/>
      <c r="B50" s="230" t="s">
        <v>20</v>
      </c>
      <c r="C50" s="231"/>
      <c r="D50" s="232"/>
      <c r="E50" s="233">
        <v>0.05</v>
      </c>
      <c r="F50" s="234"/>
      <c r="G50" s="230" t="s">
        <v>20</v>
      </c>
      <c r="H50" s="231"/>
      <c r="I50" s="232"/>
      <c r="J50" s="165">
        <v>0.05</v>
      </c>
      <c r="K50" s="230" t="s">
        <v>20</v>
      </c>
      <c r="L50" s="231"/>
      <c r="M50" s="232"/>
      <c r="N50" s="165">
        <v>0.05</v>
      </c>
      <c r="O50" s="166" t="s">
        <v>83</v>
      </c>
      <c r="P50" s="25">
        <f>ROUND(IF(Salary!P4="No",IF(P46&lt;250001,0,IF(P46&gt;500000,12500,((P46-250000)*0.05))),IF(P46&lt;300001,0,IF(P46&gt;500000,10000,((P46-300000)*0.05)))),0)</f>
        <v>12500</v>
      </c>
    </row>
    <row r="51" spans="1:16" s="13" customFormat="1" ht="15" customHeight="1">
      <c r="A51" s="222"/>
      <c r="B51" s="230" t="s">
        <v>214</v>
      </c>
      <c r="C51" s="231"/>
      <c r="D51" s="232"/>
      <c r="E51" s="233">
        <v>0.1</v>
      </c>
      <c r="F51" s="234"/>
      <c r="G51" s="230" t="s">
        <v>214</v>
      </c>
      <c r="H51" s="231"/>
      <c r="I51" s="232"/>
      <c r="J51" s="165">
        <v>0.1</v>
      </c>
      <c r="K51" s="230" t="s">
        <v>214</v>
      </c>
      <c r="L51" s="231"/>
      <c r="M51" s="232"/>
      <c r="N51" s="165">
        <v>0.1</v>
      </c>
      <c r="O51" s="166" t="s">
        <v>83</v>
      </c>
      <c r="P51" s="25">
        <f>IF(P46&lt;500001,0,IF(P46&gt;750000,25000,((P46-500000)*0.1)))</f>
        <v>25000</v>
      </c>
    </row>
    <row r="52" spans="1:16" s="13" customFormat="1" ht="15" customHeight="1">
      <c r="A52" s="222"/>
      <c r="B52" s="230" t="s">
        <v>215</v>
      </c>
      <c r="C52" s="231"/>
      <c r="D52" s="232"/>
      <c r="E52" s="335">
        <v>0.15</v>
      </c>
      <c r="F52" s="336"/>
      <c r="G52" s="230" t="s">
        <v>215</v>
      </c>
      <c r="H52" s="231"/>
      <c r="I52" s="232"/>
      <c r="J52" s="156">
        <v>0.15</v>
      </c>
      <c r="K52" s="230" t="s">
        <v>215</v>
      </c>
      <c r="L52" s="231"/>
      <c r="M52" s="232"/>
      <c r="N52" s="165">
        <v>0.15</v>
      </c>
      <c r="O52" s="157" t="s">
        <v>83</v>
      </c>
      <c r="P52" s="25">
        <f>IF(P46&lt;750001,0,IF(P46&gt;1000000,37500,((P46-750000)*0.15)))</f>
        <v>37500</v>
      </c>
    </row>
    <row r="53" spans="1:16" s="13" customFormat="1" ht="15" customHeight="1">
      <c r="A53" s="222"/>
      <c r="B53" s="230" t="s">
        <v>216</v>
      </c>
      <c r="C53" s="231"/>
      <c r="D53" s="232"/>
      <c r="E53" s="335">
        <v>0.2</v>
      </c>
      <c r="F53" s="336"/>
      <c r="G53" s="230" t="s">
        <v>216</v>
      </c>
      <c r="H53" s="231"/>
      <c r="I53" s="232"/>
      <c r="J53" s="165">
        <v>0.2</v>
      </c>
      <c r="K53" s="230" t="s">
        <v>216</v>
      </c>
      <c r="L53" s="231"/>
      <c r="M53" s="232"/>
      <c r="N53" s="165">
        <v>0.2</v>
      </c>
      <c r="O53" s="166"/>
      <c r="P53" s="25">
        <f>IF(P46&lt;1000001,0,IF(P46&gt;1250000,50000,((P46-1000000)*0.2)))</f>
        <v>1734</v>
      </c>
    </row>
    <row r="54" spans="1:16" s="13" customFormat="1" ht="15" customHeight="1">
      <c r="A54" s="222"/>
      <c r="B54" s="230" t="s">
        <v>217</v>
      </c>
      <c r="C54" s="231"/>
      <c r="D54" s="232"/>
      <c r="E54" s="233">
        <v>0.25</v>
      </c>
      <c r="F54" s="234"/>
      <c r="G54" s="230" t="s">
        <v>217</v>
      </c>
      <c r="H54" s="231"/>
      <c r="I54" s="232"/>
      <c r="J54" s="156">
        <v>0.25</v>
      </c>
      <c r="K54" s="230" t="s">
        <v>217</v>
      </c>
      <c r="L54" s="231"/>
      <c r="M54" s="232"/>
      <c r="N54" s="165">
        <v>0.25</v>
      </c>
      <c r="O54" s="157" t="s">
        <v>83</v>
      </c>
      <c r="P54" s="25">
        <f>IF(P46&lt;1250001,0,IF(P46&gt;1500000,62500,((P46-1250000)*0.25)))</f>
        <v>0</v>
      </c>
    </row>
    <row r="55" spans="1:16" s="13" customFormat="1" ht="15" customHeight="1">
      <c r="A55" s="222"/>
      <c r="B55" s="230" t="s">
        <v>218</v>
      </c>
      <c r="C55" s="231"/>
      <c r="D55" s="232"/>
      <c r="E55" s="233">
        <v>0.3</v>
      </c>
      <c r="F55" s="234"/>
      <c r="G55" s="230" t="s">
        <v>218</v>
      </c>
      <c r="H55" s="231"/>
      <c r="I55" s="232"/>
      <c r="J55" s="156">
        <v>0.3</v>
      </c>
      <c r="K55" s="230" t="s">
        <v>218</v>
      </c>
      <c r="L55" s="231"/>
      <c r="M55" s="232"/>
      <c r="N55" s="165">
        <v>0.3</v>
      </c>
      <c r="O55" s="157" t="s">
        <v>83</v>
      </c>
      <c r="P55" s="25">
        <f>IF(P46&lt;1500001,0,((P46-1500000)*0.3))</f>
        <v>0</v>
      </c>
    </row>
    <row r="56" spans="1:16" s="13" customFormat="1" ht="15" customHeight="1">
      <c r="A56" s="222"/>
      <c r="B56" s="214" t="s">
        <v>132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6"/>
      <c r="O56" s="157" t="s">
        <v>83</v>
      </c>
      <c r="P56" s="21">
        <f>SUM(P49:P55)</f>
        <v>76734</v>
      </c>
    </row>
    <row r="57" spans="1:16" s="13" customFormat="1" ht="15" customHeight="1">
      <c r="A57" s="222"/>
      <c r="B57" s="214" t="s">
        <v>133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6"/>
      <c r="O57" s="157" t="s">
        <v>83</v>
      </c>
      <c r="P57" s="22">
        <f>IF(P46&gt;500000,0,IF(P56&lt;12501,P56,12500))</f>
        <v>0</v>
      </c>
    </row>
    <row r="58" spans="1:16" s="13" customFormat="1" ht="15" customHeight="1">
      <c r="A58" s="222"/>
      <c r="B58" s="214" t="s">
        <v>134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6"/>
      <c r="O58" s="157" t="s">
        <v>83</v>
      </c>
      <c r="P58" s="21">
        <f>P56-P57</f>
        <v>76734</v>
      </c>
    </row>
    <row r="59" spans="1:16" s="13" customFormat="1" ht="15" customHeight="1">
      <c r="A59" s="222"/>
      <c r="B59" s="217" t="s">
        <v>135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157" t="s">
        <v>83</v>
      </c>
      <c r="P59" s="22">
        <f>ROUND(P58*0.04,0)</f>
        <v>3069</v>
      </c>
    </row>
    <row r="60" spans="1:16" s="13" customFormat="1" ht="15" customHeight="1">
      <c r="A60" s="223"/>
      <c r="B60" s="218" t="s">
        <v>136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157" t="s">
        <v>83</v>
      </c>
      <c r="P60" s="21">
        <f>SUM(P58:P59)</f>
        <v>79803</v>
      </c>
    </row>
    <row r="61" spans="1:16" s="13" customFormat="1" ht="15" customHeight="1">
      <c r="A61" s="81">
        <v>17</v>
      </c>
      <c r="B61" s="243" t="s">
        <v>137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5"/>
      <c r="O61" s="157" t="s">
        <v>83</v>
      </c>
      <c r="P61" s="22">
        <f>'Other Deduction'!E17</f>
        <v>0</v>
      </c>
    </row>
    <row r="62" spans="1:16" s="13" customFormat="1" ht="15" customHeight="1">
      <c r="A62" s="81">
        <v>18</v>
      </c>
      <c r="B62" s="246" t="s">
        <v>138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157" t="s">
        <v>83</v>
      </c>
      <c r="P62" s="21">
        <f>P60-P61</f>
        <v>79803</v>
      </c>
    </row>
    <row r="63" spans="1:16" ht="33.75" customHeight="1">
      <c r="A63" s="221">
        <v>19</v>
      </c>
      <c r="B63" s="249" t="s">
        <v>139</v>
      </c>
      <c r="C63" s="250"/>
      <c r="D63" s="251"/>
      <c r="E63" s="247" t="s">
        <v>140</v>
      </c>
      <c r="F63" s="247"/>
      <c r="G63" s="247"/>
      <c r="H63" s="247"/>
      <c r="I63" s="236" t="s">
        <v>141</v>
      </c>
      <c r="J63" s="248"/>
      <c r="K63" s="79" t="s">
        <v>142</v>
      </c>
      <c r="L63" s="236" t="s">
        <v>143</v>
      </c>
      <c r="M63" s="248"/>
      <c r="N63" s="79" t="s">
        <v>144</v>
      </c>
      <c r="O63" s="236" t="s">
        <v>145</v>
      </c>
      <c r="P63" s="237"/>
    </row>
    <row r="64" spans="1:16">
      <c r="A64" s="223"/>
      <c r="B64" s="252"/>
      <c r="C64" s="253"/>
      <c r="D64" s="254"/>
      <c r="E64" s="238">
        <f>SUM(Salary!V26:V32)</f>
        <v>35000</v>
      </c>
      <c r="F64" s="238"/>
      <c r="G64" s="238"/>
      <c r="H64" s="238"/>
      <c r="I64" s="238">
        <f>SUM(Salary!V33:V35)</f>
        <v>15000</v>
      </c>
      <c r="J64" s="238"/>
      <c r="K64" s="153">
        <f>Salary!V36</f>
        <v>5000</v>
      </c>
      <c r="L64" s="238">
        <f>Salary!V37</f>
        <v>5000</v>
      </c>
      <c r="M64" s="238"/>
      <c r="N64" s="43">
        <f>SUM(Salary!V38:V44)+'Other Deduction'!E18</f>
        <v>0</v>
      </c>
      <c r="O64" s="239">
        <f>E64+I64+K64+L64+N64</f>
        <v>60000</v>
      </c>
      <c r="P64" s="240"/>
    </row>
    <row r="65" spans="1:17" ht="16.5" thickBot="1">
      <c r="A65" s="241" t="str">
        <f>IF(P62&gt;O64,"Income Tax Payable",IF(P62&lt;O64,"Income Tax Refundable","Income Tax Payble/Refundable"))</f>
        <v>Income Tax Payable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157" t="s">
        <v>83</v>
      </c>
      <c r="P65" s="26">
        <f>IF(P62&gt;O64,P62-O64,O64-P62)</f>
        <v>19803</v>
      </c>
    </row>
    <row r="66" spans="1:17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3"/>
      <c r="P66" s="28"/>
    </row>
    <row r="67" spans="1:17">
      <c r="A67" s="84"/>
      <c r="B67" s="315" t="s">
        <v>147</v>
      </c>
      <c r="C67" s="315"/>
      <c r="D67" s="315"/>
      <c r="E67" s="315"/>
      <c r="F67" s="85"/>
      <c r="G67" s="85"/>
      <c r="H67" s="85"/>
      <c r="I67" s="85"/>
      <c r="J67" s="85"/>
      <c r="K67" s="85"/>
      <c r="L67" s="315" t="s">
        <v>24</v>
      </c>
      <c r="M67" s="315"/>
      <c r="N67" s="315"/>
      <c r="O67" s="315"/>
      <c r="P67" s="86"/>
    </row>
    <row r="68" spans="1:17">
      <c r="A68" s="315"/>
      <c r="B68" s="315"/>
      <c r="C68" s="315"/>
      <c r="D68" s="315"/>
      <c r="E68" s="85"/>
      <c r="F68" s="85"/>
      <c r="G68" s="85"/>
      <c r="H68" s="85"/>
      <c r="I68" s="85"/>
      <c r="J68" s="85"/>
      <c r="K68" s="85"/>
      <c r="L68" s="85"/>
      <c r="M68" s="315"/>
      <c r="N68" s="315"/>
      <c r="O68" s="315"/>
      <c r="P68" s="315"/>
    </row>
    <row r="69" spans="1:17" s="44" customFormat="1" ht="15.75" hidden="1" customHeight="1">
      <c r="A69" s="87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</row>
    <row r="70" spans="1:17" s="44" customFormat="1" ht="15.75" hidden="1" customHeight="1">
      <c r="A70" s="88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</row>
    <row r="71" spans="1:17" s="44" customFormat="1" ht="24" hidden="1" customHeight="1">
      <c r="A71" s="87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</row>
    <row r="72" spans="1:17" s="44" customFormat="1" ht="15.75" hidden="1" customHeight="1">
      <c r="A72" s="87"/>
      <c r="B72" s="89"/>
      <c r="C72" s="89"/>
      <c r="D72" s="89"/>
      <c r="E72" s="89"/>
      <c r="F72" s="89"/>
      <c r="G72" s="89"/>
      <c r="H72" s="89"/>
      <c r="I72" s="89"/>
      <c r="J72" s="89"/>
      <c r="K72" s="213"/>
      <c r="L72" s="213"/>
      <c r="M72" s="213"/>
      <c r="N72" s="213"/>
      <c r="O72" s="213"/>
      <c r="P72" s="213"/>
    </row>
    <row r="73" spans="1:17" s="44" customFormat="1" ht="15.75" hidden="1" customHeight="1">
      <c r="A73" s="87"/>
      <c r="B73" s="89"/>
      <c r="C73" s="89"/>
      <c r="D73" s="89"/>
      <c r="E73" s="89"/>
      <c r="F73" s="89"/>
      <c r="G73" s="89"/>
      <c r="H73" s="89"/>
      <c r="I73" s="89"/>
      <c r="J73" s="89"/>
      <c r="K73" s="213"/>
      <c r="L73" s="213"/>
      <c r="M73" s="213"/>
      <c r="N73" s="213"/>
      <c r="O73" s="213"/>
      <c r="P73" s="213"/>
    </row>
    <row r="74" spans="1:17" s="44" customFormat="1" ht="15.75" hidden="1" customHeight="1">
      <c r="A74" s="87"/>
      <c r="B74" s="89"/>
      <c r="C74" s="89"/>
      <c r="D74" s="89"/>
      <c r="E74" s="89"/>
      <c r="F74" s="89"/>
      <c r="G74" s="89"/>
      <c r="H74" s="89"/>
      <c r="I74" s="89"/>
      <c r="J74" s="89"/>
      <c r="K74" s="213"/>
      <c r="L74" s="213"/>
      <c r="M74" s="213"/>
      <c r="N74" s="213"/>
      <c r="O74" s="213"/>
      <c r="P74" s="213"/>
    </row>
    <row r="75" spans="1:17" s="44" customFormat="1" ht="15.75" hidden="1" customHeight="1">
      <c r="A75" s="87"/>
      <c r="B75" s="89"/>
      <c r="C75" s="89"/>
      <c r="D75" s="89"/>
      <c r="E75" s="89"/>
      <c r="F75" s="89"/>
      <c r="G75" s="89"/>
      <c r="H75" s="89"/>
      <c r="I75" s="89"/>
      <c r="J75" s="89"/>
      <c r="K75" s="213"/>
      <c r="L75" s="213"/>
      <c r="M75" s="213"/>
      <c r="N75" s="213"/>
      <c r="O75" s="213"/>
      <c r="P75" s="213"/>
    </row>
    <row r="76" spans="1:17" s="44" customFormat="1" ht="15.75" hidden="1" customHeight="1">
      <c r="A76" s="87"/>
      <c r="B76" s="89"/>
      <c r="C76" s="89"/>
      <c r="D76" s="89"/>
      <c r="E76" s="89"/>
      <c r="F76" s="89"/>
      <c r="G76" s="89"/>
      <c r="H76" s="89"/>
      <c r="I76" s="89"/>
      <c r="J76" s="89"/>
      <c r="K76" s="213"/>
      <c r="L76" s="213"/>
      <c r="M76" s="213"/>
      <c r="N76" s="213"/>
      <c r="O76" s="213"/>
      <c r="P76" s="213"/>
    </row>
    <row r="77" spans="1:17" s="44" customFormat="1" hidden="1">
      <c r="A77" s="88"/>
      <c r="B77" s="90"/>
      <c r="C77" s="298"/>
      <c r="D77" s="298"/>
      <c r="E77" s="298"/>
      <c r="F77" s="298"/>
      <c r="G77" s="298"/>
      <c r="H77" s="298"/>
      <c r="I77" s="298"/>
      <c r="J77" s="90"/>
      <c r="K77" s="213"/>
      <c r="L77" s="213"/>
      <c r="M77" s="213"/>
      <c r="N77" s="213"/>
      <c r="O77" s="213"/>
      <c r="P77" s="213"/>
    </row>
    <row r="78" spans="1:17" s="44" customFormat="1" hidden="1">
      <c r="A78" s="88"/>
      <c r="B78" s="90"/>
      <c r="C78" s="90"/>
      <c r="D78" s="90"/>
      <c r="E78" s="90"/>
      <c r="F78" s="90"/>
      <c r="G78" s="90"/>
      <c r="H78" s="90"/>
      <c r="I78" s="90"/>
      <c r="J78" s="90"/>
      <c r="K78" s="213"/>
      <c r="L78" s="213"/>
      <c r="M78" s="213"/>
      <c r="N78" s="213"/>
      <c r="O78" s="213"/>
      <c r="P78" s="213"/>
    </row>
    <row r="79" spans="1:17" hidden="1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3"/>
      <c r="P79" s="94"/>
      <c r="Q79" s="42"/>
    </row>
    <row r="80" spans="1:17" hidden="1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3"/>
      <c r="P80" s="94"/>
      <c r="Q80" s="42"/>
    </row>
    <row r="81" spans="1:17" hidden="1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3"/>
      <c r="P81" s="94"/>
      <c r="Q81" s="42"/>
    </row>
    <row r="82" spans="1:17" hidden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7"/>
      <c r="P82" s="98"/>
    </row>
    <row r="83" spans="1:17" hidden="1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7"/>
      <c r="P83" s="98"/>
    </row>
    <row r="84" spans="1:17" hidden="1">
      <c r="A84" s="95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7"/>
      <c r="P84" s="98"/>
    </row>
    <row r="85" spans="1:17" hidden="1"/>
  </sheetData>
  <sheetProtection password="FC12" sheet="1" objects="1" scenarios="1"/>
  <mergeCells count="135">
    <mergeCell ref="B50:D50"/>
    <mergeCell ref="E50:F50"/>
    <mergeCell ref="G50:I50"/>
    <mergeCell ref="K50:M50"/>
    <mergeCell ref="B51:D51"/>
    <mergeCell ref="E51:F51"/>
    <mergeCell ref="G51:I51"/>
    <mergeCell ref="K51:M51"/>
    <mergeCell ref="E53:F53"/>
    <mergeCell ref="G53:I53"/>
    <mergeCell ref="K53:M53"/>
    <mergeCell ref="B53:D53"/>
    <mergeCell ref="B67:E67"/>
    <mergeCell ref="L67:O67"/>
    <mergeCell ref="A68:D68"/>
    <mergeCell ref="M68:P68"/>
    <mergeCell ref="B69:P71"/>
    <mergeCell ref="K72:P78"/>
    <mergeCell ref="C77:I77"/>
    <mergeCell ref="O63:P63"/>
    <mergeCell ref="E64:H64"/>
    <mergeCell ref="I64:J64"/>
    <mergeCell ref="L64:M64"/>
    <mergeCell ref="O64:P64"/>
    <mergeCell ref="A65:N65"/>
    <mergeCell ref="B62:N62"/>
    <mergeCell ref="A63:A64"/>
    <mergeCell ref="B63:D64"/>
    <mergeCell ref="E63:H63"/>
    <mergeCell ref="I63:J63"/>
    <mergeCell ref="L63:M63"/>
    <mergeCell ref="B56:N56"/>
    <mergeCell ref="B57:N57"/>
    <mergeCell ref="B58:N58"/>
    <mergeCell ref="B59:N59"/>
    <mergeCell ref="B60:N60"/>
    <mergeCell ref="B61:N61"/>
    <mergeCell ref="B44:N44"/>
    <mergeCell ref="B45:N45"/>
    <mergeCell ref="B46:N46"/>
    <mergeCell ref="A47:A60"/>
    <mergeCell ref="B47:P47"/>
    <mergeCell ref="B48:F48"/>
    <mergeCell ref="G48:J48"/>
    <mergeCell ref="K48:N48"/>
    <mergeCell ref="B54:D54"/>
    <mergeCell ref="E54:F54"/>
    <mergeCell ref="G54:I54"/>
    <mergeCell ref="K54:M54"/>
    <mergeCell ref="B55:D55"/>
    <mergeCell ref="E55:F55"/>
    <mergeCell ref="G55:I55"/>
    <mergeCell ref="K55:M55"/>
    <mergeCell ref="B49:D49"/>
    <mergeCell ref="E49:F49"/>
    <mergeCell ref="G49:I49"/>
    <mergeCell ref="K49:M49"/>
    <mergeCell ref="B52:D52"/>
    <mergeCell ref="E52:F52"/>
    <mergeCell ref="G52:I52"/>
    <mergeCell ref="K52:M52"/>
    <mergeCell ref="A34:A43"/>
    <mergeCell ref="B34:P34"/>
    <mergeCell ref="B35:N35"/>
    <mergeCell ref="B36:N36"/>
    <mergeCell ref="B37:N37"/>
    <mergeCell ref="B38:N38"/>
    <mergeCell ref="B39:N39"/>
    <mergeCell ref="B40:N40"/>
    <mergeCell ref="B41:N41"/>
    <mergeCell ref="B42:N42"/>
    <mergeCell ref="B43:N43"/>
    <mergeCell ref="B31:N31"/>
    <mergeCell ref="B32:N32"/>
    <mergeCell ref="C25:F25"/>
    <mergeCell ref="J25:L25"/>
    <mergeCell ref="C26:F26"/>
    <mergeCell ref="J26:L26"/>
    <mergeCell ref="C27:F27"/>
    <mergeCell ref="J27:L27"/>
    <mergeCell ref="B33:N33"/>
    <mergeCell ref="C24:F24"/>
    <mergeCell ref="J24:L24"/>
    <mergeCell ref="B16:N16"/>
    <mergeCell ref="B17:N17"/>
    <mergeCell ref="A18:A30"/>
    <mergeCell ref="B18:P18"/>
    <mergeCell ref="B19:P19"/>
    <mergeCell ref="C20:F20"/>
    <mergeCell ref="J20:L20"/>
    <mergeCell ref="O20:P29"/>
    <mergeCell ref="C21:F21"/>
    <mergeCell ref="J21:L21"/>
    <mergeCell ref="C28:F28"/>
    <mergeCell ref="J28:L28"/>
    <mergeCell ref="B29:L29"/>
    <mergeCell ref="B30:N30"/>
    <mergeCell ref="B14:N14"/>
    <mergeCell ref="B15:N15"/>
    <mergeCell ref="A11:A13"/>
    <mergeCell ref="B11:I11"/>
    <mergeCell ref="J11:K11"/>
    <mergeCell ref="L11:N11"/>
    <mergeCell ref="C22:F22"/>
    <mergeCell ref="J22:L22"/>
    <mergeCell ref="C23:F23"/>
    <mergeCell ref="J23:L23"/>
    <mergeCell ref="O11:P13"/>
    <mergeCell ref="B12:C13"/>
    <mergeCell ref="D12:F12"/>
    <mergeCell ref="G12:I12"/>
    <mergeCell ref="J12:K12"/>
    <mergeCell ref="L12:N12"/>
    <mergeCell ref="O7:P8"/>
    <mergeCell ref="B8:K8"/>
    <mergeCell ref="L8:N8"/>
    <mergeCell ref="B9:K9"/>
    <mergeCell ref="L9:N9"/>
    <mergeCell ref="B10:N10"/>
    <mergeCell ref="D13:F13"/>
    <mergeCell ref="G13:I13"/>
    <mergeCell ref="J13:K13"/>
    <mergeCell ref="L13:N13"/>
    <mergeCell ref="B4:N4"/>
    <mergeCell ref="B5:N5"/>
    <mergeCell ref="B6:N6"/>
    <mergeCell ref="A7:A9"/>
    <mergeCell ref="B7:K7"/>
    <mergeCell ref="L7:N7"/>
    <mergeCell ref="A1:P1"/>
    <mergeCell ref="A2:P2"/>
    <mergeCell ref="B3:C3"/>
    <mergeCell ref="D3:I3"/>
    <mergeCell ref="K3:M3"/>
    <mergeCell ref="O3:P3"/>
  </mergeCells>
  <printOptions horizontalCentered="1"/>
  <pageMargins left="0.39370078740157499" right="0.23622047244094499" top="0.23622047244094499" bottom="0.27559055118110198" header="0.196850393700787" footer="0.23622047244094499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Salary</vt:lpstr>
      <vt:lpstr>Other Deduction</vt:lpstr>
      <vt:lpstr>Tax Old Regime</vt:lpstr>
      <vt:lpstr>Tax New Regime</vt:lpstr>
      <vt:lpstr>Salary!Print_Area</vt:lpstr>
      <vt:lpstr>'Tax New Regime'!Print_Area</vt:lpstr>
      <vt:lpstr>'Tax Old Regime'!Print_Area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ALLEN COMPUTER</cp:lastModifiedBy>
  <cp:lastPrinted>2022-10-08T18:49:31Z</cp:lastPrinted>
  <dcterms:created xsi:type="dcterms:W3CDTF">2013-12-06T08:14:36Z</dcterms:created>
  <dcterms:modified xsi:type="dcterms:W3CDTF">2022-10-10T04:14:29Z</dcterms:modified>
</cp:coreProperties>
</file>