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55"/>
  </bookViews>
  <sheets>
    <sheet name="Salary" sheetId="2" r:id="rId1"/>
    <sheet name="Other Deduction" sheetId="1" r:id="rId2"/>
    <sheet name="Tax Old Regime" sheetId="3" r:id="rId3"/>
    <sheet name="Tax New Regime" sheetId="4" r:id="rId4"/>
  </sheets>
  <definedNames>
    <definedName name="_tds1" localSheetId="3">#REF!</definedName>
    <definedName name="_tds1">#REF!</definedName>
    <definedName name="_tds2" localSheetId="3">#REF!</definedName>
    <definedName name="_tds2">#REF!</definedName>
    <definedName name="AIR.Code001" localSheetId="3">#REF!</definedName>
    <definedName name="AIR.Code001">#REF!</definedName>
    <definedName name="AIR.Code002" localSheetId="3">#REF!</definedName>
    <definedName name="AIR.Code002">#REF!</definedName>
    <definedName name="AIR.Code003" localSheetId="3">#REF!</definedName>
    <definedName name="AIR.Code003">#REF!</definedName>
    <definedName name="AIR.Code004" localSheetId="3">#REF!</definedName>
    <definedName name="AIR.Code004">#REF!</definedName>
    <definedName name="AIR.Code005" localSheetId="3">#REF!</definedName>
    <definedName name="AIR.Code005">#REF!</definedName>
    <definedName name="AIR.Code006" localSheetId="3">#REF!</definedName>
    <definedName name="AIR.Code006">#REF!</definedName>
    <definedName name="AIR.Code007" localSheetId="3">#REF!</definedName>
    <definedName name="AIR.Code007">#REF!</definedName>
    <definedName name="AIR.Code008" localSheetId="3">#REF!</definedName>
    <definedName name="AIR.Code008">#REF!</definedName>
    <definedName name="AIR.TaxExmpIntInc" localSheetId="3">#REF!</definedName>
    <definedName name="AIR.TaxExmpIntInc">#REF!</definedName>
    <definedName name="Bank1" localSheetId="3">#REF!</definedName>
    <definedName name="Bank1">#REF!</definedName>
    <definedName name="Bank10" localSheetId="3">#REF!</definedName>
    <definedName name="Bank10">#REF!</definedName>
    <definedName name="Bank11" localSheetId="3">#REF!</definedName>
    <definedName name="Bank11">#REF!</definedName>
    <definedName name="Bank12" localSheetId="3">#REF!</definedName>
    <definedName name="Bank12">#REF!</definedName>
    <definedName name="Bank2" localSheetId="3">#REF!</definedName>
    <definedName name="Bank2">#REF!</definedName>
    <definedName name="Bank3" localSheetId="3">#REF!</definedName>
    <definedName name="Bank3">#REF!</definedName>
    <definedName name="Bank4" localSheetId="3">#REF!</definedName>
    <definedName name="Bank4">#REF!</definedName>
    <definedName name="Bank5" localSheetId="3">#REF!</definedName>
    <definedName name="Bank5">#REF!</definedName>
    <definedName name="Bank6" localSheetId="3">#REF!</definedName>
    <definedName name="Bank6">#REF!</definedName>
    <definedName name="Bank6PCAR" localSheetId="3">#REF!</definedName>
    <definedName name="Bank6PCAR">#REF!</definedName>
    <definedName name="Bank7" localSheetId="3">#REF!</definedName>
    <definedName name="Bank7">#REF!</definedName>
    <definedName name="Bank8" localSheetId="3">#REF!</definedName>
    <definedName name="Bank8">#REF!</definedName>
    <definedName name="Bank9" localSheetId="3">#REF!</definedName>
    <definedName name="Bank9">#REF!</definedName>
    <definedName name="BankAccNo" localSheetId="3">#REF!</definedName>
    <definedName name="BankAccNo">#REF!</definedName>
    <definedName name="BankArrear" localSheetId="3">#REF!</definedName>
    <definedName name="BankArrear">#REF!</definedName>
    <definedName name="BankArrear0" localSheetId="3">#REF!</definedName>
    <definedName name="BankArrear0">#REF!</definedName>
    <definedName name="BankArrear1" localSheetId="3">#REF!</definedName>
    <definedName name="BankArrear1">#REF!</definedName>
    <definedName name="BankArrear2" localSheetId="3">#REF!</definedName>
    <definedName name="BankArrear2">#REF!</definedName>
    <definedName name="BankArrear3" localSheetId="3">#REF!</definedName>
    <definedName name="BankArrear3">#REF!</definedName>
    <definedName name="BankBonus" localSheetId="3">#REF!</definedName>
    <definedName name="BankBonus">#REF!</definedName>
    <definedName name="BankDA10" localSheetId="3">#REF!</definedName>
    <definedName name="BankDA10">#REF!</definedName>
    <definedName name="BankDA5" localSheetId="3">#REF!</definedName>
    <definedName name="BankDA5">#REF!</definedName>
    <definedName name="BankDA6" localSheetId="3">#REF!</definedName>
    <definedName name="BankDA6">#REF!</definedName>
    <definedName name="BankDA8" localSheetId="3">#REF!</definedName>
    <definedName name="BankDA8">#REF!</definedName>
    <definedName name="BankPL" localSheetId="3">#REF!</definedName>
    <definedName name="BankPL">#REF!</definedName>
    <definedName name="cmb_IncD.BankAccountType" localSheetId="3">#REF!</definedName>
    <definedName name="cmb_IncD.BankAccountType">#REF!</definedName>
    <definedName name="cmb_IncD.EcsRequired" localSheetId="3">#REF!</definedName>
    <definedName name="cmb_IncD.EcsRequired">#REF!</definedName>
    <definedName name="cmb_TDSal.StateCode" localSheetId="3">#REF!</definedName>
    <definedName name="cmb_TDSal.StateCode">#REF!</definedName>
    <definedName name="cmb_TDSoth.StateCode" localSheetId="3">#REF!</definedName>
    <definedName name="cmb_TDSoth.StateCode">#REF!</definedName>
    <definedName name="i_general" localSheetId="3">#REF!</definedName>
    <definedName name="i_general">#REF!</definedName>
    <definedName name="i_general2" localSheetId="3">#REF!</definedName>
    <definedName name="i_general2">#REF!</definedName>
    <definedName name="i_tds" localSheetId="3">#REF!</definedName>
    <definedName name="i_tds">#REF!</definedName>
    <definedName name="IncD.AdvanceTax" localSheetId="3">#REF!</definedName>
    <definedName name="IncD.AdvanceTax">#REF!</definedName>
    <definedName name="IncD.AggregateIncome" localSheetId="3">#REF!</definedName>
    <definedName name="IncD.AggregateIncome">#REF!</definedName>
    <definedName name="IncD.BalTaxPayable" localSheetId="3">#REF!</definedName>
    <definedName name="IncD.BalTaxPayable">#REF!</definedName>
    <definedName name="IncD.BankAccountNumber" localSheetId="3">#REF!</definedName>
    <definedName name="IncD.BankAccountNumber">#REF!</definedName>
    <definedName name="IncD.BankAccountType" localSheetId="3">#REF!</definedName>
    <definedName name="IncD.BankAccountType">#REF!</definedName>
    <definedName name="IncD.EcsRequired" localSheetId="3">#REF!</definedName>
    <definedName name="IncD.EcsRequired">#REF!</definedName>
    <definedName name="IncD.EducationCess" localSheetId="3">#REF!</definedName>
    <definedName name="IncD.EducationCess">#REF!</definedName>
    <definedName name="IncD.FamPension" localSheetId="3">#REF!</definedName>
    <definedName name="IncD.FamPension">#REF!</definedName>
    <definedName name="IncD.GrossTaxLiability" localSheetId="3">#REF!</definedName>
    <definedName name="IncD.GrossTaxLiability">#REF!</definedName>
    <definedName name="IncD.GrossTotIncome" localSheetId="3">#REF!</definedName>
    <definedName name="IncD.GrossTotIncome">#REF!</definedName>
    <definedName name="IncD.IncomeFromOS" localSheetId="3">#REF!</definedName>
    <definedName name="IncD.IncomeFromOS">#REF!</definedName>
    <definedName name="IncD.IncomeFromSal" localSheetId="3">#REF!</definedName>
    <definedName name="IncD.IncomeFromSal">#REF!</definedName>
    <definedName name="IncD.IndInterest" localSheetId="3">#REF!</definedName>
    <definedName name="IncD.IndInterest">#REF!</definedName>
    <definedName name="IncD.IntrstPayUs234A" localSheetId="3">#REF!</definedName>
    <definedName name="IncD.IntrstPayUs234A">#REF!</definedName>
    <definedName name="IncD.IntrstPayUs234B" localSheetId="3">#REF!</definedName>
    <definedName name="IncD.IntrstPayUs234B">#REF!</definedName>
    <definedName name="IncD.IntrstPayUs234C" localSheetId="3">#REF!</definedName>
    <definedName name="IncD.IntrstPayUs234C">#REF!</definedName>
    <definedName name="IncD.MICRCode" localSheetId="3">#REF!</definedName>
    <definedName name="IncD.MICRCode">#REF!</definedName>
    <definedName name="IncD.NetAgriculturalIncome" localSheetId="3">#REF!</definedName>
    <definedName name="IncD.NetAgriculturalIncome">#REF!</definedName>
    <definedName name="IncD.NetTaxLiability" localSheetId="3">#REF!</definedName>
    <definedName name="IncD.NetTaxLiability">#REF!</definedName>
    <definedName name="IncD.RebateOnAgriInc" localSheetId="3">#REF!</definedName>
    <definedName name="IncD.RebateOnAgriInc">#REF!</definedName>
    <definedName name="IncD.RefundDue" localSheetId="3">#REF!</definedName>
    <definedName name="IncD.RefundDue">#REF!</definedName>
    <definedName name="IncD.Section80C" localSheetId="3">#REF!</definedName>
    <definedName name="IncD.Section80C">#REF!</definedName>
    <definedName name="IncD.Section80CCC" localSheetId="3">#REF!</definedName>
    <definedName name="IncD.Section80CCC">#REF!</definedName>
    <definedName name="IncD.Section80CCD" localSheetId="3">#REF!</definedName>
    <definedName name="IncD.Section80CCD">#REF!</definedName>
    <definedName name="IncD.Section80D" localSheetId="3">#REF!</definedName>
    <definedName name="IncD.Section80D">#REF!</definedName>
    <definedName name="IncD.Section80DD" localSheetId="3">#REF!</definedName>
    <definedName name="IncD.Section80DD">#REF!</definedName>
    <definedName name="IncD.Section80DDB" localSheetId="3">#REF!</definedName>
    <definedName name="IncD.Section80DDB">#REF!</definedName>
    <definedName name="IncD.Section80E" localSheetId="3">#REF!</definedName>
    <definedName name="IncD.Section80E">#REF!</definedName>
    <definedName name="IncD.Section80G" localSheetId="3">#REF!</definedName>
    <definedName name="IncD.Section80G">#REF!</definedName>
    <definedName name="IncD.Section80GG" localSheetId="3">#REF!</definedName>
    <definedName name="IncD.Section80GG">#REF!</definedName>
    <definedName name="IncD.Section80GGA" localSheetId="3">#REF!</definedName>
    <definedName name="IncD.Section80GGA">#REF!</definedName>
    <definedName name="IncD.Section80GGC" localSheetId="3">#REF!</definedName>
    <definedName name="IncD.Section80GGC">#REF!</definedName>
    <definedName name="IncD.Section80U" localSheetId="3">#REF!</definedName>
    <definedName name="IncD.Section80U">#REF!</definedName>
    <definedName name="IncD.Section89" localSheetId="3">#REF!</definedName>
    <definedName name="IncD.Section89">#REF!</definedName>
    <definedName name="IncD.Section90and91" localSheetId="3">#REF!</definedName>
    <definedName name="IncD.Section90and91">#REF!</definedName>
    <definedName name="IncD.SelfAssessmentTax" localSheetId="3">#REF!</definedName>
    <definedName name="IncD.SelfAssessmentTax">#REF!</definedName>
    <definedName name="IncD.SurchargeOnTaxPayable" localSheetId="3">#REF!</definedName>
    <definedName name="IncD.SurchargeOnTaxPayable">#REF!</definedName>
    <definedName name="IncD.TaxOnAggregateInc" localSheetId="3">#REF!</definedName>
    <definedName name="IncD.TaxOnAggregateInc">#REF!</definedName>
    <definedName name="IncD.TDS" localSheetId="3">#REF!</definedName>
    <definedName name="IncD.TDS">#REF!</definedName>
    <definedName name="IncD.TotalChapVIADeductions" localSheetId="3">#REF!</definedName>
    <definedName name="IncD.TotalChapVIADeductions">#REF!</definedName>
    <definedName name="IncD.TotalIncome" localSheetId="3">#REF!</definedName>
    <definedName name="IncD.TotalIncome">#REF!</definedName>
    <definedName name="IncD.TotalIntrstPay" localSheetId="3">#REF!</definedName>
    <definedName name="IncD.TotalIntrstPay">#REF!</definedName>
    <definedName name="IncD.TotalTaxesPaid" localSheetId="3">#REF!</definedName>
    <definedName name="IncD.TotalTaxesPaid">#REF!</definedName>
    <definedName name="IncD.TotalTaxPayable" localSheetId="3">#REF!</definedName>
    <definedName name="IncD.TotalTaxPayable">#REF!</definedName>
    <definedName name="IncD.TotTaxPlusIntrstPay" localSheetId="3">#REF!</definedName>
    <definedName name="IncD.TotTaxPlusIntrstPay">#REF!</definedName>
    <definedName name="IT.Amt" localSheetId="3">#REF!</definedName>
    <definedName name="IT.Amt">#REF!</definedName>
    <definedName name="IT.FormulaOFS" localSheetId="3">#REF!</definedName>
    <definedName name="IT.FormulaOFS">#REF!</definedName>
    <definedName name="_xlnm.Print_Area" localSheetId="0">Salary!$C$4:$Z$36</definedName>
    <definedName name="_xlnm.Print_Area" localSheetId="3">'Tax New Regime'!$A$1:$P$64</definedName>
    <definedName name="_xlnm.Print_Area" localSheetId="2">'Tax Old Regime'!$A$1:$P$64</definedName>
    <definedName name="Sex" localSheetId="3">'Other Deduction'!#REF!</definedName>
    <definedName name="Sex">'Other Deduction'!#REF!</definedName>
    <definedName name="sheet1.CityOrTownOrDistrict" localSheetId="3">#REF!</definedName>
    <definedName name="sheet1.CityOrTownOrDistrict">#REF!</definedName>
    <definedName name="sheet1.DOB" localSheetId="3">#REF!</definedName>
    <definedName name="sheet1.DOB">#REF!</definedName>
    <definedName name="sheet1.EmployerCategory1" localSheetId="3">#REF!</definedName>
    <definedName name="sheet1.EmployerCategory1">#REF!</definedName>
    <definedName name="sheet1.FirstName" localSheetId="3">#REF!</definedName>
    <definedName name="sheet1.FirstName">#REF!</definedName>
    <definedName name="sheet1.Gender1" localSheetId="3">#REF!</definedName>
    <definedName name="sheet1.Gender1">#REF!</definedName>
    <definedName name="sheet1.LocalityOrArea" localSheetId="3">#REF!</definedName>
    <definedName name="sheet1.LocalityOrArea">#REF!</definedName>
    <definedName name="sheet1.MiddleName" localSheetId="3">#REF!</definedName>
    <definedName name="sheet1.MiddleName">#REF!</definedName>
    <definedName name="sheet1.newstcode" localSheetId="3">#REF!</definedName>
    <definedName name="sheet1.newstcode">#REF!</definedName>
    <definedName name="sheet1.OrigRetFiledDate" localSheetId="3">#REF!</definedName>
    <definedName name="sheet1.OrigRetFiledDate">#REF!</definedName>
    <definedName name="sheet1.PAN" localSheetId="3">#REF!</definedName>
    <definedName name="sheet1.PAN">#REF!</definedName>
    <definedName name="sheet1.PhoneNo" localSheetId="3">#REF!</definedName>
    <definedName name="sheet1.PhoneNo">#REF!</definedName>
    <definedName name="sheet1.PinCode" localSheetId="3">#REF!</definedName>
    <definedName name="sheet1.PinCode">#REF!</definedName>
    <definedName name="sheet1.ReceiptNo" localSheetId="3">#REF!</definedName>
    <definedName name="sheet1.ReceiptNo">#REF!</definedName>
    <definedName name="sheet1.ResidenceName" localSheetId="3">#REF!</definedName>
    <definedName name="sheet1.ResidenceName">#REF!</definedName>
    <definedName name="sheet1.ResidenceNo" localSheetId="3">#REF!</definedName>
    <definedName name="sheet1.ResidenceNo">#REF!</definedName>
    <definedName name="sheet1.ResidentialStatus" localSheetId="3">#REF!</definedName>
    <definedName name="sheet1.ResidentialStatus">#REF!</definedName>
    <definedName name="sheet1.ResidentialStatus1" localSheetId="3">#REF!</definedName>
    <definedName name="sheet1.ResidentialStatus1">#REF!</definedName>
    <definedName name="sheet1.ReturnFileSec" localSheetId="3">#REF!</definedName>
    <definedName name="sheet1.ReturnFileSec">#REF!</definedName>
    <definedName name="sheet1.ReturnFileSec1" localSheetId="3">#REF!</definedName>
    <definedName name="sheet1.ReturnFileSec1">#REF!</definedName>
    <definedName name="sheet1.ReturnType" localSheetId="3">#REF!</definedName>
    <definedName name="sheet1.ReturnType">#REF!</definedName>
    <definedName name="sheet1.ReturnType1" localSheetId="3">#REF!</definedName>
    <definedName name="sheet1.ReturnType1">#REF!</definedName>
    <definedName name="sheet1.RoadOrStreet" localSheetId="3">#REF!</definedName>
    <definedName name="sheet1.RoadOrStreet">#REF!</definedName>
    <definedName name="sheet1.StateCode" localSheetId="3">#REF!</definedName>
    <definedName name="sheet1.StateCode">#REF!</definedName>
    <definedName name="sheet1.StateCode1" localSheetId="3">#REF!</definedName>
    <definedName name="sheet1.StateCode1">#REF!</definedName>
    <definedName name="sheet1.Status" localSheetId="3">#REF!</definedName>
    <definedName name="sheet1.Status">#REF!</definedName>
    <definedName name="sheet1.Status1" localSheetId="3">#REF!</definedName>
    <definedName name="sheet1.Status1">#REF!</definedName>
    <definedName name="sheet1.STDcode" localSheetId="3">#REF!</definedName>
    <definedName name="sheet1.STDcode">#REF!</definedName>
    <definedName name="sheet1.SurNameOrOrgName" localSheetId="3">#REF!</definedName>
    <definedName name="sheet1.SurNameOrOrgName">#REF!</definedName>
    <definedName name="sheet1.SwVersionNo" localSheetId="3">#REF!</definedName>
    <definedName name="sheet1.SwVersionNo">#REF!</definedName>
    <definedName name="TaxP.Amt" localSheetId="3">#REF!</definedName>
    <definedName name="TaxP.Amt">#REF!</definedName>
    <definedName name="TaxP.BSRCode" localSheetId="3">#REF!</definedName>
    <definedName name="TaxP.BSRCode">#REF!</definedName>
    <definedName name="TaxP.DateDep" localSheetId="3">#REF!</definedName>
    <definedName name="TaxP.DateDep">#REF!</definedName>
    <definedName name="TaxP.NameOfBank" localSheetId="3">#REF!</definedName>
    <definedName name="TaxP.NameOfBank">#REF!</definedName>
    <definedName name="TaxP.NameOfBranch" localSheetId="3">#REF!</definedName>
    <definedName name="TaxP.NameOfBranch">#REF!</definedName>
    <definedName name="TaxP.SrlNoOfChaln" localSheetId="3">#REF!</definedName>
    <definedName name="TaxP.SrlNoOfChaln">#REF!</definedName>
    <definedName name="TDS_Sum" localSheetId="3">#REF!</definedName>
    <definedName name="TDS_Sum">#REF!</definedName>
    <definedName name="TDS1.TotalTDSSal" localSheetId="3">#REF!</definedName>
    <definedName name="TDS1.TotalTDSSal">#REF!</definedName>
    <definedName name="TDS2_sum" localSheetId="3">#REF!</definedName>
    <definedName name="TDS2_sum">#REF!</definedName>
    <definedName name="TDSal.AddrDetail" localSheetId="3">#REF!</definedName>
    <definedName name="TDSal.AddrDetail">#REF!</definedName>
    <definedName name="TDSal.CityOrTownOrDistrict" localSheetId="3">#REF!</definedName>
    <definedName name="TDSal.CityOrTownOrDistrict">#REF!</definedName>
    <definedName name="TDSal.DeductUnderChapVIA" localSheetId="3">#REF!</definedName>
    <definedName name="TDSal.DeductUnderChapVIA">#REF!</definedName>
    <definedName name="TDSal.EmployerOrDeductorOrCollecterName" localSheetId="3">#REF!</definedName>
    <definedName name="TDSal.EmployerOrDeductorOrCollecterName">#REF!</definedName>
    <definedName name="TDSal.IncChrgSal" localSheetId="3">#REF!</definedName>
    <definedName name="TDSal.IncChrgSal">#REF!</definedName>
    <definedName name="TDSal.PinCode" localSheetId="3">#REF!</definedName>
    <definedName name="TDSal.PinCode">#REF!</definedName>
    <definedName name="TDSal.StateCode" localSheetId="3">#REF!</definedName>
    <definedName name="TDSal.StateCode">#REF!</definedName>
    <definedName name="TDSal.TAN" localSheetId="3">#REF!</definedName>
    <definedName name="TDSal.TAN">#REF!</definedName>
    <definedName name="TDSal.TaxPayIncluSurchEdnCes" localSheetId="3">#REF!</definedName>
    <definedName name="TDSal.TaxPayIncluSurchEdnCes">#REF!</definedName>
    <definedName name="TDSal.TaxPayRefund" localSheetId="3">#REF!</definedName>
    <definedName name="TDSal.TaxPayRefund">#REF!</definedName>
    <definedName name="TDSal.TotalTDSSal" localSheetId="3">#REF!</definedName>
    <definedName name="TDSal.TotalTDSSal">#REF!</definedName>
    <definedName name="TDSoth.AddrDetail" localSheetId="3">#REF!</definedName>
    <definedName name="TDSoth.AddrDetail">#REF!</definedName>
    <definedName name="TDSoth.AmtPaid" localSheetId="3">#REF!</definedName>
    <definedName name="TDSoth.AmtPaid">#REF!</definedName>
    <definedName name="TDSoth.CityOrTownOrDistrict" localSheetId="3">#REF!</definedName>
    <definedName name="TDSoth.CityOrTownOrDistrict">#REF!</definedName>
    <definedName name="TDSoth.ClaimOutOfTotTDSOnAmtPaid" localSheetId="3">#REF!</definedName>
    <definedName name="TDSoth.ClaimOutOfTotTDSOnAmtPaid">#REF!</definedName>
    <definedName name="TDSoth.DatePayCred" localSheetId="3">#REF!</definedName>
    <definedName name="TDSoth.DatePayCred">#REF!</definedName>
    <definedName name="TDSoth.EmployerOrDeductorOrCollecterName" localSheetId="3">#REF!</definedName>
    <definedName name="TDSoth.EmployerOrDeductorOrCollecterName">#REF!</definedName>
    <definedName name="TDSoth.PinCode" localSheetId="3">#REF!</definedName>
    <definedName name="TDSoth.PinCode">#REF!</definedName>
    <definedName name="TDSoth.StateCode" localSheetId="3">#REF!</definedName>
    <definedName name="TDSoth.StateCode">#REF!</definedName>
    <definedName name="TDSoth.TAN" localSheetId="3">#REF!</definedName>
    <definedName name="TDSoth.TAN">#REF!</definedName>
    <definedName name="TDSoth.TotTDSOnAmtPaid" localSheetId="3">#REF!</definedName>
    <definedName name="TDSoth.TotTDSOnAmtPaid">#REF!</definedName>
    <definedName name="tp" localSheetId="3">#REF!</definedName>
    <definedName name="tp">#REF!</definedName>
    <definedName name="Ver.AssesseeVerName" localSheetId="3">#REF!</definedName>
    <definedName name="Ver.AssesseeVerName">#REF!</definedName>
    <definedName name="Ver.Date" localSheetId="3">#REF!</definedName>
    <definedName name="Ver.Date">#REF!</definedName>
    <definedName name="Ver.FatherName" localSheetId="3">#REF!</definedName>
    <definedName name="Ver.FatherName">#REF!</definedName>
    <definedName name="Ver.IdentificationNoOfTRP" localSheetId="3">#REF!</definedName>
    <definedName name="Ver.IdentificationNoOfTRP">#REF!</definedName>
    <definedName name="Ver.NameOfTRP" localSheetId="3">#REF!</definedName>
    <definedName name="Ver.NameOfTRP">#REF!</definedName>
    <definedName name="Ver.Place" localSheetId="3">#REF!</definedName>
    <definedName name="Ver.Place">#REF!</definedName>
    <definedName name="Ver.ReImbFrmGov" localSheetId="3">#REF!</definedName>
    <definedName name="Ver.ReImbFrmGov">#REF!</definedName>
    <definedName name="Z_01E6FF9C_BB30_4C32_9D09_6DB93F11503E_.wvu.Cols" localSheetId="1" hidden="1">'Other Deduction'!$G:$XFD</definedName>
    <definedName name="Z_01E6FF9C_BB30_4C32_9D09_6DB93F11503E_.wvu.Cols" localSheetId="0" hidden="1">Salary!$AA:$XFD</definedName>
    <definedName name="Z_01E6FF9C_BB30_4C32_9D09_6DB93F11503E_.wvu.Cols" localSheetId="3" hidden="1">'Tax New Regime'!$R:$XFD</definedName>
    <definedName name="Z_01E6FF9C_BB30_4C32_9D09_6DB93F11503E_.wvu.Cols" localSheetId="2" hidden="1">'Tax Old Regime'!$R:$XFD</definedName>
    <definedName name="Z_01E6FF9C_BB30_4C32_9D09_6DB93F11503E_.wvu.PrintArea" localSheetId="0" hidden="1">Salary!$C$4:$Z$34</definedName>
    <definedName name="Z_01E6FF9C_BB30_4C32_9D09_6DB93F11503E_.wvu.PrintArea" localSheetId="3" hidden="1">'Tax New Regime'!$A$1:$P$68</definedName>
    <definedName name="Z_01E6FF9C_BB30_4C32_9D09_6DB93F11503E_.wvu.PrintArea" localSheetId="2" hidden="1">'Tax Old Regime'!$A$1:$P$68</definedName>
    <definedName name="Z_01E6FF9C_BB30_4C32_9D09_6DB93F11503E_.wvu.Rows" localSheetId="1" hidden="1">'Other Deduction'!$560:$1048576,'Other Deduction'!$22:$559</definedName>
    <definedName name="Z_01E6FF9C_BB30_4C32_9D09_6DB93F11503E_.wvu.Rows" localSheetId="0" hidden="1">Salary!$947:$1048576,Salary!$35:$946</definedName>
    <definedName name="Z_01E6FF9C_BB30_4C32_9D09_6DB93F11503E_.wvu.Rows" localSheetId="3" hidden="1">'Tax New Regime'!$74:$1048576,'Tax New Regime'!$70:$73</definedName>
    <definedName name="Z_01E6FF9C_BB30_4C32_9D09_6DB93F11503E_.wvu.Rows" localSheetId="2" hidden="1">'Tax Old Regime'!$74:$1048576,'Tax Old Regime'!$70:$73</definedName>
    <definedName name="Z_483AFC7C_A53B_4837_A853_31CBC6C9ED1B_.wvu.Cols" localSheetId="1" hidden="1">'Other Deduction'!$G:$XFD</definedName>
    <definedName name="Z_483AFC7C_A53B_4837_A853_31CBC6C9ED1B_.wvu.Cols" localSheetId="0" hidden="1">Salary!$AA:$XFD</definedName>
    <definedName name="Z_483AFC7C_A53B_4837_A853_31CBC6C9ED1B_.wvu.Cols" localSheetId="3" hidden="1">'Tax New Regime'!$R:$XFD</definedName>
    <definedName name="Z_483AFC7C_A53B_4837_A853_31CBC6C9ED1B_.wvu.Cols" localSheetId="2" hidden="1">'Tax Old Regime'!$R:$XFD</definedName>
    <definedName name="Z_483AFC7C_A53B_4837_A853_31CBC6C9ED1B_.wvu.PrintArea" localSheetId="0" hidden="1">Salary!$C$4:$Z$34</definedName>
    <definedName name="Z_483AFC7C_A53B_4837_A853_31CBC6C9ED1B_.wvu.PrintArea" localSheetId="3" hidden="1">'Tax New Regime'!$A$1:$P$68</definedName>
    <definedName name="Z_483AFC7C_A53B_4837_A853_31CBC6C9ED1B_.wvu.PrintArea" localSheetId="2" hidden="1">'Tax Old Regime'!$A$1:$P$68</definedName>
    <definedName name="Z_483AFC7C_A53B_4837_A853_31CBC6C9ED1B_.wvu.Rows" localSheetId="1" hidden="1">'Other Deduction'!$560:$1048576,'Other Deduction'!$22:$559</definedName>
    <definedName name="Z_483AFC7C_A53B_4837_A853_31CBC6C9ED1B_.wvu.Rows" localSheetId="0" hidden="1">Salary!$947:$1048576,Salary!$35:$946</definedName>
    <definedName name="Z_483AFC7C_A53B_4837_A853_31CBC6C9ED1B_.wvu.Rows" localSheetId="3" hidden="1">'Tax New Regime'!$74:$1048576,'Tax New Regime'!$70:$73</definedName>
    <definedName name="Z_483AFC7C_A53B_4837_A853_31CBC6C9ED1B_.wvu.Rows" localSheetId="2" hidden="1">'Tax Old Regime'!$74:$1048576,'Tax Old Regime'!$70:$73</definedName>
  </definedNames>
  <calcPr calcId="12451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N61" i="4"/>
  <c r="L61"/>
  <c r="K61"/>
  <c r="I61"/>
  <c r="O61" s="1"/>
  <c r="E61"/>
  <c r="P58"/>
  <c r="P42"/>
  <c r="P41"/>
  <c r="P40"/>
  <c r="P39"/>
  <c r="P38"/>
  <c r="P37"/>
  <c r="P36"/>
  <c r="P35"/>
  <c r="H28"/>
  <c r="N27"/>
  <c r="H27"/>
  <c r="N26"/>
  <c r="H26"/>
  <c r="N25"/>
  <c r="H25"/>
  <c r="N24"/>
  <c r="H24"/>
  <c r="N23"/>
  <c r="H23"/>
  <c r="N22"/>
  <c r="H22"/>
  <c r="N21"/>
  <c r="H21"/>
  <c r="N20"/>
  <c r="H20"/>
  <c r="P16"/>
  <c r="J13"/>
  <c r="G13"/>
  <c r="D13"/>
  <c r="L13" s="1"/>
  <c r="P14" s="1"/>
  <c r="L11"/>
  <c r="L8"/>
  <c r="L7"/>
  <c r="O3"/>
  <c r="K3"/>
  <c r="D3"/>
  <c r="A1"/>
  <c r="O3" i="3"/>
  <c r="K3"/>
  <c r="D3"/>
  <c r="H22" i="2"/>
  <c r="N22" s="1"/>
  <c r="H21"/>
  <c r="O22"/>
  <c r="X22" s="1"/>
  <c r="O8"/>
  <c r="D14"/>
  <c r="D15"/>
  <c r="D16"/>
  <c r="D17"/>
  <c r="D18"/>
  <c r="D19"/>
  <c r="D20"/>
  <c r="D13"/>
  <c r="D11"/>
  <c r="D12" s="1"/>
  <c r="O10"/>
  <c r="O21"/>
  <c r="O9"/>
  <c r="N29" i="4" l="1"/>
  <c r="P9"/>
  <c r="I9" i="2"/>
  <c r="H24" i="3"/>
  <c r="A2" i="1"/>
  <c r="P32" i="3"/>
  <c r="P41" l="1"/>
  <c r="L8"/>
  <c r="N24" i="2" l="1"/>
  <c r="X24"/>
  <c r="X25"/>
  <c r="X26"/>
  <c r="X27"/>
  <c r="X28"/>
  <c r="N23"/>
  <c r="X23" l="1"/>
  <c r="I10"/>
  <c r="I11" s="1"/>
  <c r="I12" s="1"/>
  <c r="I13" s="1"/>
  <c r="I14" s="1"/>
  <c r="I15" s="1"/>
  <c r="I16" s="1"/>
  <c r="I17" s="1"/>
  <c r="I18" s="1"/>
  <c r="I19" s="1"/>
  <c r="I20" s="1"/>
  <c r="N21" i="3" l="1"/>
  <c r="N25"/>
  <c r="N27"/>
  <c r="N26"/>
  <c r="N24"/>
  <c r="N23"/>
  <c r="N22"/>
  <c r="N20"/>
  <c r="H9" i="2"/>
  <c r="N25"/>
  <c r="N26"/>
  <c r="N27"/>
  <c r="N28"/>
  <c r="P58" i="3" l="1"/>
  <c r="P39"/>
  <c r="P38"/>
  <c r="P37"/>
  <c r="P36"/>
  <c r="P35"/>
  <c r="P42"/>
  <c r="P40"/>
  <c r="P16"/>
  <c r="D10" i="2"/>
  <c r="W10"/>
  <c r="W11" s="1"/>
  <c r="W12" s="1"/>
  <c r="W13" s="1"/>
  <c r="W14" s="1"/>
  <c r="W15" s="1"/>
  <c r="W16" s="1"/>
  <c r="W17" s="1"/>
  <c r="J11"/>
  <c r="H10" l="1"/>
  <c r="N61" i="3"/>
  <c r="Y27" i="2"/>
  <c r="Y28"/>
  <c r="Y25"/>
  <c r="Y26"/>
  <c r="W29"/>
  <c r="S29"/>
  <c r="K10"/>
  <c r="K11" s="1"/>
  <c r="K12" s="1"/>
  <c r="K13" s="1"/>
  <c r="K14" s="1"/>
  <c r="K15" s="1"/>
  <c r="K16" s="1"/>
  <c r="K17" s="1"/>
  <c r="K18" s="1"/>
  <c r="K19" s="1"/>
  <c r="K20" s="1"/>
  <c r="K29" l="1"/>
  <c r="U10"/>
  <c r="T10"/>
  <c r="Y23" l="1"/>
  <c r="X9"/>
  <c r="P10" l="1"/>
  <c r="U11"/>
  <c r="T11"/>
  <c r="R10"/>
  <c r="Q10"/>
  <c r="L7" i="3"/>
  <c r="H27"/>
  <c r="H23"/>
  <c r="H22"/>
  <c r="J13"/>
  <c r="L11"/>
  <c r="D13" s="1"/>
  <c r="P5"/>
  <c r="A1"/>
  <c r="J12" i="2"/>
  <c r="J13" s="1"/>
  <c r="J14" s="1"/>
  <c r="J15" s="1"/>
  <c r="J16" s="1"/>
  <c r="J17" s="1"/>
  <c r="J18" s="1"/>
  <c r="J19" s="1"/>
  <c r="J20" s="1"/>
  <c r="J10"/>
  <c r="M10"/>
  <c r="L10"/>
  <c r="G10"/>
  <c r="F10"/>
  <c r="E10"/>
  <c r="E11"/>
  <c r="E12"/>
  <c r="E13"/>
  <c r="E14"/>
  <c r="E15"/>
  <c r="E16"/>
  <c r="E17"/>
  <c r="E18"/>
  <c r="E19"/>
  <c r="E20"/>
  <c r="J29" l="1"/>
  <c r="G11"/>
  <c r="G12" s="1"/>
  <c r="G13" s="1"/>
  <c r="G14" s="1"/>
  <c r="G15" s="1"/>
  <c r="G16" s="1"/>
  <c r="G17" s="1"/>
  <c r="G18" s="1"/>
  <c r="G19" s="1"/>
  <c r="G20" s="1"/>
  <c r="Q11"/>
  <c r="Q12" s="1"/>
  <c r="Q13" s="1"/>
  <c r="Q14" s="1"/>
  <c r="Q15" s="1"/>
  <c r="Q16" s="1"/>
  <c r="Q17" s="1"/>
  <c r="Q18" s="1"/>
  <c r="Q19" s="1"/>
  <c r="Q20" s="1"/>
  <c r="P11"/>
  <c r="P12" s="1"/>
  <c r="P13" s="1"/>
  <c r="P14" s="1"/>
  <c r="P15" s="1"/>
  <c r="P16" s="1"/>
  <c r="P17" s="1"/>
  <c r="P18" s="1"/>
  <c r="P19" s="1"/>
  <c r="P20" s="1"/>
  <c r="E29"/>
  <c r="F11"/>
  <c r="F12" s="1"/>
  <c r="F13" s="1"/>
  <c r="F14" s="1"/>
  <c r="F15" s="1"/>
  <c r="F16" s="1"/>
  <c r="F17" s="1"/>
  <c r="F18" s="1"/>
  <c r="F19" s="1"/>
  <c r="F20" s="1"/>
  <c r="L11"/>
  <c r="L12" s="1"/>
  <c r="L13" s="1"/>
  <c r="L14" s="1"/>
  <c r="L15" s="1"/>
  <c r="L16" s="1"/>
  <c r="L17" s="1"/>
  <c r="L18" s="1"/>
  <c r="L19" s="1"/>
  <c r="L20" s="1"/>
  <c r="R11"/>
  <c r="R12" s="1"/>
  <c r="R13" s="1"/>
  <c r="R14" s="1"/>
  <c r="R15" s="1"/>
  <c r="R16" s="1"/>
  <c r="R17" s="1"/>
  <c r="R18" s="1"/>
  <c r="R19" s="1"/>
  <c r="R20" s="1"/>
  <c r="P43" i="3"/>
  <c r="Y24" i="2"/>
  <c r="U12"/>
  <c r="U13" s="1"/>
  <c r="U14" s="1"/>
  <c r="U15" s="1"/>
  <c r="U16" s="1"/>
  <c r="U17" s="1"/>
  <c r="U18" s="1"/>
  <c r="U19" s="1"/>
  <c r="U20" s="1"/>
  <c r="T12"/>
  <c r="T13" s="1"/>
  <c r="T14" s="1"/>
  <c r="T15" s="1"/>
  <c r="T16" s="1"/>
  <c r="T17" s="1"/>
  <c r="T18" s="1"/>
  <c r="T19" s="1"/>
  <c r="T20" s="1"/>
  <c r="N9"/>
  <c r="M11"/>
  <c r="M12" s="1"/>
  <c r="M13" s="1"/>
  <c r="M14" s="1"/>
  <c r="M15" s="1"/>
  <c r="M16" s="1"/>
  <c r="M17" s="1"/>
  <c r="M18" s="1"/>
  <c r="M19" s="1"/>
  <c r="M20" s="1"/>
  <c r="H11" l="1"/>
  <c r="O11" s="1"/>
  <c r="V10"/>
  <c r="X10" s="1"/>
  <c r="L29"/>
  <c r="F29"/>
  <c r="Q29"/>
  <c r="R29"/>
  <c r="H21" i="3" s="1"/>
  <c r="T29" i="2"/>
  <c r="N10"/>
  <c r="U29"/>
  <c r="G13" i="3" s="1"/>
  <c r="M29" i="2"/>
  <c r="P29"/>
  <c r="H26" i="3" s="1"/>
  <c r="G29" i="2"/>
  <c r="H12" l="1"/>
  <c r="O12" s="1"/>
  <c r="V11"/>
  <c r="V12" s="1"/>
  <c r="H28" i="3"/>
  <c r="Y10" i="2"/>
  <c r="N11"/>
  <c r="L13" i="3"/>
  <c r="P14" s="1"/>
  <c r="X11" i="2" l="1"/>
  <c r="Y11" s="1"/>
  <c r="V13"/>
  <c r="N21"/>
  <c r="X21" s="1"/>
  <c r="X12"/>
  <c r="N12"/>
  <c r="V14" l="1"/>
  <c r="Y12"/>
  <c r="V15" l="1"/>
  <c r="V16" l="1"/>
  <c r="E61" i="3"/>
  <c r="V17" i="2" l="1"/>
  <c r="Y9"/>
  <c r="V18" l="1"/>
  <c r="V19" l="1"/>
  <c r="I61" i="3"/>
  <c r="Y22" i="2"/>
  <c r="V20" l="1"/>
  <c r="V29" s="1"/>
  <c r="F8" i="1" s="1"/>
  <c r="K61" i="3"/>
  <c r="I29" i="2"/>
  <c r="F19" i="1" s="1"/>
  <c r="L61" i="3" l="1"/>
  <c r="O61" s="1"/>
  <c r="Y21" i="2" l="1"/>
  <c r="H20" i="3" l="1"/>
  <c r="H25"/>
  <c r="N29" l="1"/>
  <c r="P30" s="1"/>
  <c r="F12" i="1" l="1"/>
  <c r="A20"/>
  <c r="D20"/>
  <c r="H13" i="2"/>
  <c r="N13"/>
  <c r="H14" l="1"/>
  <c r="O14" s="1"/>
  <c r="X14" s="1"/>
  <c r="O13"/>
  <c r="H15" l="1"/>
  <c r="N15" s="1"/>
  <c r="N14"/>
  <c r="X13"/>
  <c r="O15" l="1"/>
  <c r="X15" s="1"/>
  <c r="Y15" s="1"/>
  <c r="Y14"/>
  <c r="Y13"/>
  <c r="H16"/>
  <c r="O16" s="1"/>
  <c r="X16" s="1"/>
  <c r="N16" l="1"/>
  <c r="Y16" s="1"/>
  <c r="H17"/>
  <c r="O17" s="1"/>
  <c r="X17" s="1"/>
  <c r="N17" l="1"/>
  <c r="Y17" s="1"/>
  <c r="H18"/>
  <c r="O18" s="1"/>
  <c r="X18" l="1"/>
  <c r="N18"/>
  <c r="H19"/>
  <c r="O19" s="1"/>
  <c r="X19" s="1"/>
  <c r="D29"/>
  <c r="Y18" l="1"/>
  <c r="H20"/>
  <c r="H29" s="1"/>
  <c r="F4" i="1" s="1"/>
  <c r="F17" s="1"/>
  <c r="N19" i="2"/>
  <c r="Y19" s="1"/>
  <c r="N20" l="1"/>
  <c r="N29" s="1"/>
  <c r="O20"/>
  <c r="P4" i="3" l="1"/>
  <c r="P6" s="1"/>
  <c r="X20" i="2"/>
  <c r="O29"/>
  <c r="P4" i="4" l="1"/>
  <c r="P6" s="1"/>
  <c r="P10" s="1"/>
  <c r="P15" s="1"/>
  <c r="P17" s="1"/>
  <c r="P45" s="1"/>
  <c r="P46" s="1"/>
  <c r="P52" s="1"/>
  <c r="P31" i="3"/>
  <c r="P33" s="1"/>
  <c r="P44" s="1"/>
  <c r="P31" i="4"/>
  <c r="P33" s="1"/>
  <c r="P44" s="1"/>
  <c r="X29" i="2"/>
  <c r="Y20"/>
  <c r="Y29" s="1"/>
  <c r="L9" i="3"/>
  <c r="P9" s="1"/>
  <c r="P10" s="1"/>
  <c r="P15" s="1"/>
  <c r="P17" s="1"/>
  <c r="P45" s="1"/>
  <c r="P46" s="1"/>
  <c r="P50" s="1"/>
  <c r="P54" i="4" l="1"/>
  <c r="P50"/>
  <c r="P53" s="1"/>
  <c r="P55" s="1"/>
  <c r="P56" s="1"/>
  <c r="P57" s="1"/>
  <c r="P59" s="1"/>
  <c r="A62" s="1"/>
  <c r="P51"/>
  <c r="F6" i="1"/>
  <c r="P51" i="3"/>
  <c r="P52"/>
  <c r="P62" i="4" l="1"/>
  <c r="P53" i="3"/>
  <c r="P54" s="1"/>
  <c r="P55" l="1"/>
  <c r="P56" s="1"/>
  <c r="P57" s="1"/>
  <c r="P59" s="1"/>
  <c r="A62" l="1"/>
  <c r="A19" i="1" s="1"/>
  <c r="P62" i="3"/>
  <c r="D19" i="1" s="1"/>
</calcChain>
</file>

<file path=xl/sharedStrings.xml><?xml version="1.0" encoding="utf-8"?>
<sst xmlns="http://schemas.openxmlformats.org/spreadsheetml/2006/main" count="403" uniqueCount="186">
  <si>
    <t>PS Aarampura</t>
  </si>
  <si>
    <t>Basic Pay</t>
  </si>
  <si>
    <t>Dearness Pay</t>
  </si>
  <si>
    <t>UPS Pathraj Kala</t>
  </si>
  <si>
    <t>UPS Manda</t>
  </si>
  <si>
    <t>LIC</t>
  </si>
  <si>
    <t>UPS Ramsinghpura</t>
  </si>
  <si>
    <t>Month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</si>
  <si>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</si>
  <si>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</si>
  <si>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</si>
  <si>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</si>
  <si>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</si>
  <si>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</si>
  <si>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</si>
  <si>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</si>
  <si>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</si>
  <si>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PAN :</t>
  </si>
  <si>
    <t xml:space="preserve">                                                              'ks"k ¼2&amp;3½</t>
  </si>
  <si>
    <t>Nil</t>
  </si>
  <si>
    <t>2,50,001-5,00,000</t>
  </si>
  <si>
    <t>5,00,001-10,00,000</t>
  </si>
  <si>
    <t>TOTAL</t>
  </si>
  <si>
    <t>Signature of Employee</t>
  </si>
  <si>
    <t>Signature of DDO</t>
  </si>
  <si>
    <t>Tax Deposited</t>
  </si>
  <si>
    <t>Bonus</t>
  </si>
  <si>
    <t>Fixation Arrear</t>
  </si>
  <si>
    <t>Income Tax / TDS</t>
  </si>
  <si>
    <t>Leave  Pay</t>
  </si>
  <si>
    <t xml:space="preserve">Other </t>
  </si>
  <si>
    <t>HBA Interest</t>
  </si>
  <si>
    <t>HBA Premium</t>
  </si>
  <si>
    <t>Total
Deduction</t>
  </si>
  <si>
    <t>Gross  Salary</t>
  </si>
  <si>
    <t>Washing Allow.</t>
  </si>
  <si>
    <t>3,00,001-5,00,000</t>
  </si>
  <si>
    <t>Rebate Under Section
80C, 80CCC, 80CCD(1)</t>
  </si>
  <si>
    <t>Group Insurance  
Accidental</t>
  </si>
  <si>
    <t>No</t>
  </si>
  <si>
    <t>Other Allowance 2</t>
  </si>
  <si>
    <t>HRA</t>
  </si>
  <si>
    <t>Salary Arrear 1</t>
  </si>
  <si>
    <t>Salary Arrear 2</t>
  </si>
  <si>
    <t>Salary Arrear 3</t>
  </si>
  <si>
    <t>BASIC+D.A.</t>
  </si>
  <si>
    <t>Bill No. &amp; T.V. No.</t>
  </si>
  <si>
    <t>Yes</t>
  </si>
  <si>
    <t>Total</t>
  </si>
  <si>
    <t>Designation</t>
  </si>
  <si>
    <t>PAN NO.</t>
  </si>
  <si>
    <t>C.C.A.</t>
  </si>
  <si>
    <t>RECEIPTS</t>
  </si>
  <si>
    <t>DEDUCTIONS</t>
  </si>
  <si>
    <t>GIS</t>
  </si>
  <si>
    <t>Handicap Allow</t>
  </si>
  <si>
    <t>Other Deduction</t>
  </si>
  <si>
    <t>Net Cash Payment</t>
  </si>
  <si>
    <t xml:space="preserve">  Do You belong to the Senior Citizen Category (60-80 Age Group)</t>
  </si>
  <si>
    <t>LIC - Life Insurance</t>
  </si>
  <si>
    <t>NSC - National Savings Certificate</t>
  </si>
  <si>
    <t>Group Insurance</t>
  </si>
  <si>
    <t>ULIP / Annual Plan</t>
  </si>
  <si>
    <t>Contribution to Pension Plan (80CCC)</t>
  </si>
  <si>
    <t>Rs</t>
  </si>
  <si>
    <t>Interest paid on National Savings Certificate</t>
  </si>
  <si>
    <t>Tution Fees</t>
  </si>
  <si>
    <t>Equity Linked Savings Scheme</t>
  </si>
  <si>
    <t>Defferred Annuty</t>
  </si>
  <si>
    <t>PLI</t>
  </si>
  <si>
    <t>Other Deductions - (80C)</t>
  </si>
  <si>
    <t>Sukanya Samriddhi Yojana</t>
  </si>
  <si>
    <t>PPF -Public Provident Fund</t>
  </si>
  <si>
    <t>NSS -National Savings Scheme</t>
  </si>
  <si>
    <t>Maximum Deduction Amount Up to Rs 1.50 lakh</t>
  </si>
  <si>
    <t xml:space="preserve">Total (1 To 18)  </t>
  </si>
  <si>
    <t>Name</t>
  </si>
  <si>
    <t>Parmanand Meghwal</t>
  </si>
  <si>
    <t>House Rent, Under Section 10(13-A) and other Allowances Under Section 10(14) which are Exempt from tax.</t>
  </si>
  <si>
    <t xml:space="preserve">                                                           Remanent (4-5)</t>
  </si>
  <si>
    <t>(A) Income from House Property: (1) In Own Use - Nil</t>
  </si>
  <si>
    <t>(2) Rent Received is Rs.</t>
  </si>
  <si>
    <r>
      <t xml:space="preserve">Rent of </t>
    </r>
    <r>
      <rPr>
        <sz val="10"/>
        <rFont val="Calibri"/>
        <family val="2"/>
        <scheme val="minor"/>
      </rPr>
      <t>30%</t>
    </r>
  </si>
  <si>
    <t>(B) Subtract</t>
  </si>
  <si>
    <t>Interest of House Loan</t>
  </si>
  <si>
    <r>
      <rPr>
        <sz val="12"/>
        <rFont val="Calibri"/>
        <family val="2"/>
        <scheme val="minor"/>
      </rPr>
      <t>(i)   Entertainment Allowance 16(II) (Maximum limit Rs.5000)</t>
    </r>
    <r>
      <rPr>
        <sz val="12"/>
        <rFont val="DevLys 010"/>
      </rPr>
      <t xml:space="preserve">  </t>
    </r>
  </si>
  <si>
    <t>(ii)  Expenditure tax under section 16(III)</t>
  </si>
  <si>
    <t xml:space="preserve">(iii) Standard Deduction (Maximum limit Rs.50000)  </t>
  </si>
  <si>
    <t>House Tax</t>
  </si>
  <si>
    <t>Remainder -/+ (sum of 7(A) and 7(B)</t>
  </si>
  <si>
    <t>Total Balance -/+ (6 &amp; 7)</t>
  </si>
  <si>
    <t>Other Income</t>
  </si>
  <si>
    <t>Gross Income (8+9)</t>
  </si>
  <si>
    <t>Deduct Deduction Under Section US  - 80C, 80CCC,80CCD (1)</t>
  </si>
  <si>
    <t>Other Deductions</t>
  </si>
  <si>
    <t>1. Section 80D Medical Insurance Premium (Rs. 25000 for Self, Spouse and Children, Rs. 25000 for Parents, Rs. 50000 for Senior Citizen)</t>
  </si>
  <si>
    <t>Grand Total (1 to 8)</t>
  </si>
  <si>
    <r>
      <t xml:space="preserve">Total Deductions </t>
    </r>
    <r>
      <rPr>
        <b/>
        <sz val="10"/>
        <rFont val="Calibri"/>
        <family val="2"/>
        <scheme val="minor"/>
      </rPr>
      <t>( 11 + 12)</t>
    </r>
  </si>
  <si>
    <t>Taxable Income (10-13)</t>
  </si>
  <si>
    <r>
      <t xml:space="preserve">Rounding off the Amount of total Income (in Multiples of Ten) Section </t>
    </r>
    <r>
      <rPr>
        <b/>
        <sz val="11"/>
        <rFont val="Calibri"/>
        <family val="2"/>
        <scheme val="minor"/>
      </rPr>
      <t>288A</t>
    </r>
  </si>
  <si>
    <t>Calculation of income tax on the basis of column 15 above</t>
  </si>
  <si>
    <t>Senior Citizen (60 to 80 years)</t>
  </si>
  <si>
    <t>One Person Tax Payer</t>
  </si>
  <si>
    <t>80 years of age or Older</t>
  </si>
  <si>
    <t>Up to 2,50,000</t>
  </si>
  <si>
    <t>Up to 5,00,000</t>
  </si>
  <si>
    <t>Up to 3,00,000</t>
  </si>
  <si>
    <t xml:space="preserve">More Than 10,00,000 </t>
  </si>
  <si>
    <t>More Than 10,00,000</t>
  </si>
  <si>
    <t xml:space="preserve">(1) Total Incometax </t>
  </si>
  <si>
    <t>(2) Exemption section 87(I) (exemption of income tax on taxable income of Rs.2.50 lakh to Rs.5.00 lakh subject to a maximum of Rs.12500)</t>
  </si>
  <si>
    <t>(3) Balance Income Tax</t>
  </si>
  <si>
    <t>(4) Education cess 2% and surcharge for higher education 2% (Total 4%)</t>
  </si>
  <si>
    <t xml:space="preserve">                                                Total Incometax  (3+4)</t>
  </si>
  <si>
    <t>Subtract:- Relief under section 89</t>
  </si>
  <si>
    <t>Total Balance Income Tax</t>
  </si>
  <si>
    <t xml:space="preserve"> Details of Income Tax Deductions
</t>
  </si>
  <si>
    <t>Up to September 2022</t>
  </si>
  <si>
    <t>Up to December 2022</t>
  </si>
  <si>
    <t>Up to January 2023</t>
  </si>
  <si>
    <t>Up to February 2023</t>
  </si>
  <si>
    <t xml:space="preserve">T.D.S </t>
  </si>
  <si>
    <t>Total Tax Deduction</t>
  </si>
  <si>
    <t>Income Tax Computation Year 2022-2023 (Assessment Year 2023-2024)</t>
  </si>
  <si>
    <t xml:space="preserve">Signature of Employee </t>
  </si>
  <si>
    <t>1. House Rent</t>
  </si>
  <si>
    <t>7. Interest of House Loan</t>
  </si>
  <si>
    <t>5. House Tax</t>
  </si>
  <si>
    <t>4. Income from House Property</t>
  </si>
  <si>
    <t>8. LIC - Life Insurance (Other Than Salary)</t>
  </si>
  <si>
    <t>9. PLI</t>
  </si>
  <si>
    <t>11. ULIP / Annual Plan</t>
  </si>
  <si>
    <t>GPF -Public provident fund</t>
  </si>
  <si>
    <t>12. NSC - National Savings Certificate</t>
  </si>
  <si>
    <t>13. Interest of NSC</t>
  </si>
  <si>
    <t>14. PPF -Public Provident Fund</t>
  </si>
  <si>
    <t>15. NSS -National Savings Scheme</t>
  </si>
  <si>
    <t>16. Sukanya Samriddhi Yojana</t>
  </si>
  <si>
    <t>17. 80TTA/80TTB Maximum Interest on Savings Account</t>
  </si>
  <si>
    <t>10. Tution Fees</t>
  </si>
  <si>
    <t>18. Income Of Other Source (Bank FD, Interest etc)</t>
  </si>
  <si>
    <t>NPS (New Pension Scheme)</t>
  </si>
  <si>
    <t>21. 80CCD(1B) Additional Contribution in NPS - (Max. 50000)</t>
  </si>
  <si>
    <r>
      <rPr>
        <b/>
        <sz val="10"/>
        <rFont val="Calibri"/>
        <family val="2"/>
        <scheme val="minor"/>
      </rPr>
      <t xml:space="preserve">(A) - Maximum limit 1,50,000 </t>
    </r>
    <r>
      <rPr>
        <b/>
        <sz val="12"/>
        <rFont val="Calibri"/>
        <family val="2"/>
        <scheme val="minor"/>
      </rPr>
      <t>&amp; Under Section (</t>
    </r>
    <r>
      <rPr>
        <b/>
        <sz val="10"/>
        <rFont val="Calibri"/>
        <family val="2"/>
        <scheme val="minor"/>
      </rPr>
      <t>80CCE)</t>
    </r>
    <r>
      <rPr>
        <b/>
        <sz val="12"/>
        <rFont val="Calibri"/>
        <family val="2"/>
        <scheme val="minor"/>
      </rPr>
      <t xml:space="preserve"> Except</t>
    </r>
  </si>
  <si>
    <t>(B) Less - Section 80CCD(2) The Amount of Pension Contribution by the Employer (10% of the Maximum Salary) Separately exempted</t>
  </si>
  <si>
    <t>(C) Less - Section 80CCD (1B) Additional Contribution to New Pension Scheme (Maximum Rs.50,000)</t>
  </si>
  <si>
    <t xml:space="preserve">Total (A+B+C)     </t>
  </si>
  <si>
    <t>22. 80D Medical Insurance Premium</t>
  </si>
  <si>
    <t>23. 80DD Medical treatment of dependents with disabilities</t>
  </si>
  <si>
    <t>24. 80DDB Deduction for treatment of specific diseases</t>
  </si>
  <si>
    <t>25. 80E Interest on loan taken for higher education</t>
  </si>
  <si>
    <t>26. 80G Donations given to charitable institutions etc.</t>
  </si>
  <si>
    <t>27. 80U In case of permanent physical disability</t>
  </si>
  <si>
    <t>28. 80GGA Donations given for approved scientific, social, rural development etc.</t>
  </si>
  <si>
    <t>29. Equity Linked Savings Scheme</t>
  </si>
  <si>
    <t>30. Defferred Annuty</t>
  </si>
  <si>
    <t>31. Relief under section 89</t>
  </si>
  <si>
    <t>32. TDS - Income tax deposited in addition to salary bill</t>
  </si>
  <si>
    <t>Details of Deductions, Income/Deposits and Exemptions Other Than Salary</t>
  </si>
  <si>
    <t xml:space="preserve">2. Entertainment Allowance </t>
  </si>
  <si>
    <t>Receipt Required for House Rent Exemption</t>
  </si>
  <si>
    <t>8. Section 80GGA Donations given for Approved Scientific, Social, Rural Development etc.</t>
  </si>
  <si>
    <t>7. Section 80TTA Maximum Interest on Savings Account is Rs. 10,000 194(IA) 80 TTB Senior Citizen (Maximum Interest Rs.50000)</t>
  </si>
  <si>
    <t>6. Section 80U In case of Permanent Physical Disability (maximum 75,000 and 125,000 as per the 1995 Act)</t>
  </si>
  <si>
    <t>5. Section 80G Donations given to Charitable Institutions etc. (100 percent in A category and 50 percent in B category)</t>
  </si>
  <si>
    <t>4. Section 80E Interest on Loan taken for Higher Education</t>
  </si>
  <si>
    <t>3. Section 80DDB Deduction for Treatment of Specific Diseases (Maximum Rs.40,000, Rs.100,000 for Senior Citizen)</t>
  </si>
  <si>
    <t>2. Section 80DD Medical Treatment of dependents with Disabilities (maximum 75,000 and 80% or more disability 125,000)</t>
  </si>
  <si>
    <t>20. (80CCC) Contribution to Pension Plan - Other Than NPS</t>
  </si>
  <si>
    <t xml:space="preserve">19. 80C - Other Deductions In Under Section </t>
  </si>
  <si>
    <t>3. Expenditure tax under section 16(III)</t>
  </si>
  <si>
    <t>CREATED BY : PARMANAND MEGHWAL SENIOR TEACHER  (9784379510) , BARAN RAJASTHAN.</t>
  </si>
  <si>
    <t>DOWNLOD TAX SOFTWARE  -  RAJTEACHERS.NET</t>
  </si>
  <si>
    <t>PPF</t>
  </si>
  <si>
    <t>6. Home Loan Principal Amount</t>
  </si>
  <si>
    <t>HBA Premium -Home Loan Principal Amount</t>
  </si>
  <si>
    <t>Mobile Number</t>
  </si>
  <si>
    <t>Bank A/C Number</t>
  </si>
  <si>
    <t>Principal</t>
  </si>
  <si>
    <t>TAN NO.</t>
  </si>
  <si>
    <t>RAJTEACHERS.NET</t>
  </si>
  <si>
    <t xml:space="preserve">  Are You an Employee of The "NPS" Yes Or No -------------------Select Here</t>
  </si>
  <si>
    <t>DA Arrear 34%</t>
  </si>
  <si>
    <t>DA Arrear 38%</t>
  </si>
  <si>
    <t>GOVT. SENIOR SECONDARY SCHOOL, GORDHANPURA BARAN</t>
  </si>
  <si>
    <t>Total Income from Salary</t>
  </si>
</sst>
</file>

<file path=xl/styles.xml><?xml version="1.0" encoding="utf-8"?>
<styleSheet xmlns="http://schemas.openxmlformats.org/spreadsheetml/2006/main">
  <fonts count="72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b/>
      <u/>
      <sz val="2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sz val="16"/>
      <color theme="0"/>
      <name val="Calibri"/>
      <family val="2"/>
      <scheme val="minor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i/>
      <sz val="10"/>
      <name val="Calibri"/>
      <family val="2"/>
      <scheme val="minor"/>
    </font>
    <font>
      <sz val="10"/>
      <name val="Cambria"/>
      <family val="1"/>
      <scheme val="major"/>
    </font>
    <font>
      <sz val="10"/>
      <name val="Ccca"/>
    </font>
    <font>
      <i/>
      <sz val="10"/>
      <name val="Ccca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name val="Arial"/>
      <family val="2"/>
    </font>
    <font>
      <b/>
      <sz val="36"/>
      <color theme="0"/>
      <name val="Calibri"/>
      <family val="2"/>
      <scheme val="minor"/>
    </font>
    <font>
      <b/>
      <sz val="2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01">
    <xf numFmtId="0" fontId="0" fillId="0" borderId="0" xfId="0"/>
    <xf numFmtId="2" fontId="1" fillId="0" borderId="0" xfId="0" applyNumberFormat="1" applyFont="1" applyBorder="1" applyAlignment="1"/>
    <xf numFmtId="2" fontId="7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5" fillId="0" borderId="10" xfId="37" applyFont="1" applyBorder="1" applyAlignment="1">
      <alignment horizontal="right" vertical="center"/>
    </xf>
    <xf numFmtId="0" fontId="26" fillId="0" borderId="0" xfId="37" applyFont="1"/>
    <xf numFmtId="0" fontId="1" fillId="0" borderId="0" xfId="37" applyFont="1"/>
    <xf numFmtId="0" fontId="25" fillId="0" borderId="0" xfId="37" applyFont="1" applyAlignment="1">
      <alignment horizontal="right"/>
    </xf>
    <xf numFmtId="0" fontId="26" fillId="0" borderId="0" xfId="37" applyFont="1" applyAlignment="1">
      <alignment horizontal="right"/>
    </xf>
    <xf numFmtId="0" fontId="0" fillId="0" borderId="0" xfId="0" applyAlignment="1">
      <alignment vertical="center"/>
    </xf>
    <xf numFmtId="2" fontId="34" fillId="0" borderId="10" xfId="37" applyNumberFormat="1" applyFont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textRotation="90" wrapText="1"/>
    </xf>
    <xf numFmtId="0" fontId="32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textRotation="90"/>
    </xf>
    <xf numFmtId="0" fontId="31" fillId="0" borderId="10" xfId="37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2" fontId="30" fillId="0" borderId="21" xfId="37" applyNumberFormat="1" applyFont="1" applyBorder="1" applyAlignment="1">
      <alignment horizontal="right" vertical="center"/>
    </xf>
    <xf numFmtId="2" fontId="31" fillId="0" borderId="21" xfId="37" applyNumberFormat="1" applyFont="1" applyBorder="1" applyAlignment="1">
      <alignment horizontal="right" vertical="center"/>
    </xf>
    <xf numFmtId="2" fontId="33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1" fillId="0" borderId="21" xfId="37" applyNumberFormat="1" applyFont="1" applyBorder="1" applyAlignment="1">
      <alignment vertical="center"/>
    </xf>
    <xf numFmtId="2" fontId="31" fillId="0" borderId="29" xfId="37" applyNumberFormat="1" applyFont="1" applyBorder="1" applyAlignment="1">
      <alignment horizontal="right" vertical="center"/>
    </xf>
    <xf numFmtId="0" fontId="32" fillId="0" borderId="32" xfId="37" applyFont="1" applyBorder="1" applyAlignment="1">
      <alignment horizontal="right" vertical="center"/>
    </xf>
    <xf numFmtId="2" fontId="31" fillId="0" borderId="0" xfId="37" applyNumberFormat="1" applyFont="1" applyBorder="1" applyAlignment="1">
      <alignment horizontal="right" vertical="center"/>
    </xf>
    <xf numFmtId="0" fontId="32" fillId="0" borderId="10" xfId="0" applyNumberFormat="1" applyFont="1" applyBorder="1" applyAlignment="1" applyProtection="1">
      <alignment horizontal="center" vertical="center"/>
      <protection locked="0" hidden="1"/>
    </xf>
    <xf numFmtId="2" fontId="32" fillId="0" borderId="10" xfId="0" applyNumberFormat="1" applyFont="1" applyBorder="1" applyAlignment="1" applyProtection="1">
      <alignment horizontal="center" vertical="center"/>
      <protection locked="0" hidden="1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7" fillId="24" borderId="0" xfId="0" applyNumberFormat="1" applyFont="1" applyFill="1" applyBorder="1" applyAlignment="1">
      <alignment horizontal="left" indent="2"/>
    </xf>
    <xf numFmtId="0" fontId="27" fillId="26" borderId="0" xfId="0" applyNumberFormat="1" applyFont="1" applyFill="1" applyBorder="1" applyAlignment="1">
      <alignment vertical="top"/>
    </xf>
    <xf numFmtId="0" fontId="35" fillId="26" borderId="0" xfId="0" applyNumberFormat="1" applyFont="1" applyFill="1" applyBorder="1" applyAlignment="1">
      <alignment horizontal="center" textRotation="90" wrapText="1"/>
    </xf>
    <xf numFmtId="0" fontId="32" fillId="26" borderId="0" xfId="0" applyNumberFormat="1" applyFont="1" applyFill="1" applyBorder="1" applyAlignment="1">
      <alignment vertical="center"/>
    </xf>
    <xf numFmtId="0" fontId="35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1" fontId="31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2" fontId="7" fillId="24" borderId="17" xfId="0" applyNumberFormat="1" applyFont="1" applyFill="1" applyBorder="1" applyAlignment="1">
      <alignment horizontal="left"/>
    </xf>
    <xf numFmtId="2" fontId="7" fillId="24" borderId="17" xfId="0" applyNumberFormat="1" applyFont="1" applyFill="1" applyBorder="1" applyAlignment="1">
      <alignment horizontal="left" indent="2"/>
    </xf>
    <xf numFmtId="2" fontId="47" fillId="31" borderId="17" xfId="0" applyNumberFormat="1" applyFont="1" applyFill="1" applyBorder="1" applyAlignment="1">
      <alignment horizontal="center" vertical="center"/>
    </xf>
    <xf numFmtId="1" fontId="48" fillId="30" borderId="0" xfId="0" applyNumberFormat="1" applyFont="1" applyFill="1" applyBorder="1" applyAlignment="1">
      <alignment horizontal="center" vertical="center"/>
    </xf>
    <xf numFmtId="1" fontId="48" fillId="31" borderId="0" xfId="0" applyNumberFormat="1" applyFont="1" applyFill="1" applyBorder="1" applyAlignment="1">
      <alignment horizontal="center" vertical="center"/>
    </xf>
    <xf numFmtId="1" fontId="48" fillId="29" borderId="0" xfId="0" applyNumberFormat="1" applyFont="1" applyFill="1" applyBorder="1" applyAlignment="1">
      <alignment horizontal="center" vertical="center"/>
    </xf>
    <xf numFmtId="2" fontId="48" fillId="29" borderId="0" xfId="0" applyNumberFormat="1" applyFont="1" applyFill="1" applyBorder="1" applyAlignment="1">
      <alignment horizontal="center" vertical="center"/>
    </xf>
    <xf numFmtId="2" fontId="30" fillId="29" borderId="0" xfId="0" applyNumberFormat="1" applyFont="1" applyFill="1" applyBorder="1" applyAlignment="1" applyProtection="1">
      <alignment horizontal="center"/>
      <protection locked="0"/>
    </xf>
    <xf numFmtId="2" fontId="30" fillId="29" borderId="0" xfId="0" applyNumberFormat="1" applyFont="1" applyFill="1" applyBorder="1" applyAlignment="1" applyProtection="1">
      <alignment horizontal="left"/>
    </xf>
    <xf numFmtId="2" fontId="30" fillId="33" borderId="0" xfId="0" applyNumberFormat="1" applyFont="1" applyFill="1" applyBorder="1" applyAlignment="1" applyProtection="1">
      <alignment horizontal="center" vertical="center"/>
      <protection locked="0"/>
    </xf>
    <xf numFmtId="2" fontId="30" fillId="33" borderId="0" xfId="0" applyNumberFormat="1" applyFont="1" applyFill="1" applyBorder="1" applyAlignment="1" applyProtection="1">
      <alignment horizontal="left"/>
    </xf>
    <xf numFmtId="2" fontId="30" fillId="33" borderId="0" xfId="0" applyNumberFormat="1" applyFont="1" applyFill="1" applyBorder="1" applyAlignment="1" applyProtection="1">
      <alignment horizontal="center"/>
      <protection locked="0"/>
    </xf>
    <xf numFmtId="2" fontId="49" fillId="34" borderId="17" xfId="0" applyNumberFormat="1" applyFont="1" applyFill="1" applyBorder="1" applyAlignment="1">
      <alignment horizontal="center"/>
    </xf>
    <xf numFmtId="0" fontId="32" fillId="0" borderId="21" xfId="0" applyNumberFormat="1" applyFont="1" applyBorder="1" applyAlignment="1" applyProtection="1">
      <alignment horizontal="center" vertical="center"/>
      <protection locked="0" hidden="1"/>
    </xf>
    <xf numFmtId="0" fontId="35" fillId="0" borderId="27" xfId="0" applyNumberFormat="1" applyFont="1" applyBorder="1" applyAlignment="1">
      <alignment horizontal="center" vertical="center" textRotation="90"/>
    </xf>
    <xf numFmtId="0" fontId="42" fillId="0" borderId="28" xfId="0" applyNumberFormat="1" applyFont="1" applyBorder="1" applyAlignment="1" applyProtection="1">
      <alignment horizontal="center" vertical="center" textRotation="90"/>
      <protection hidden="1"/>
    </xf>
    <xf numFmtId="2" fontId="42" fillId="0" borderId="28" xfId="0" applyNumberFormat="1" applyFont="1" applyBorder="1" applyAlignment="1" applyProtection="1">
      <alignment horizontal="center" vertical="center" textRotation="90"/>
      <protection hidden="1"/>
    </xf>
    <xf numFmtId="0" fontId="35" fillId="0" borderId="29" xfId="0" applyNumberFormat="1" applyFont="1" applyBorder="1" applyAlignment="1" applyProtection="1">
      <alignment horizontal="center" vertical="center" textRotation="90"/>
      <protection hidden="1"/>
    </xf>
    <xf numFmtId="0" fontId="32" fillId="36" borderId="10" xfId="0" applyNumberFormat="1" applyFont="1" applyFill="1" applyBorder="1" applyAlignment="1" applyProtection="1">
      <alignment horizontal="center" vertical="center"/>
      <protection locked="0" hidden="1"/>
    </xf>
    <xf numFmtId="0" fontId="32" fillId="32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15" xfId="0" applyNumberFormat="1" applyFont="1" applyBorder="1" applyAlignment="1" applyProtection="1">
      <alignment horizontal="center" vertical="center"/>
      <protection locked="0" hidden="1"/>
    </xf>
    <xf numFmtId="0" fontId="32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44" fillId="0" borderId="10" xfId="37" applyFont="1" applyBorder="1" applyAlignment="1">
      <alignment horizontal="center" vertical="top" wrapText="1"/>
    </xf>
    <xf numFmtId="0" fontId="32" fillId="0" borderId="10" xfId="37" applyFont="1" applyBorder="1" applyAlignment="1">
      <alignment horizontal="left" vertical="top" wrapText="1"/>
    </xf>
    <xf numFmtId="2" fontId="54" fillId="0" borderId="10" xfId="37" applyNumberFormat="1" applyFont="1" applyBorder="1" applyAlignment="1">
      <alignment horizontal="center" vertical="top" wrapText="1"/>
    </xf>
    <xf numFmtId="2" fontId="54" fillId="25" borderId="10" xfId="37" applyNumberFormat="1" applyFont="1" applyFill="1" applyBorder="1" applyAlignment="1">
      <alignment horizontal="center" vertical="top" wrapText="1"/>
    </xf>
    <xf numFmtId="0" fontId="56" fillId="0" borderId="10" xfId="37" applyFont="1" applyBorder="1" applyAlignment="1">
      <alignment horizontal="center" vertical="top" wrapText="1"/>
    </xf>
    <xf numFmtId="0" fontId="56" fillId="0" borderId="10" xfId="37" applyFont="1" applyBorder="1" applyAlignment="1">
      <alignment horizontal="left" vertical="top" wrapText="1"/>
    </xf>
    <xf numFmtId="2" fontId="57" fillId="0" borderId="10" xfId="37" applyNumberFormat="1" applyFont="1" applyBorder="1" applyAlignment="1">
      <alignment horizontal="center" vertical="top" wrapText="1"/>
    </xf>
    <xf numFmtId="0" fontId="37" fillId="0" borderId="32" xfId="37" applyFont="1" applyBorder="1" applyAlignment="1">
      <alignment horizontal="left" vertical="center"/>
    </xf>
    <xf numFmtId="9" fontId="32" fillId="0" borderId="10" xfId="37" applyNumberFormat="1" applyFont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56" fillId="0" borderId="10" xfId="37" applyFont="1" applyBorder="1" applyAlignment="1">
      <alignment horizontal="left" vertical="top" wrapText="1"/>
    </xf>
    <xf numFmtId="0" fontId="30" fillId="0" borderId="10" xfId="37" applyFont="1" applyBorder="1" applyAlignment="1">
      <alignment horizontal="center" vertical="center" wrapText="1"/>
    </xf>
    <xf numFmtId="0" fontId="31" fillId="0" borderId="30" xfId="37" applyFont="1" applyBorder="1" applyAlignment="1">
      <alignment horizontal="center" vertical="center"/>
    </xf>
    <xf numFmtId="0" fontId="31" fillId="0" borderId="22" xfId="37" applyFont="1" applyBorder="1" applyAlignment="1">
      <alignment horizontal="center" vertical="center"/>
    </xf>
    <xf numFmtId="0" fontId="61" fillId="0" borderId="0" xfId="37" applyFont="1" applyBorder="1" applyAlignment="1">
      <alignment horizontal="right" vertical="center"/>
    </xf>
    <xf numFmtId="0" fontId="31" fillId="0" borderId="0" xfId="37" applyFont="1" applyBorder="1" applyAlignment="1">
      <alignment horizontal="right" vertical="center"/>
    </xf>
    <xf numFmtId="0" fontId="31" fillId="0" borderId="0" xfId="37" applyFont="1" applyBorder="1"/>
    <xf numFmtId="0" fontId="32" fillId="0" borderId="0" xfId="37" applyFont="1" applyBorder="1"/>
    <xf numFmtId="0" fontId="32" fillId="0" borderId="0" xfId="37" applyFont="1" applyBorder="1" applyAlignment="1">
      <alignment horizontal="right"/>
    </xf>
    <xf numFmtId="0" fontId="31" fillId="0" borderId="0" xfId="37" applyFont="1" applyFill="1" applyBorder="1"/>
    <xf numFmtId="0" fontId="31" fillId="0" borderId="0" xfId="37" applyFont="1" applyFill="1"/>
    <xf numFmtId="0" fontId="32" fillId="0" borderId="0" xfId="37" applyFont="1" applyFill="1" applyBorder="1"/>
    <xf numFmtId="0" fontId="32" fillId="0" borderId="0" xfId="37" applyFont="1" applyFill="1"/>
    <xf numFmtId="0" fontId="31" fillId="26" borderId="0" xfId="37" applyFont="1" applyFill="1"/>
    <xf numFmtId="0" fontId="32" fillId="26" borderId="0" xfId="37" applyFont="1" applyFill="1"/>
    <xf numFmtId="0" fontId="35" fillId="26" borderId="0" xfId="37" applyFont="1" applyFill="1" applyAlignment="1">
      <alignment horizontal="right"/>
    </xf>
    <xf numFmtId="0" fontId="32" fillId="26" borderId="0" xfId="37" applyFont="1" applyFill="1" applyAlignment="1">
      <alignment horizontal="right"/>
    </xf>
    <xf numFmtId="0" fontId="31" fillId="0" borderId="0" xfId="37" applyFont="1"/>
    <xf numFmtId="0" fontId="32" fillId="0" borderId="0" xfId="37" applyFont="1"/>
    <xf numFmtId="0" fontId="35" fillId="0" borderId="0" xfId="37" applyFont="1" applyAlignment="1">
      <alignment horizontal="right"/>
    </xf>
    <xf numFmtId="0" fontId="32" fillId="0" borderId="0" xfId="37" applyFont="1" applyAlignment="1">
      <alignment horizontal="right"/>
    </xf>
    <xf numFmtId="2" fontId="31" fillId="29" borderId="0" xfId="0" applyNumberFormat="1" applyFont="1" applyFill="1" applyBorder="1" applyAlignment="1">
      <alignment horizontal="left" indent="1"/>
    </xf>
    <xf numFmtId="2" fontId="31" fillId="33" borderId="0" xfId="0" applyNumberFormat="1" applyFont="1" applyFill="1" applyBorder="1" applyAlignment="1">
      <alignment horizontal="left" vertical="center" wrapText="1" indent="1"/>
    </xf>
    <xf numFmtId="2" fontId="31" fillId="33" borderId="0" xfId="0" applyNumberFormat="1" applyFont="1" applyFill="1" applyBorder="1" applyAlignment="1">
      <alignment horizontal="left" vertical="center" indent="1"/>
    </xf>
    <xf numFmtId="2" fontId="31" fillId="33" borderId="0" xfId="0" applyNumberFormat="1" applyFont="1" applyFill="1" applyBorder="1" applyAlignment="1">
      <alignment horizontal="left" indent="1"/>
    </xf>
    <xf numFmtId="2" fontId="31" fillId="29" borderId="0" xfId="0" applyNumberFormat="1" applyFont="1" applyFill="1" applyBorder="1" applyAlignment="1" applyProtection="1">
      <alignment horizontal="left" vertical="center" wrapText="1" indent="1"/>
    </xf>
    <xf numFmtId="0" fontId="31" fillId="0" borderId="24" xfId="37" applyFont="1" applyBorder="1" applyAlignment="1">
      <alignment horizontal="center" vertical="top"/>
    </xf>
    <xf numFmtId="2" fontId="32" fillId="33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 applyProtection="1">
      <alignment vertical="top"/>
      <protection locked="0" hidden="1"/>
    </xf>
    <xf numFmtId="0" fontId="27" fillId="0" borderId="0" xfId="0" applyNumberFormat="1" applyFont="1" applyFill="1" applyBorder="1" applyAlignment="1" applyProtection="1">
      <alignment vertical="top"/>
      <protection locked="0" hidden="1"/>
    </xf>
    <xf numFmtId="0" fontId="35" fillId="0" borderId="0" xfId="0" applyNumberFormat="1" applyFont="1" applyFill="1" applyBorder="1" applyAlignment="1" applyProtection="1">
      <alignment horizontal="center" textRotation="90" wrapText="1"/>
      <protection locked="0" hidden="1"/>
    </xf>
    <xf numFmtId="0" fontId="32" fillId="0" borderId="0" xfId="0" applyNumberFormat="1" applyFont="1" applyFill="1" applyBorder="1" applyAlignment="1" applyProtection="1">
      <alignment vertical="center"/>
      <protection locked="0" hidden="1"/>
    </xf>
    <xf numFmtId="0" fontId="35" fillId="0" borderId="0" xfId="0" applyNumberFormat="1" applyFont="1" applyFill="1" applyBorder="1" applyAlignment="1" applyProtection="1">
      <alignment horizontal="center" vertical="center" textRotation="90"/>
      <protection locked="0" hidden="1"/>
    </xf>
    <xf numFmtId="0" fontId="4" fillId="0" borderId="0" xfId="0" applyNumberFormat="1" applyFont="1" applyFill="1" applyBorder="1" applyAlignment="1" applyProtection="1">
      <alignment vertical="top" textRotation="90"/>
      <protection locked="0" hidden="1"/>
    </xf>
    <xf numFmtId="0" fontId="31" fillId="0" borderId="14" xfId="0" applyFont="1" applyBorder="1" applyAlignment="1" applyProtection="1">
      <alignment horizontal="center" vertical="center"/>
      <protection locked="0" hidden="1"/>
    </xf>
    <xf numFmtId="0" fontId="31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40" xfId="0" applyNumberFormat="1" applyFont="1" applyBorder="1" applyAlignment="1" applyProtection="1">
      <alignment horizontal="center" vertical="center"/>
      <protection locked="0" hidden="1"/>
    </xf>
    <xf numFmtId="0" fontId="31" fillId="0" borderId="10" xfId="37" applyFont="1" applyBorder="1" applyAlignment="1">
      <alignment horizontal="center" vertical="center"/>
    </xf>
    <xf numFmtId="0" fontId="31" fillId="0" borderId="24" xfId="37" applyFont="1" applyBorder="1" applyAlignment="1">
      <alignment horizontal="center" vertical="top"/>
    </xf>
    <xf numFmtId="0" fontId="32" fillId="0" borderId="10" xfId="37" applyFont="1" applyBorder="1" applyAlignment="1">
      <alignment horizontal="left" vertical="top" wrapText="1"/>
    </xf>
    <xf numFmtId="0" fontId="32" fillId="0" borderId="10" xfId="37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/>
    </xf>
    <xf numFmtId="0" fontId="56" fillId="0" borderId="10" xfId="37" applyFont="1" applyBorder="1" applyAlignment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69" fillId="0" borderId="10" xfId="0" applyNumberFormat="1" applyFont="1" applyFill="1" applyBorder="1" applyAlignment="1">
      <alignment horizontal="center" vertical="center"/>
    </xf>
    <xf numFmtId="0" fontId="51" fillId="39" borderId="0" xfId="0" applyNumberFormat="1" applyFont="1" applyFill="1" applyBorder="1" applyAlignment="1" applyProtection="1">
      <alignment vertical="center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38" fillId="0" borderId="10" xfId="0" applyNumberFormat="1" applyFont="1" applyFill="1" applyBorder="1" applyAlignment="1" applyProtection="1">
      <alignment horizontal="center" textRotation="90" wrapText="1"/>
      <protection locked="0" hidden="1"/>
    </xf>
    <xf numFmtId="0" fontId="40" fillId="0" borderId="10" xfId="0" applyNumberFormat="1" applyFont="1" applyFill="1" applyBorder="1" applyAlignment="1" applyProtection="1">
      <alignment horizontal="center" textRotation="90" wrapText="1"/>
      <protection locked="0" hidden="1"/>
    </xf>
    <xf numFmtId="17" fontId="37" fillId="0" borderId="25" xfId="0" applyNumberFormat="1" applyFont="1" applyBorder="1" applyAlignment="1" applyProtection="1">
      <alignment horizontal="center" vertical="center"/>
      <protection locked="0" hidden="1"/>
    </xf>
    <xf numFmtId="0" fontId="35" fillId="0" borderId="15" xfId="0" applyNumberFormat="1" applyFont="1" applyBorder="1" applyAlignment="1" applyProtection="1">
      <alignment horizontal="center" vertical="center"/>
      <protection locked="0" hidden="1"/>
    </xf>
    <xf numFmtId="0" fontId="32" fillId="0" borderId="15" xfId="0" applyNumberFormat="1" applyFont="1" applyFill="1" applyBorder="1" applyAlignment="1" applyProtection="1">
      <alignment vertical="center"/>
      <protection locked="0" hidden="1"/>
    </xf>
    <xf numFmtId="2" fontId="32" fillId="0" borderId="15" xfId="0" applyNumberFormat="1" applyFont="1" applyBorder="1" applyAlignment="1" applyProtection="1">
      <alignment horizontal="center" vertical="center"/>
      <protection locked="0" hidden="1"/>
    </xf>
    <xf numFmtId="2" fontId="35" fillId="0" borderId="15" xfId="0" applyNumberFormat="1" applyFont="1" applyBorder="1" applyAlignment="1" applyProtection="1">
      <alignment horizontal="center" vertical="center"/>
      <protection locked="0" hidden="1"/>
    </xf>
    <xf numFmtId="17" fontId="37" fillId="0" borderId="22" xfId="0" applyNumberFormat="1" applyFont="1" applyBorder="1" applyAlignment="1" applyProtection="1">
      <alignment horizontal="center" vertical="center"/>
      <protection locked="0" hidden="1"/>
    </xf>
    <xf numFmtId="0" fontId="35" fillId="0" borderId="10" xfId="0" applyNumberFormat="1" applyFont="1" applyBorder="1" applyAlignment="1" applyProtection="1">
      <alignment horizontal="center" vertical="center"/>
      <protection locked="0" hidden="1"/>
    </xf>
    <xf numFmtId="2" fontId="35" fillId="0" borderId="10" xfId="0" applyNumberFormat="1" applyFont="1" applyBorder="1" applyAlignment="1" applyProtection="1">
      <alignment horizontal="center" vertical="center"/>
      <protection locked="0" hidden="1"/>
    </xf>
    <xf numFmtId="17" fontId="32" fillId="0" borderId="22" xfId="0" applyNumberFormat="1" applyFont="1" applyBorder="1" applyAlignment="1" applyProtection="1">
      <alignment horizontal="center" vertical="center"/>
      <protection locked="0" hidden="1"/>
    </xf>
    <xf numFmtId="17" fontId="32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51" fillId="39" borderId="36" xfId="0" applyNumberFormat="1" applyFont="1" applyFill="1" applyBorder="1" applyAlignment="1" applyProtection="1">
      <alignment horizontal="center" vertical="top" wrapText="1"/>
    </xf>
    <xf numFmtId="0" fontId="51" fillId="39" borderId="0" xfId="0" applyNumberFormat="1" applyFont="1" applyFill="1" applyBorder="1" applyAlignment="1" applyProtection="1">
      <alignment horizontal="center" vertical="top" wrapText="1"/>
    </xf>
    <xf numFmtId="0" fontId="51" fillId="39" borderId="35" xfId="0" applyNumberFormat="1" applyFont="1" applyFill="1" applyBorder="1" applyAlignment="1" applyProtection="1">
      <alignment horizontal="center" vertical="top" wrapText="1"/>
    </xf>
    <xf numFmtId="0" fontId="70" fillId="27" borderId="0" xfId="0" applyNumberFormat="1" applyFont="1" applyFill="1" applyBorder="1" applyAlignment="1" applyProtection="1">
      <alignment horizontal="center" vertical="center"/>
    </xf>
    <xf numFmtId="0" fontId="71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5" xfId="0" applyNumberFormat="1" applyFont="1" applyBorder="1" applyAlignment="1" applyProtection="1">
      <alignment horizontal="center" vertical="center"/>
      <protection locked="0"/>
    </xf>
    <xf numFmtId="1" fontId="27" fillId="38" borderId="12" xfId="0" quotePrefix="1" applyNumberFormat="1" applyFont="1" applyFill="1" applyBorder="1" applyAlignment="1" applyProtection="1">
      <alignment horizontal="center" vertical="center"/>
      <protection locked="0"/>
    </xf>
    <xf numFmtId="1" fontId="27" fillId="38" borderId="14" xfId="0" quotePrefix="1" applyNumberFormat="1" applyFont="1" applyFill="1" applyBorder="1" applyAlignment="1" applyProtection="1">
      <alignment horizontal="center" vertical="center"/>
      <protection locked="0"/>
    </xf>
    <xf numFmtId="0" fontId="27" fillId="38" borderId="12" xfId="0" applyNumberFormat="1" applyFont="1" applyFill="1" applyBorder="1" applyAlignment="1" applyProtection="1">
      <alignment horizontal="center" vertical="center"/>
      <protection locked="0"/>
    </xf>
    <xf numFmtId="0" fontId="27" fillId="38" borderId="14" xfId="0" applyNumberFormat="1" applyFont="1" applyFill="1" applyBorder="1" applyAlignment="1" applyProtection="1">
      <alignment horizontal="center" vertical="center"/>
      <protection locked="0"/>
    </xf>
    <xf numFmtId="0" fontId="53" fillId="35" borderId="10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10" xfId="0" applyNumberFormat="1" applyFont="1" applyFill="1" applyBorder="1" applyAlignment="1" applyProtection="1">
      <alignment horizontal="center" textRotation="90" wrapText="1"/>
      <protection locked="0" hidden="1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38" borderId="12" xfId="0" applyNumberFormat="1" applyFont="1" applyFill="1" applyBorder="1" applyAlignment="1">
      <alignment horizontal="center" vertical="center"/>
    </xf>
    <xf numFmtId="0" fontId="27" fillId="38" borderId="13" xfId="0" applyNumberFormat="1" applyFont="1" applyFill="1" applyBorder="1" applyAlignment="1">
      <alignment horizontal="center" vertical="center"/>
    </xf>
    <xf numFmtId="0" fontId="27" fillId="38" borderId="14" xfId="0" applyNumberFormat="1" applyFont="1" applyFill="1" applyBorder="1" applyAlignment="1">
      <alignment horizontal="center" vertical="center"/>
    </xf>
    <xf numFmtId="0" fontId="27" fillId="38" borderId="17" xfId="0" applyNumberFormat="1" applyFont="1" applyFill="1" applyBorder="1" applyAlignment="1" applyProtection="1">
      <alignment horizontal="center" vertical="center"/>
      <protection locked="0"/>
    </xf>
    <xf numFmtId="0" fontId="27" fillId="38" borderId="11" xfId="0" applyNumberFormat="1" applyFont="1" applyFill="1" applyBorder="1" applyAlignment="1" applyProtection="1">
      <alignment horizontal="center" vertical="center"/>
      <protection locked="0"/>
    </xf>
    <xf numFmtId="0" fontId="27" fillId="38" borderId="10" xfId="0" applyNumberFormat="1" applyFont="1" applyFill="1" applyBorder="1" applyAlignment="1" applyProtection="1">
      <alignment horizontal="center" vertical="center"/>
      <protection locked="0"/>
    </xf>
    <xf numFmtId="0" fontId="27" fillId="38" borderId="12" xfId="0" applyNumberFormat="1" applyFont="1" applyFill="1" applyBorder="1" applyAlignment="1" applyProtection="1">
      <alignment horizontal="center" vertical="center"/>
    </xf>
    <xf numFmtId="0" fontId="27" fillId="38" borderId="14" xfId="0" applyNumberFormat="1" applyFont="1" applyFill="1" applyBorder="1" applyAlignment="1" applyProtection="1">
      <alignment horizontal="center" vertical="center"/>
    </xf>
    <xf numFmtId="0" fontId="27" fillId="38" borderId="13" xfId="0" applyNumberFormat="1" applyFont="1" applyFill="1" applyBorder="1" applyAlignment="1" applyProtection="1">
      <alignment horizontal="center" vertical="center"/>
      <protection locked="0"/>
    </xf>
    <xf numFmtId="1" fontId="27" fillId="38" borderId="12" xfId="0" applyNumberFormat="1" applyFont="1" applyFill="1" applyBorder="1" applyAlignment="1" applyProtection="1">
      <alignment horizontal="center" vertical="center"/>
      <protection locked="0"/>
    </xf>
    <xf numFmtId="1" fontId="27" fillId="38" borderId="13" xfId="0" applyNumberFormat="1" applyFont="1" applyFill="1" applyBorder="1" applyAlignment="1" applyProtection="1">
      <alignment horizontal="center" vertical="center"/>
      <protection locked="0"/>
    </xf>
    <xf numFmtId="1" fontId="27" fillId="38" borderId="14" xfId="0" applyNumberFormat="1" applyFont="1" applyFill="1" applyBorder="1" applyAlignment="1" applyProtection="1">
      <alignment horizontal="center" vertical="center"/>
      <protection locked="0"/>
    </xf>
    <xf numFmtId="0" fontId="68" fillId="37" borderId="12" xfId="0" applyNumberFormat="1" applyFont="1" applyFill="1" applyBorder="1" applyAlignment="1" applyProtection="1">
      <alignment horizontal="center" vertical="center"/>
    </xf>
    <xf numFmtId="0" fontId="68" fillId="37" borderId="13" xfId="0" applyNumberFormat="1" applyFont="1" applyFill="1" applyBorder="1" applyAlignment="1" applyProtection="1">
      <alignment horizontal="center" vertical="center"/>
    </xf>
    <xf numFmtId="0" fontId="68" fillId="37" borderId="14" xfId="0" applyNumberFormat="1" applyFont="1" applyFill="1" applyBorder="1" applyAlignment="1" applyProtection="1">
      <alignment horizontal="center" vertical="center"/>
    </xf>
    <xf numFmtId="0" fontId="27" fillId="38" borderId="18" xfId="0" applyNumberFormat="1" applyFont="1" applyFill="1" applyBorder="1" applyAlignment="1">
      <alignment horizontal="center" vertical="center"/>
    </xf>
    <xf numFmtId="0" fontId="27" fillId="38" borderId="16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top"/>
    </xf>
    <xf numFmtId="2" fontId="65" fillId="37" borderId="0" xfId="0" applyNumberFormat="1" applyFont="1" applyFill="1" applyBorder="1" applyAlignment="1">
      <alignment horizontal="center" vertical="center"/>
    </xf>
    <xf numFmtId="2" fontId="67" fillId="28" borderId="0" xfId="44" applyNumberFormat="1" applyFont="1" applyFill="1" applyBorder="1" applyAlignment="1" applyProtection="1">
      <alignment horizontal="center" vertical="center" wrapText="1"/>
    </xf>
    <xf numFmtId="2" fontId="66" fillId="28" borderId="0" xfId="0" applyNumberFormat="1" applyFont="1" applyFill="1" applyBorder="1" applyAlignment="1">
      <alignment horizontal="center" vertical="center"/>
    </xf>
    <xf numFmtId="2" fontId="63" fillId="32" borderId="0" xfId="0" applyNumberFormat="1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1" fontId="52" fillId="31" borderId="0" xfId="0" applyNumberFormat="1" applyFont="1" applyFill="1" applyBorder="1" applyAlignment="1">
      <alignment horizontal="center" vertical="center" wrapText="1"/>
    </xf>
    <xf numFmtId="1" fontId="64" fillId="30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right" indent="1"/>
    </xf>
    <xf numFmtId="2" fontId="7" fillId="24" borderId="17" xfId="0" applyNumberFormat="1" applyFont="1" applyFill="1" applyBorder="1" applyAlignment="1">
      <alignment horizontal="right" indent="1"/>
    </xf>
    <xf numFmtId="2" fontId="49" fillId="30" borderId="0" xfId="0" applyNumberFormat="1" applyFont="1" applyFill="1" applyBorder="1" applyAlignment="1">
      <alignment horizontal="center" vertical="center"/>
    </xf>
    <xf numFmtId="0" fontId="31" fillId="0" borderId="0" xfId="37" applyFont="1" applyBorder="1" applyAlignment="1">
      <alignment horizontal="center"/>
    </xf>
    <xf numFmtId="0" fontId="35" fillId="0" borderId="12" xfId="37" applyFont="1" applyBorder="1" applyAlignment="1">
      <alignment horizontal="left" vertical="center"/>
    </xf>
    <xf numFmtId="0" fontId="35" fillId="0" borderId="13" xfId="37" applyFont="1" applyBorder="1" applyAlignment="1">
      <alignment horizontal="left" vertical="center"/>
    </xf>
    <xf numFmtId="0" fontId="35" fillId="0" borderId="14" xfId="37" applyFont="1" applyBorder="1" applyAlignment="1">
      <alignment horizontal="left" vertical="center"/>
    </xf>
    <xf numFmtId="0" fontId="35" fillId="0" borderId="12" xfId="37" applyFont="1" applyBorder="1" applyAlignment="1">
      <alignment horizontal="left" vertical="center" wrapText="1"/>
    </xf>
    <xf numFmtId="0" fontId="35" fillId="0" borderId="13" xfId="37" applyFont="1" applyBorder="1" applyAlignment="1">
      <alignment horizontal="left" vertical="center" wrapText="1"/>
    </xf>
    <xf numFmtId="0" fontId="35" fillId="0" borderId="14" xfId="37" applyFont="1" applyBorder="1" applyAlignment="1">
      <alignment horizontal="left" vertical="center" wrapText="1"/>
    </xf>
    <xf numFmtId="0" fontId="58" fillId="0" borderId="12" xfId="37" applyFont="1" applyBorder="1" applyAlignment="1">
      <alignment horizontal="right" vertical="center"/>
    </xf>
    <xf numFmtId="0" fontId="58" fillId="0" borderId="13" xfId="37" applyFont="1" applyBorder="1" applyAlignment="1">
      <alignment horizontal="right" vertical="center"/>
    </xf>
    <xf numFmtId="0" fontId="58" fillId="0" borderId="14" xfId="37" applyFont="1" applyBorder="1" applyAlignment="1">
      <alignment horizontal="right" vertical="center"/>
    </xf>
    <xf numFmtId="0" fontId="32" fillId="0" borderId="12" xfId="37" applyFont="1" applyFill="1" applyBorder="1" applyAlignment="1">
      <alignment horizontal="left" vertical="top" wrapText="1"/>
    </xf>
    <xf numFmtId="0" fontId="32" fillId="0" borderId="13" xfId="37" applyFont="1" applyFill="1" applyBorder="1" applyAlignment="1">
      <alignment horizontal="left" vertical="top" wrapText="1"/>
    </xf>
    <xf numFmtId="0" fontId="32" fillId="0" borderId="14" xfId="37" applyFont="1" applyFill="1" applyBorder="1" applyAlignment="1">
      <alignment horizontal="left" vertical="top" wrapText="1"/>
    </xf>
    <xf numFmtId="0" fontId="31" fillId="0" borderId="22" xfId="37" applyFont="1" applyBorder="1" applyAlignment="1">
      <alignment horizontal="center" vertical="top"/>
    </xf>
    <xf numFmtId="0" fontId="31" fillId="0" borderId="10" xfId="37" applyFont="1" applyBorder="1" applyAlignment="1">
      <alignment horizontal="left" vertical="center"/>
    </xf>
    <xf numFmtId="0" fontId="31" fillId="0" borderId="10" xfId="37" applyFont="1" applyBorder="1" applyAlignment="1">
      <alignment horizontal="center" vertical="center"/>
    </xf>
    <xf numFmtId="2" fontId="31" fillId="0" borderId="12" xfId="37" applyNumberFormat="1" applyFont="1" applyBorder="1" applyAlignment="1">
      <alignment horizontal="center" vertical="center"/>
    </xf>
    <xf numFmtId="2" fontId="31" fillId="0" borderId="13" xfId="37" applyNumberFormat="1" applyFont="1" applyBorder="1" applyAlignment="1">
      <alignment horizontal="center" vertical="center"/>
    </xf>
    <xf numFmtId="2" fontId="31" fillId="0" borderId="14" xfId="37" applyNumberFormat="1" applyFont="1" applyBorder="1" applyAlignment="1">
      <alignment horizontal="center" vertical="center"/>
    </xf>
    <xf numFmtId="0" fontId="31" fillId="0" borderId="12" xfId="37" applyFont="1" applyBorder="1" applyAlignment="1">
      <alignment horizontal="center" vertical="center"/>
    </xf>
    <xf numFmtId="0" fontId="31" fillId="0" borderId="13" xfId="37" applyFont="1" applyBorder="1" applyAlignment="1">
      <alignment horizontal="center" vertical="center"/>
    </xf>
    <xf numFmtId="0" fontId="31" fillId="0" borderId="14" xfId="37" applyFont="1" applyBorder="1" applyAlignment="1">
      <alignment horizontal="center" vertical="center"/>
    </xf>
    <xf numFmtId="0" fontId="31" fillId="0" borderId="18" xfId="37" applyFont="1" applyBorder="1" applyAlignment="1">
      <alignment horizontal="left" vertical="center" wrapText="1"/>
    </xf>
    <xf numFmtId="0" fontId="31" fillId="0" borderId="19" xfId="37" applyFont="1" applyBorder="1" applyAlignment="1">
      <alignment horizontal="left" vertical="center" wrapText="1"/>
    </xf>
    <xf numFmtId="0" fontId="31" fillId="0" borderId="16" xfId="37" applyFont="1" applyBorder="1" applyAlignment="1">
      <alignment horizontal="left" vertical="center" wrapText="1"/>
    </xf>
    <xf numFmtId="0" fontId="31" fillId="0" borderId="20" xfId="37" applyFont="1" applyBorder="1" applyAlignment="1">
      <alignment horizontal="left" vertical="center" wrapText="1"/>
    </xf>
    <xf numFmtId="0" fontId="31" fillId="0" borderId="23" xfId="37" applyFont="1" applyBorder="1" applyAlignment="1">
      <alignment horizontal="center" vertical="top"/>
    </xf>
    <xf numFmtId="0" fontId="31" fillId="0" borderId="24" xfId="37" applyFont="1" applyBorder="1" applyAlignment="1">
      <alignment horizontal="center" vertical="top"/>
    </xf>
    <xf numFmtId="0" fontId="32" fillId="0" borderId="10" xfId="37" applyFont="1" applyBorder="1" applyAlignment="1">
      <alignment horizontal="left" vertical="top" wrapText="1"/>
    </xf>
    <xf numFmtId="0" fontId="26" fillId="0" borderId="10" xfId="37" applyFont="1" applyBorder="1" applyAlignment="1">
      <alignment horizontal="left" vertical="top" wrapText="1"/>
    </xf>
    <xf numFmtId="0" fontId="32" fillId="0" borderId="12" xfId="37" applyFont="1" applyBorder="1" applyAlignment="1">
      <alignment horizontal="left" vertical="top" wrapText="1"/>
    </xf>
    <xf numFmtId="0" fontId="26" fillId="0" borderId="13" xfId="37" applyFont="1" applyBorder="1" applyAlignment="1">
      <alignment horizontal="left" vertical="top" wrapText="1"/>
    </xf>
    <xf numFmtId="0" fontId="26" fillId="0" borderId="14" xfId="37" applyFont="1" applyBorder="1" applyAlignment="1">
      <alignment horizontal="left" vertical="top" wrapText="1"/>
    </xf>
    <xf numFmtId="0" fontId="26" fillId="0" borderId="13" xfId="37" applyFont="1" applyFill="1" applyBorder="1" applyAlignment="1">
      <alignment horizontal="left" vertical="top" wrapText="1"/>
    </xf>
    <xf numFmtId="0" fontId="26" fillId="0" borderId="14" xfId="37" applyFont="1" applyFill="1" applyBorder="1" applyAlignment="1">
      <alignment horizontal="left" vertical="top" wrapText="1"/>
    </xf>
    <xf numFmtId="0" fontId="55" fillId="0" borderId="12" xfId="37" applyFont="1" applyFill="1" applyBorder="1" applyAlignment="1">
      <alignment horizontal="left" vertical="top" wrapText="1"/>
    </xf>
    <xf numFmtId="0" fontId="55" fillId="0" borderId="13" xfId="37" applyFont="1" applyFill="1" applyBorder="1" applyAlignment="1">
      <alignment horizontal="left" vertical="top" wrapText="1"/>
    </xf>
    <xf numFmtId="0" fontId="55" fillId="0" borderId="14" xfId="37" applyFont="1" applyFill="1" applyBorder="1" applyAlignment="1">
      <alignment horizontal="left" vertical="top" wrapText="1"/>
    </xf>
    <xf numFmtId="0" fontId="30" fillId="0" borderId="10" xfId="37" applyFont="1" applyBorder="1" applyAlignment="1">
      <alignment horizontal="left" vertical="center"/>
    </xf>
    <xf numFmtId="0" fontId="32" fillId="0" borderId="10" xfId="37" applyFont="1" applyBorder="1" applyAlignment="1">
      <alignment horizontal="center" vertical="center"/>
    </xf>
    <xf numFmtId="0" fontId="32" fillId="0" borderId="12" xfId="37" applyFont="1" applyBorder="1" applyAlignment="1">
      <alignment horizontal="center" vertical="center"/>
    </xf>
    <xf numFmtId="0" fontId="32" fillId="0" borderId="13" xfId="37" applyFont="1" applyBorder="1" applyAlignment="1">
      <alignment horizontal="center" vertical="center"/>
    </xf>
    <xf numFmtId="0" fontId="32" fillId="0" borderId="14" xfId="37" applyFont="1" applyBorder="1" applyAlignment="1">
      <alignment horizontal="center" vertical="center"/>
    </xf>
    <xf numFmtId="0" fontId="41" fillId="0" borderId="0" xfId="37" applyFont="1" applyFill="1" applyAlignment="1">
      <alignment horizontal="center"/>
    </xf>
    <xf numFmtId="2" fontId="31" fillId="0" borderId="10" xfId="37" applyNumberFormat="1" applyFont="1" applyBorder="1" applyAlignment="1">
      <alignment horizontal="center" vertical="center"/>
    </xf>
    <xf numFmtId="0" fontId="26" fillId="0" borderId="10" xfId="37" applyFont="1" applyBorder="1" applyAlignment="1">
      <alignment horizontal="center" vertical="center"/>
    </xf>
    <xf numFmtId="0" fontId="26" fillId="0" borderId="21" xfId="37" applyFont="1" applyBorder="1" applyAlignment="1">
      <alignment horizontal="center" vertical="center"/>
    </xf>
    <xf numFmtId="0" fontId="37" fillId="0" borderId="12" xfId="37" applyFont="1" applyBorder="1" applyAlignment="1">
      <alignment horizontal="center" vertical="top" wrapText="1"/>
    </xf>
    <xf numFmtId="0" fontId="37" fillId="0" borderId="13" xfId="37" applyFont="1" applyBorder="1" applyAlignment="1">
      <alignment horizontal="center" vertical="top" wrapText="1"/>
    </xf>
    <xf numFmtId="0" fontId="37" fillId="0" borderId="14" xfId="37" applyFont="1" applyBorder="1" applyAlignment="1">
      <alignment horizontal="center" vertical="top" wrapText="1"/>
    </xf>
    <xf numFmtId="0" fontId="31" fillId="0" borderId="12" xfId="37" applyFont="1" applyBorder="1" applyAlignment="1">
      <alignment horizontal="right" vertical="center"/>
    </xf>
    <xf numFmtId="0" fontId="31" fillId="0" borderId="13" xfId="37" applyFont="1" applyBorder="1" applyAlignment="1">
      <alignment horizontal="right" vertical="center"/>
    </xf>
    <xf numFmtId="0" fontId="31" fillId="0" borderId="14" xfId="37" applyFont="1" applyBorder="1" applyAlignment="1">
      <alignment horizontal="right" vertical="center"/>
    </xf>
    <xf numFmtId="9" fontId="32" fillId="0" borderId="10" xfId="37" applyNumberFormat="1" applyFont="1" applyBorder="1" applyAlignment="1">
      <alignment horizontal="center" vertical="center"/>
    </xf>
    <xf numFmtId="0" fontId="30" fillId="0" borderId="21" xfId="37" applyFont="1" applyBorder="1" applyAlignment="1">
      <alignment horizontal="left" vertical="center"/>
    </xf>
    <xf numFmtId="0" fontId="30" fillId="0" borderId="12" xfId="37" applyFont="1" applyBorder="1" applyAlignment="1">
      <alignment horizontal="right" vertical="center"/>
    </xf>
    <xf numFmtId="0" fontId="30" fillId="0" borderId="13" xfId="37" applyFont="1" applyBorder="1" applyAlignment="1">
      <alignment horizontal="right" vertical="center"/>
    </xf>
    <xf numFmtId="0" fontId="30" fillId="0" borderId="14" xfId="37" applyFont="1" applyBorder="1" applyAlignment="1">
      <alignment horizontal="right" vertical="center"/>
    </xf>
    <xf numFmtId="0" fontId="56" fillId="0" borderId="10" xfId="37" applyFont="1" applyFill="1" applyBorder="1" applyAlignment="1">
      <alignment horizontal="left" vertical="top" wrapText="1"/>
    </xf>
    <xf numFmtId="0" fontId="39" fillId="0" borderId="0" xfId="37" applyFont="1" applyAlignment="1">
      <alignment horizontal="center" vertical="center"/>
    </xf>
    <xf numFmtId="0" fontId="60" fillId="0" borderId="0" xfId="37" applyFont="1" applyBorder="1" applyAlignment="1">
      <alignment horizontal="center" vertical="center"/>
    </xf>
    <xf numFmtId="0" fontId="31" fillId="0" borderId="31" xfId="37" applyFont="1" applyBorder="1" applyAlignment="1">
      <alignment horizontal="left" vertical="center"/>
    </xf>
    <xf numFmtId="0" fontId="31" fillId="0" borderId="32" xfId="37" applyFont="1" applyBorder="1" applyAlignment="1">
      <alignment horizontal="left" vertical="center"/>
    </xf>
    <xf numFmtId="0" fontId="29" fillId="0" borderId="33" xfId="37" applyFont="1" applyFill="1" applyBorder="1" applyAlignment="1">
      <alignment horizontal="center" vertical="center"/>
    </xf>
    <xf numFmtId="0" fontId="29" fillId="0" borderId="34" xfId="37" applyFont="1" applyFill="1" applyBorder="1" applyAlignment="1">
      <alignment horizontal="center" vertical="center"/>
    </xf>
    <xf numFmtId="0" fontId="31" fillId="0" borderId="15" xfId="37" applyFont="1" applyBorder="1" applyAlignment="1">
      <alignment horizontal="left" vertical="center"/>
    </xf>
    <xf numFmtId="0" fontId="37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right" vertical="center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27" fillId="0" borderId="12" xfId="37" applyFont="1" applyBorder="1" applyAlignment="1">
      <alignment horizontal="left" vertical="center"/>
    </xf>
    <xf numFmtId="0" fontId="35" fillId="0" borderId="32" xfId="38" applyFont="1" applyFill="1" applyBorder="1" applyAlignment="1">
      <alignment horizontal="left" vertical="center"/>
    </xf>
    <xf numFmtId="0" fontId="35" fillId="0" borderId="32" xfId="37" applyFont="1" applyFill="1" applyBorder="1" applyAlignment="1">
      <alignment horizontal="center" vertical="center"/>
    </xf>
    <xf numFmtId="0" fontId="31" fillId="0" borderId="25" xfId="37" applyFont="1" applyBorder="1" applyAlignment="1">
      <alignment horizontal="center" vertical="top"/>
    </xf>
    <xf numFmtId="0" fontId="31" fillId="0" borderId="12" xfId="37" applyFont="1" applyBorder="1" applyAlignment="1">
      <alignment horizontal="left" vertical="center"/>
    </xf>
    <xf numFmtId="0" fontId="31" fillId="0" borderId="13" xfId="37" applyFont="1" applyBorder="1" applyAlignment="1">
      <alignment horizontal="left" vertical="center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56" fillId="0" borderId="10" xfId="37" applyFont="1" applyBorder="1" applyAlignment="1">
      <alignment horizontal="left" vertical="top" wrapText="1"/>
    </xf>
    <xf numFmtId="0" fontId="31" fillId="0" borderId="10" xfId="37" applyFont="1" applyBorder="1" applyAlignment="1">
      <alignment horizontal="right" vertical="center"/>
    </xf>
    <xf numFmtId="0" fontId="35" fillId="0" borderId="10" xfId="37" applyFont="1" applyBorder="1" applyAlignment="1">
      <alignment horizontal="left" vertical="center"/>
    </xf>
    <xf numFmtId="0" fontId="35" fillId="0" borderId="21" xfId="37" applyFont="1" applyBorder="1" applyAlignment="1">
      <alignment horizontal="left" vertical="center"/>
    </xf>
    <xf numFmtId="0" fontId="32" fillId="0" borderId="13" xfId="37" applyFont="1" applyBorder="1" applyAlignment="1">
      <alignment horizontal="left" vertical="top" wrapText="1"/>
    </xf>
    <xf numFmtId="0" fontId="32" fillId="0" borderId="14" xfId="37" applyFont="1" applyBorder="1" applyAlignment="1">
      <alignment horizontal="left" vertical="top" wrapText="1"/>
    </xf>
    <xf numFmtId="0" fontId="32" fillId="0" borderId="10" xfId="37" applyFont="1" applyBorder="1" applyAlignment="1">
      <alignment horizontal="left" vertical="center" wrapText="1"/>
    </xf>
    <xf numFmtId="0" fontId="32" fillId="0" borderId="12" xfId="37" applyFont="1" applyBorder="1" applyAlignment="1">
      <alignment horizontal="left" vertical="center" wrapText="1"/>
    </xf>
    <xf numFmtId="0" fontId="32" fillId="0" borderId="13" xfId="37" applyFont="1" applyBorder="1" applyAlignment="1">
      <alignment horizontal="left" vertical="center" wrapText="1"/>
    </xf>
    <xf numFmtId="0" fontId="32" fillId="0" borderId="14" xfId="37" applyFont="1" applyBorder="1" applyAlignment="1">
      <alignment horizontal="left" vertical="center" wrapText="1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wrapText="1"/>
    </xf>
    <xf numFmtId="2" fontId="31" fillId="0" borderId="12" xfId="37" applyNumberFormat="1" applyFont="1" applyBorder="1" applyAlignment="1">
      <alignment horizontal="right" vertical="center" wrapText="1"/>
    </xf>
    <xf numFmtId="2" fontId="31" fillId="0" borderId="26" xfId="37" applyNumberFormat="1" applyFont="1" applyBorder="1" applyAlignment="1">
      <alignment horizontal="right" vertical="center" wrapText="1"/>
    </xf>
    <xf numFmtId="0" fontId="28" fillId="0" borderId="27" xfId="37" applyFont="1" applyBorder="1" applyAlignment="1">
      <alignment horizontal="right" vertical="center"/>
    </xf>
    <xf numFmtId="0" fontId="28" fillId="0" borderId="28" xfId="37" applyFont="1" applyBorder="1" applyAlignment="1">
      <alignment horizontal="right" vertical="center"/>
    </xf>
    <xf numFmtId="0" fontId="31" fillId="0" borderId="14" xfId="37" applyFont="1" applyBorder="1" applyAlignment="1">
      <alignment horizontal="left" vertical="center"/>
    </xf>
    <xf numFmtId="0" fontId="59" fillId="0" borderId="10" xfId="37" applyFont="1" applyBorder="1" applyAlignment="1">
      <alignment horizontal="center" vertical="center" wrapText="1"/>
    </xf>
    <xf numFmtId="0" fontId="30" fillId="0" borderId="12" xfId="37" applyFont="1" applyBorder="1" applyAlignment="1">
      <alignment horizontal="center" vertical="center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8" xfId="37" applyFont="1" applyBorder="1" applyAlignment="1">
      <alignment horizontal="center" wrapText="1"/>
    </xf>
    <xf numFmtId="0" fontId="30" fillId="0" borderId="17" xfId="37" applyFont="1" applyBorder="1" applyAlignment="1">
      <alignment horizontal="center" wrapText="1"/>
    </xf>
    <xf numFmtId="0" fontId="30" fillId="0" borderId="19" xfId="37" applyFont="1" applyBorder="1" applyAlignment="1">
      <alignment horizontal="center" wrapText="1"/>
    </xf>
    <xf numFmtId="0" fontId="30" fillId="0" borderId="16" xfId="37" applyFont="1" applyBorder="1" applyAlignment="1">
      <alignment horizontal="center" wrapText="1"/>
    </xf>
    <xf numFmtId="0" fontId="30" fillId="0" borderId="11" xfId="37" applyFont="1" applyBorder="1" applyAlignment="1">
      <alignment horizontal="center" wrapText="1"/>
    </xf>
    <xf numFmtId="0" fontId="30" fillId="0" borderId="20" xfId="37" applyFont="1" applyBorder="1" applyAlignment="1">
      <alignment horizontal="center" wrapText="1"/>
    </xf>
    <xf numFmtId="0" fontId="36" fillId="0" borderId="0" xfId="37" applyFont="1" applyFill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left" vertical="center"/>
    </xf>
    <xf numFmtId="2" fontId="30" fillId="0" borderId="13" xfId="0" applyNumberFormat="1" applyFont="1" applyBorder="1" applyAlignment="1">
      <alignment horizontal="left" vertical="center"/>
    </xf>
    <xf numFmtId="2" fontId="30" fillId="0" borderId="14" xfId="0" applyNumberFormat="1" applyFont="1" applyBorder="1" applyAlignment="1">
      <alignment horizontal="left" vertical="center"/>
    </xf>
    <xf numFmtId="2" fontId="30" fillId="0" borderId="10" xfId="0" applyNumberFormat="1" applyFont="1" applyBorder="1" applyAlignment="1">
      <alignment horizontal="left" vertical="center"/>
    </xf>
    <xf numFmtId="2" fontId="30" fillId="0" borderId="12" xfId="0" applyNumberFormat="1" applyFont="1" applyBorder="1" applyAlignment="1">
      <alignment horizontal="right" vertical="center"/>
    </xf>
    <xf numFmtId="2" fontId="30" fillId="0" borderId="13" xfId="0" applyNumberFormat="1" applyFont="1" applyBorder="1" applyAlignment="1">
      <alignment horizontal="right" vertical="center"/>
    </xf>
    <xf numFmtId="2" fontId="30" fillId="0" borderId="14" xfId="0" applyNumberFormat="1" applyFont="1" applyBorder="1" applyAlignment="1">
      <alignment horizontal="right" vertical="center"/>
    </xf>
    <xf numFmtId="0" fontId="31" fillId="0" borderId="21" xfId="37" applyFont="1" applyBorder="1" applyAlignment="1">
      <alignment horizontal="left" vertical="center"/>
    </xf>
    <xf numFmtId="0" fontId="35" fillId="0" borderId="10" xfId="37" applyFont="1" applyBorder="1" applyAlignment="1">
      <alignment horizontal="center" vertical="center"/>
    </xf>
    <xf numFmtId="0" fontId="35" fillId="0" borderId="12" xfId="37" applyFont="1" applyBorder="1" applyAlignment="1">
      <alignment horizontal="center" vertical="center"/>
    </xf>
    <xf numFmtId="0" fontId="35" fillId="0" borderId="13" xfId="37" applyFont="1" applyBorder="1" applyAlignment="1">
      <alignment horizontal="center" vertical="center"/>
    </xf>
    <xf numFmtId="0" fontId="35" fillId="0" borderId="14" xfId="37" applyFont="1" applyBorder="1" applyAlignment="1">
      <alignment horizontal="center" vertical="center"/>
    </xf>
    <xf numFmtId="0" fontId="62" fillId="0" borderId="0" xfId="37" applyFont="1" applyFill="1" applyAlignment="1">
      <alignment horizontal="center" vertical="top" wrapText="1"/>
    </xf>
    <xf numFmtId="0" fontId="30" fillId="0" borderId="26" xfId="37" applyFont="1" applyBorder="1" applyAlignment="1">
      <alignment horizontal="center" vertical="center" wrapText="1"/>
    </xf>
    <xf numFmtId="0" fontId="51" fillId="39" borderId="12" xfId="0" applyNumberFormat="1" applyFont="1" applyFill="1" applyBorder="1" applyAlignment="1" applyProtection="1">
      <alignment horizontal="left" vertical="center"/>
      <protection locked="0" hidden="1"/>
    </xf>
    <xf numFmtId="0" fontId="51" fillId="39" borderId="13" xfId="0" applyNumberFormat="1" applyFont="1" applyFill="1" applyBorder="1" applyAlignment="1" applyProtection="1">
      <alignment horizontal="left" vertical="center"/>
      <protection locked="0" hidden="1"/>
    </xf>
    <xf numFmtId="0" fontId="51" fillId="39" borderId="14" xfId="0" applyNumberFormat="1" applyFont="1" applyFill="1" applyBorder="1" applyAlignment="1" applyProtection="1">
      <alignment horizontal="left" vertical="center"/>
      <protection locked="0" hidden="1"/>
    </xf>
    <xf numFmtId="0" fontId="65" fillId="39" borderId="10" xfId="0" applyNumberFormat="1" applyFont="1" applyFill="1" applyBorder="1" applyAlignment="1" applyProtection="1">
      <alignment horizontal="center" vertical="center"/>
      <protection locked="0" hidden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5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33CCCC"/>
      <color rgb="FFFFFF00"/>
      <color rgb="FF0000FF"/>
      <color rgb="FFFFCC99"/>
      <color rgb="FFCCFFCC"/>
      <color rgb="FF00FF00"/>
      <color rgb="FFFF99CC"/>
      <color rgb="FFFF66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289471</xdr:colOff>
      <xdr:row>1</xdr:row>
      <xdr:rowOff>100852</xdr:rowOff>
    </xdr:from>
    <xdr:to>
      <xdr:col>15</xdr:col>
      <xdr:colOff>459440</xdr:colOff>
      <xdr:row>1</xdr:row>
      <xdr:rowOff>323025</xdr:rowOff>
    </xdr:to>
    <xdr:sp macro="" textlink="">
      <xdr:nvSpPr>
        <xdr:cNvPr id="6" name="Right Arrow 5"/>
        <xdr:cNvSpPr/>
      </xdr:nvSpPr>
      <xdr:spPr>
        <a:xfrm>
          <a:off x="6463912" y="380999"/>
          <a:ext cx="752675" cy="222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14</xdr:col>
      <xdr:colOff>268941</xdr:colOff>
      <xdr:row>2</xdr:row>
      <xdr:rowOff>112059</xdr:rowOff>
    </xdr:from>
    <xdr:to>
      <xdr:col>15</xdr:col>
      <xdr:colOff>438910</xdr:colOff>
      <xdr:row>2</xdr:row>
      <xdr:rowOff>334232</xdr:rowOff>
    </xdr:to>
    <xdr:sp macro="" textlink="">
      <xdr:nvSpPr>
        <xdr:cNvPr id="9" name="Right Arrow 8"/>
        <xdr:cNvSpPr/>
      </xdr:nvSpPr>
      <xdr:spPr>
        <a:xfrm>
          <a:off x="6443382" y="750794"/>
          <a:ext cx="752675" cy="222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AF996"/>
  <sheetViews>
    <sheetView showGridLines="0" tabSelected="1" zoomScale="85" zoomScaleNormal="85" workbookViewId="0">
      <selection activeCell="Q2" sqref="Q2:R2"/>
    </sheetView>
  </sheetViews>
  <sheetFormatPr defaultColWidth="9.140625" defaultRowHeight="12.75" zeroHeight="1"/>
  <cols>
    <col min="1" max="1" width="1" style="31" customWidth="1" collapsed="1"/>
    <col min="2" max="2" width="11.7109375" style="6" hidden="1" customWidth="1" collapsed="1"/>
    <col min="3" max="3" width="14.5703125" style="6" customWidth="1" collapsed="1"/>
    <col min="4" max="4" width="9.42578125" style="6" customWidth="1" collapsed="1"/>
    <col min="5" max="7" width="5" style="6" customWidth="1" collapsed="1"/>
    <col min="8" max="8" width="8.85546875" style="6" customWidth="1" collapsed="1"/>
    <col min="9" max="9" width="9.42578125" style="6" customWidth="1" collapsed="1"/>
    <col min="10" max="10" width="5" style="6" customWidth="1" collapsed="1"/>
    <col min="11" max="13" width="6" style="6" customWidth="1" collapsed="1"/>
    <col min="14" max="14" width="11" style="6" customWidth="1" collapsed="1"/>
    <col min="15" max="15" width="8.7109375" style="6" customWidth="1" collapsed="1"/>
    <col min="16" max="16" width="8.5703125" style="6" customWidth="1" collapsed="1"/>
    <col min="17" max="17" width="8.85546875" style="6" customWidth="1" collapsed="1"/>
    <col min="18" max="18" width="8.28515625" style="6" customWidth="1" collapsed="1"/>
    <col min="19" max="19" width="6.42578125" style="6" bestFit="1" customWidth="1" collapsed="1"/>
    <col min="20" max="21" width="6" style="6" customWidth="1" collapsed="1"/>
    <col min="22" max="22" width="8.42578125" style="6" customWidth="1" collapsed="1"/>
    <col min="23" max="23" width="6" style="6" customWidth="1" collapsed="1"/>
    <col min="24" max="24" width="10.5703125" style="6" customWidth="1" collapsed="1"/>
    <col min="25" max="25" width="12.42578125" style="6" customWidth="1" collapsed="1"/>
    <col min="26" max="26" width="15" style="6" customWidth="1" collapsed="1"/>
    <col min="27" max="27" width="0.28515625" style="102" customWidth="1"/>
    <col min="28" max="30" width="0" style="6" hidden="1" customWidth="1"/>
    <col min="31" max="32" width="9.140625" style="6"/>
    <col min="33" max="16384" width="9.140625" style="6" collapsed="1"/>
  </cols>
  <sheetData>
    <row r="1" spans="1:29" ht="21.95" customHeight="1"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</row>
    <row r="2" spans="1:29" ht="28.5" customHeight="1">
      <c r="C2" s="297" t="s">
        <v>181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  <c r="Q2" s="300" t="s">
        <v>47</v>
      </c>
      <c r="R2" s="300"/>
      <c r="S2" s="119"/>
      <c r="T2" s="136" t="s">
        <v>180</v>
      </c>
      <c r="U2" s="136"/>
      <c r="V2" s="136"/>
      <c r="W2" s="136"/>
      <c r="X2" s="136"/>
      <c r="Y2" s="136"/>
      <c r="Z2" s="136"/>
      <c r="AA2" s="117"/>
      <c r="AB2" s="118" t="s">
        <v>47</v>
      </c>
      <c r="AC2" s="118" t="s">
        <v>47</v>
      </c>
    </row>
    <row r="3" spans="1:29" ht="30.75" customHeight="1">
      <c r="C3" s="297" t="s">
        <v>58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300" t="s">
        <v>47</v>
      </c>
      <c r="R3" s="300"/>
      <c r="S3" s="119"/>
      <c r="T3" s="136"/>
      <c r="U3" s="136"/>
      <c r="V3" s="136"/>
      <c r="W3" s="136"/>
      <c r="X3" s="136"/>
      <c r="Y3" s="136"/>
      <c r="Z3" s="136"/>
      <c r="AB3" s="118" t="s">
        <v>39</v>
      </c>
      <c r="AC3" s="118" t="s">
        <v>39</v>
      </c>
    </row>
    <row r="4" spans="1:29" ht="48" customHeight="1">
      <c r="C4" s="137" t="s">
        <v>184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39"/>
      <c r="U4" s="139"/>
      <c r="V4" s="139"/>
      <c r="W4" s="139"/>
      <c r="X4" s="139"/>
      <c r="Y4" s="139"/>
      <c r="Z4" s="139"/>
    </row>
    <row r="5" spans="1:29" ht="27" customHeight="1">
      <c r="C5" s="162" t="s">
        <v>76</v>
      </c>
      <c r="D5" s="150" t="s">
        <v>77</v>
      </c>
      <c r="E5" s="150"/>
      <c r="F5" s="150"/>
      <c r="G5" s="150"/>
      <c r="H5" s="150"/>
      <c r="I5" s="147" t="s">
        <v>49</v>
      </c>
      <c r="J5" s="148"/>
      <c r="K5" s="148"/>
      <c r="L5" s="149"/>
      <c r="M5" s="152" t="s">
        <v>178</v>
      </c>
      <c r="N5" s="152"/>
      <c r="O5" s="152"/>
      <c r="P5" s="152"/>
      <c r="Q5" s="153" t="s">
        <v>50</v>
      </c>
      <c r="R5" s="154"/>
      <c r="S5" s="142"/>
      <c r="T5" s="155"/>
      <c r="U5" s="143"/>
      <c r="V5" s="147" t="s">
        <v>177</v>
      </c>
      <c r="W5" s="148"/>
      <c r="X5" s="149"/>
      <c r="Y5" s="142"/>
      <c r="Z5" s="143"/>
    </row>
    <row r="6" spans="1:29" s="19" customFormat="1" ht="20.45" customHeight="1">
      <c r="A6" s="34"/>
      <c r="C6" s="163"/>
      <c r="D6" s="151"/>
      <c r="E6" s="151"/>
      <c r="F6" s="151"/>
      <c r="G6" s="151"/>
      <c r="H6" s="151"/>
      <c r="I6" s="159" t="s">
        <v>180</v>
      </c>
      <c r="J6" s="160"/>
      <c r="K6" s="160"/>
      <c r="L6" s="160"/>
      <c r="M6" s="160"/>
      <c r="N6" s="160"/>
      <c r="O6" s="160"/>
      <c r="P6" s="161"/>
      <c r="Q6" s="153" t="s">
        <v>179</v>
      </c>
      <c r="R6" s="154"/>
      <c r="S6" s="156"/>
      <c r="T6" s="157"/>
      <c r="U6" s="158"/>
      <c r="V6" s="147" t="s">
        <v>176</v>
      </c>
      <c r="W6" s="148"/>
      <c r="X6" s="149"/>
      <c r="Y6" s="140"/>
      <c r="Z6" s="141"/>
      <c r="AA6" s="103"/>
    </row>
    <row r="7" spans="1:29" s="19" customFormat="1" ht="22.5" customHeight="1">
      <c r="A7" s="34"/>
      <c r="C7" s="144" t="s">
        <v>52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 t="s">
        <v>53</v>
      </c>
      <c r="P7" s="144"/>
      <c r="Q7" s="144"/>
      <c r="R7" s="144"/>
      <c r="S7" s="144"/>
      <c r="T7" s="144"/>
      <c r="U7" s="144"/>
      <c r="V7" s="144"/>
      <c r="W7" s="144"/>
      <c r="X7" s="144"/>
      <c r="Y7" s="145" t="s">
        <v>57</v>
      </c>
      <c r="Z7" s="146" t="s">
        <v>46</v>
      </c>
      <c r="AA7" s="103"/>
    </row>
    <row r="8" spans="1:29" s="15" customFormat="1" ht="108.75" customHeight="1">
      <c r="A8" s="35"/>
      <c r="C8" s="120" t="s">
        <v>7</v>
      </c>
      <c r="D8" s="121" t="s">
        <v>1</v>
      </c>
      <c r="E8" s="121" t="s">
        <v>2</v>
      </c>
      <c r="F8" s="121" t="s">
        <v>29</v>
      </c>
      <c r="G8" s="121" t="s">
        <v>14</v>
      </c>
      <c r="H8" s="121" t="s">
        <v>15</v>
      </c>
      <c r="I8" s="121" t="s">
        <v>41</v>
      </c>
      <c r="J8" s="121" t="s">
        <v>35</v>
      </c>
      <c r="K8" s="121" t="s">
        <v>51</v>
      </c>
      <c r="L8" s="121" t="s">
        <v>55</v>
      </c>
      <c r="M8" s="121" t="s">
        <v>40</v>
      </c>
      <c r="N8" s="122" t="s">
        <v>34</v>
      </c>
      <c r="O8" s="121" t="str">
        <f>IF(Q2="No","GPF","NPS")</f>
        <v>NPS</v>
      </c>
      <c r="P8" s="121" t="s">
        <v>54</v>
      </c>
      <c r="Q8" s="121" t="s">
        <v>173</v>
      </c>
      <c r="R8" s="121" t="s">
        <v>5</v>
      </c>
      <c r="S8" s="121" t="s">
        <v>38</v>
      </c>
      <c r="T8" s="121" t="s">
        <v>32</v>
      </c>
      <c r="U8" s="121" t="s">
        <v>31</v>
      </c>
      <c r="V8" s="121" t="s">
        <v>28</v>
      </c>
      <c r="W8" s="121" t="s">
        <v>56</v>
      </c>
      <c r="X8" s="121" t="s">
        <v>33</v>
      </c>
      <c r="Y8" s="145"/>
      <c r="Z8" s="146"/>
      <c r="AA8" s="104"/>
    </row>
    <row r="9" spans="1:29" s="16" customFormat="1" ht="18.95" customHeight="1">
      <c r="A9" s="36"/>
      <c r="B9" s="16">
        <v>3</v>
      </c>
      <c r="C9" s="123">
        <v>44621</v>
      </c>
      <c r="D9" s="61">
        <v>60400</v>
      </c>
      <c r="E9" s="62">
        <v>0</v>
      </c>
      <c r="F9" s="62">
        <v>0</v>
      </c>
      <c r="G9" s="62">
        <v>0</v>
      </c>
      <c r="H9" s="62">
        <f>ROUND(31%*D9,0)</f>
        <v>18724</v>
      </c>
      <c r="I9" s="63">
        <f>D9*9%</f>
        <v>5436</v>
      </c>
      <c r="J9" s="62">
        <v>0</v>
      </c>
      <c r="K9" s="62">
        <v>0</v>
      </c>
      <c r="L9" s="62">
        <v>0</v>
      </c>
      <c r="M9" s="62">
        <v>0</v>
      </c>
      <c r="N9" s="124">
        <f>SUM(D9:M9)</f>
        <v>84560</v>
      </c>
      <c r="O9" s="62">
        <f>IF($Q$2="Yes",ROUND((D9+H9)*0.1,0),IF($Q$2="No",ROUND((D9)*0.1,0)))</f>
        <v>7912</v>
      </c>
      <c r="P9" s="62">
        <v>87</v>
      </c>
      <c r="Q9" s="62">
        <v>0</v>
      </c>
      <c r="R9" s="62">
        <v>0</v>
      </c>
      <c r="S9" s="62">
        <v>0</v>
      </c>
      <c r="T9" s="62"/>
      <c r="U9" s="62"/>
      <c r="V9" s="62">
        <v>5000</v>
      </c>
      <c r="W9" s="125"/>
      <c r="X9" s="126">
        <f t="shared" ref="X9:X28" si="0">SUM(O9:W9)</f>
        <v>12999</v>
      </c>
      <c r="Y9" s="127">
        <f t="shared" ref="Y9:Y28" si="1">N9-X9</f>
        <v>71561</v>
      </c>
      <c r="Z9" s="110"/>
      <c r="AA9" s="108"/>
    </row>
    <row r="10" spans="1:29" s="16" customFormat="1" ht="18.95" customHeight="1">
      <c r="A10" s="36"/>
      <c r="B10" s="16">
        <v>4</v>
      </c>
      <c r="C10" s="128">
        <v>44652</v>
      </c>
      <c r="D10" s="29">
        <f t="shared" ref="D10:D12" si="2">D9</f>
        <v>60400</v>
      </c>
      <c r="E10" s="29">
        <f>IF(E$9=0,0,ROUND(D10/2,0))</f>
        <v>0</v>
      </c>
      <c r="F10" s="29">
        <f t="shared" ref="F10:G15" si="3">IF(F$9=0,0,F9)</f>
        <v>0</v>
      </c>
      <c r="G10" s="29">
        <f t="shared" si="3"/>
        <v>0</v>
      </c>
      <c r="H10" s="29">
        <f t="shared" ref="H10:H12" si="4">ROUND(31%*D10,0)</f>
        <v>18724</v>
      </c>
      <c r="I10" s="60">
        <f>I9</f>
        <v>5436</v>
      </c>
      <c r="J10" s="29">
        <f t="shared" ref="J10:J20" si="5">IF(J$9=0,0,J9)</f>
        <v>0</v>
      </c>
      <c r="K10" s="29">
        <f t="shared" ref="K10:L20" si="6">IF(K$9=0,0,K9)</f>
        <v>0</v>
      </c>
      <c r="L10" s="29">
        <f t="shared" si="6"/>
        <v>0</v>
      </c>
      <c r="M10" s="29">
        <f t="shared" ref="M10:M20" si="7">IF(M$9=0,0,M9)</f>
        <v>0</v>
      </c>
      <c r="N10" s="129">
        <f t="shared" ref="N10:N28" si="8">SUM(D10:M10)</f>
        <v>84560</v>
      </c>
      <c r="O10" s="62">
        <f t="shared" ref="O10:O21" si="9">IF($Q$2="Yes",ROUND((D10+H10)*0.1,0),IF($Q$2="No",ROUND((D10)*0.1,0)))</f>
        <v>7912</v>
      </c>
      <c r="P10" s="29">
        <f>P9</f>
        <v>87</v>
      </c>
      <c r="Q10" s="29">
        <f>Q9</f>
        <v>0</v>
      </c>
      <c r="R10" s="29">
        <f>R9</f>
        <v>0</v>
      </c>
      <c r="S10" s="30"/>
      <c r="T10" s="29">
        <f t="shared" ref="T10:W20" si="10">T9</f>
        <v>0</v>
      </c>
      <c r="U10" s="29">
        <f t="shared" si="10"/>
        <v>0</v>
      </c>
      <c r="V10" s="29">
        <f>V9</f>
        <v>5000</v>
      </c>
      <c r="W10" s="29">
        <f t="shared" si="10"/>
        <v>0</v>
      </c>
      <c r="X10" s="30">
        <f t="shared" si="0"/>
        <v>12999</v>
      </c>
      <c r="Y10" s="130">
        <f t="shared" si="1"/>
        <v>71561</v>
      </c>
      <c r="Z10" s="55"/>
      <c r="AA10" s="108"/>
    </row>
    <row r="11" spans="1:29" s="16" customFormat="1" ht="18.95" customHeight="1">
      <c r="A11" s="36"/>
      <c r="B11" s="16">
        <v>5</v>
      </c>
      <c r="C11" s="128">
        <v>44682</v>
      </c>
      <c r="D11" s="29">
        <f t="shared" si="2"/>
        <v>60400</v>
      </c>
      <c r="E11" s="29">
        <f t="shared" ref="E11:E20" si="11">IF($E$9=0,0,ROUND(D11/2,0))</f>
        <v>0</v>
      </c>
      <c r="F11" s="29">
        <f t="shared" si="3"/>
        <v>0</v>
      </c>
      <c r="G11" s="29">
        <f t="shared" si="3"/>
        <v>0</v>
      </c>
      <c r="H11" s="29">
        <f t="shared" si="4"/>
        <v>18724</v>
      </c>
      <c r="I11" s="60">
        <f t="shared" ref="I11:I20" si="12">I10</f>
        <v>5436</v>
      </c>
      <c r="J11" s="29">
        <f t="shared" si="5"/>
        <v>0</v>
      </c>
      <c r="K11" s="29">
        <f t="shared" ref="K11" si="13">IF(K$9=0,0,K10)</f>
        <v>0</v>
      </c>
      <c r="L11" s="29">
        <f>IF(L$9=0,0,L10)</f>
        <v>0</v>
      </c>
      <c r="M11" s="29">
        <f t="shared" si="7"/>
        <v>0</v>
      </c>
      <c r="N11" s="129">
        <f t="shared" si="8"/>
        <v>84560</v>
      </c>
      <c r="O11" s="62">
        <f t="shared" si="9"/>
        <v>7912</v>
      </c>
      <c r="P11" s="29">
        <f t="shared" ref="P11:P20" si="14">P10</f>
        <v>87</v>
      </c>
      <c r="Q11" s="29">
        <f t="shared" ref="Q11:Q20" si="15">Q10</f>
        <v>0</v>
      </c>
      <c r="R11" s="29">
        <f t="shared" ref="R11:R20" si="16">R10</f>
        <v>0</v>
      </c>
      <c r="S11" s="29">
        <v>0</v>
      </c>
      <c r="T11" s="29">
        <f t="shared" si="10"/>
        <v>0</v>
      </c>
      <c r="U11" s="29">
        <f t="shared" si="10"/>
        <v>0</v>
      </c>
      <c r="V11" s="29">
        <f t="shared" si="10"/>
        <v>5000</v>
      </c>
      <c r="W11" s="29">
        <f t="shared" ref="W11" si="17">W10</f>
        <v>0</v>
      </c>
      <c r="X11" s="30">
        <f t="shared" si="0"/>
        <v>12999</v>
      </c>
      <c r="Y11" s="130">
        <f t="shared" si="1"/>
        <v>71561</v>
      </c>
      <c r="Z11" s="55"/>
      <c r="AA11" s="108"/>
    </row>
    <row r="12" spans="1:29" s="16" customFormat="1" ht="18.95" customHeight="1">
      <c r="A12" s="36"/>
      <c r="B12" s="16">
        <v>6</v>
      </c>
      <c r="C12" s="128">
        <v>44713</v>
      </c>
      <c r="D12" s="29">
        <f t="shared" si="2"/>
        <v>60400</v>
      </c>
      <c r="E12" s="29">
        <f t="shared" si="11"/>
        <v>0</v>
      </c>
      <c r="F12" s="29">
        <f t="shared" si="3"/>
        <v>0</v>
      </c>
      <c r="G12" s="29">
        <f t="shared" si="3"/>
        <v>0</v>
      </c>
      <c r="H12" s="29">
        <f t="shared" si="4"/>
        <v>18724</v>
      </c>
      <c r="I12" s="60">
        <f t="shared" si="12"/>
        <v>5436</v>
      </c>
      <c r="J12" s="29">
        <f t="shared" si="5"/>
        <v>0</v>
      </c>
      <c r="K12" s="29">
        <f t="shared" si="6"/>
        <v>0</v>
      </c>
      <c r="L12" s="29">
        <f t="shared" si="6"/>
        <v>0</v>
      </c>
      <c r="M12" s="29">
        <f t="shared" si="7"/>
        <v>0</v>
      </c>
      <c r="N12" s="129">
        <f t="shared" si="8"/>
        <v>84560</v>
      </c>
      <c r="O12" s="62">
        <f t="shared" si="9"/>
        <v>7912</v>
      </c>
      <c r="P12" s="29">
        <f t="shared" si="14"/>
        <v>87</v>
      </c>
      <c r="Q12" s="29">
        <f t="shared" si="15"/>
        <v>0</v>
      </c>
      <c r="R12" s="29">
        <f t="shared" si="16"/>
        <v>0</v>
      </c>
      <c r="S12" s="29">
        <v>0</v>
      </c>
      <c r="T12" s="29">
        <f t="shared" si="10"/>
        <v>0</v>
      </c>
      <c r="U12" s="29">
        <f t="shared" si="10"/>
        <v>0</v>
      </c>
      <c r="V12" s="29">
        <f t="shared" si="10"/>
        <v>5000</v>
      </c>
      <c r="W12" s="29">
        <f t="shared" ref="W12" si="18">W11</f>
        <v>0</v>
      </c>
      <c r="X12" s="30">
        <f t="shared" si="0"/>
        <v>12999</v>
      </c>
      <c r="Y12" s="130">
        <f t="shared" si="1"/>
        <v>71561</v>
      </c>
      <c r="Z12" s="55"/>
      <c r="AA12" s="108"/>
    </row>
    <row r="13" spans="1:29" s="16" customFormat="1" ht="18.95" customHeight="1">
      <c r="A13" s="36"/>
      <c r="B13" s="16">
        <v>7</v>
      </c>
      <c r="C13" s="128">
        <v>44743</v>
      </c>
      <c r="D13" s="29">
        <f>MROUND(ROUND(1.03*D9,0),100)</f>
        <v>62200</v>
      </c>
      <c r="E13" s="29">
        <f t="shared" si="11"/>
        <v>0</v>
      </c>
      <c r="F13" s="29">
        <f>IF(F$9=0,0,F12)</f>
        <v>0</v>
      </c>
      <c r="G13" s="29">
        <f>IF(G$9=0,0,G12)</f>
        <v>0</v>
      </c>
      <c r="H13" s="29">
        <f t="shared" ref="H13:H20" si="19">ROUND(34%*D13,0)</f>
        <v>21148</v>
      </c>
      <c r="I13" s="60">
        <f t="shared" si="12"/>
        <v>5436</v>
      </c>
      <c r="J13" s="29">
        <f>IF(J$9=0,0,J12)</f>
        <v>0</v>
      </c>
      <c r="K13" s="29">
        <f t="shared" ref="K13" si="20">IF(K$9=0,0,K12)</f>
        <v>0</v>
      </c>
      <c r="L13" s="29">
        <f>IF(L$9=0,0,L12)</f>
        <v>0</v>
      </c>
      <c r="M13" s="29">
        <f>IF(M$9=0,0,M12)</f>
        <v>0</v>
      </c>
      <c r="N13" s="129">
        <f t="shared" si="8"/>
        <v>88784</v>
      </c>
      <c r="O13" s="62">
        <f t="shared" si="9"/>
        <v>8335</v>
      </c>
      <c r="P13" s="29">
        <f>P12</f>
        <v>87</v>
      </c>
      <c r="Q13" s="29">
        <f>Q12</f>
        <v>0</v>
      </c>
      <c r="R13" s="29">
        <f>R12</f>
        <v>0</v>
      </c>
      <c r="S13" s="29">
        <v>0</v>
      </c>
      <c r="T13" s="29">
        <f>T12</f>
        <v>0</v>
      </c>
      <c r="U13" s="29">
        <f>U12</f>
        <v>0</v>
      </c>
      <c r="V13" s="29">
        <f t="shared" ref="V13:W20" si="21">V12</f>
        <v>5000</v>
      </c>
      <c r="W13" s="29">
        <f t="shared" si="21"/>
        <v>0</v>
      </c>
      <c r="X13" s="30">
        <f t="shared" si="0"/>
        <v>13422</v>
      </c>
      <c r="Y13" s="130">
        <f t="shared" si="1"/>
        <v>75362</v>
      </c>
      <c r="Z13" s="55"/>
      <c r="AA13" s="108"/>
    </row>
    <row r="14" spans="1:29" s="16" customFormat="1" ht="18.95" customHeight="1">
      <c r="A14" s="36"/>
      <c r="B14" s="16">
        <v>8</v>
      </c>
      <c r="C14" s="128">
        <v>44774</v>
      </c>
      <c r="D14" s="29">
        <f t="shared" ref="D14:D20" si="22">MROUND(ROUND(1.03*D10,0),100)</f>
        <v>62200</v>
      </c>
      <c r="E14" s="29">
        <f t="shared" si="11"/>
        <v>0</v>
      </c>
      <c r="F14" s="29">
        <f t="shared" si="3"/>
        <v>0</v>
      </c>
      <c r="G14" s="29">
        <f t="shared" si="3"/>
        <v>0</v>
      </c>
      <c r="H14" s="29">
        <f t="shared" si="19"/>
        <v>21148</v>
      </c>
      <c r="I14" s="60">
        <f t="shared" si="12"/>
        <v>5436</v>
      </c>
      <c r="J14" s="29">
        <f t="shared" si="5"/>
        <v>0</v>
      </c>
      <c r="K14" s="29">
        <f t="shared" si="6"/>
        <v>0</v>
      </c>
      <c r="L14" s="29">
        <f t="shared" si="6"/>
        <v>0</v>
      </c>
      <c r="M14" s="29">
        <f t="shared" si="7"/>
        <v>0</v>
      </c>
      <c r="N14" s="129">
        <f t="shared" si="8"/>
        <v>88784</v>
      </c>
      <c r="O14" s="62">
        <f t="shared" si="9"/>
        <v>8335</v>
      </c>
      <c r="P14" s="29">
        <f t="shared" si="14"/>
        <v>87</v>
      </c>
      <c r="Q14" s="29">
        <f t="shared" si="15"/>
        <v>0</v>
      </c>
      <c r="R14" s="29">
        <f t="shared" si="16"/>
        <v>0</v>
      </c>
      <c r="S14" s="29">
        <v>0</v>
      </c>
      <c r="T14" s="29">
        <f t="shared" si="10"/>
        <v>0</v>
      </c>
      <c r="U14" s="29">
        <f t="shared" si="10"/>
        <v>0</v>
      </c>
      <c r="V14" s="29">
        <f t="shared" si="21"/>
        <v>5000</v>
      </c>
      <c r="W14" s="29">
        <f t="shared" si="21"/>
        <v>0</v>
      </c>
      <c r="X14" s="30">
        <f t="shared" si="0"/>
        <v>13422</v>
      </c>
      <c r="Y14" s="130">
        <f t="shared" si="1"/>
        <v>75362</v>
      </c>
      <c r="Z14" s="55"/>
      <c r="AA14" s="108"/>
    </row>
    <row r="15" spans="1:29" s="16" customFormat="1" ht="18.95" customHeight="1">
      <c r="A15" s="36"/>
      <c r="B15" s="16">
        <v>9</v>
      </c>
      <c r="C15" s="128">
        <v>44805</v>
      </c>
      <c r="D15" s="29">
        <f t="shared" si="22"/>
        <v>62200</v>
      </c>
      <c r="E15" s="29">
        <f t="shared" si="11"/>
        <v>0</v>
      </c>
      <c r="F15" s="29">
        <f t="shared" si="3"/>
        <v>0</v>
      </c>
      <c r="G15" s="29">
        <f t="shared" si="3"/>
        <v>0</v>
      </c>
      <c r="H15" s="29">
        <f t="shared" si="19"/>
        <v>21148</v>
      </c>
      <c r="I15" s="60">
        <f t="shared" si="12"/>
        <v>5436</v>
      </c>
      <c r="J15" s="29">
        <f t="shared" si="5"/>
        <v>0</v>
      </c>
      <c r="K15" s="29">
        <f t="shared" si="6"/>
        <v>0</v>
      </c>
      <c r="L15" s="29">
        <f t="shared" si="6"/>
        <v>0</v>
      </c>
      <c r="M15" s="29">
        <f t="shared" si="7"/>
        <v>0</v>
      </c>
      <c r="N15" s="129">
        <f t="shared" si="8"/>
        <v>88784</v>
      </c>
      <c r="O15" s="62">
        <f t="shared" si="9"/>
        <v>8335</v>
      </c>
      <c r="P15" s="29">
        <f t="shared" si="14"/>
        <v>87</v>
      </c>
      <c r="Q15" s="29">
        <f t="shared" si="15"/>
        <v>0</v>
      </c>
      <c r="R15" s="29">
        <f t="shared" si="16"/>
        <v>0</v>
      </c>
      <c r="S15" s="29">
        <v>0</v>
      </c>
      <c r="T15" s="29">
        <f t="shared" si="10"/>
        <v>0</v>
      </c>
      <c r="U15" s="29">
        <f t="shared" si="10"/>
        <v>0</v>
      </c>
      <c r="V15" s="29">
        <f t="shared" si="21"/>
        <v>5000</v>
      </c>
      <c r="W15" s="29">
        <f t="shared" si="21"/>
        <v>0</v>
      </c>
      <c r="X15" s="30">
        <f t="shared" si="0"/>
        <v>13422</v>
      </c>
      <c r="Y15" s="130">
        <f t="shared" si="1"/>
        <v>75362</v>
      </c>
      <c r="Z15" s="55"/>
      <c r="AA15" s="109"/>
    </row>
    <row r="16" spans="1:29" s="16" customFormat="1" ht="18.95" customHeight="1">
      <c r="A16" s="36"/>
      <c r="B16" s="16">
        <v>10</v>
      </c>
      <c r="C16" s="128">
        <v>44835</v>
      </c>
      <c r="D16" s="29">
        <f t="shared" si="22"/>
        <v>62200</v>
      </c>
      <c r="E16" s="29">
        <f t="shared" si="11"/>
        <v>0</v>
      </c>
      <c r="F16" s="29">
        <f>IF(F$9=0,0,F15)</f>
        <v>0</v>
      </c>
      <c r="G16" s="29">
        <f t="shared" ref="G16:G20" si="23">IF(G$9=0,0,G15)</f>
        <v>0</v>
      </c>
      <c r="H16" s="29">
        <f t="shared" si="19"/>
        <v>21148</v>
      </c>
      <c r="I16" s="60">
        <f t="shared" si="12"/>
        <v>5436</v>
      </c>
      <c r="J16" s="29">
        <f t="shared" si="5"/>
        <v>0</v>
      </c>
      <c r="K16" s="29">
        <f t="shared" si="6"/>
        <v>0</v>
      </c>
      <c r="L16" s="29">
        <f t="shared" si="6"/>
        <v>0</v>
      </c>
      <c r="M16" s="29">
        <f t="shared" si="7"/>
        <v>0</v>
      </c>
      <c r="N16" s="129">
        <f t="shared" si="8"/>
        <v>88784</v>
      </c>
      <c r="O16" s="62">
        <f t="shared" si="9"/>
        <v>8335</v>
      </c>
      <c r="P16" s="29">
        <f t="shared" si="14"/>
        <v>87</v>
      </c>
      <c r="Q16" s="29">
        <f t="shared" si="15"/>
        <v>0</v>
      </c>
      <c r="R16" s="29">
        <f t="shared" si="16"/>
        <v>0</v>
      </c>
      <c r="S16" s="29">
        <v>0</v>
      </c>
      <c r="T16" s="29">
        <f t="shared" si="10"/>
        <v>0</v>
      </c>
      <c r="U16" s="29">
        <f t="shared" si="10"/>
        <v>0</v>
      </c>
      <c r="V16" s="29">
        <f t="shared" si="21"/>
        <v>5000</v>
      </c>
      <c r="W16" s="29">
        <f t="shared" si="21"/>
        <v>0</v>
      </c>
      <c r="X16" s="30">
        <f t="shared" si="0"/>
        <v>13422</v>
      </c>
      <c r="Y16" s="130">
        <f t="shared" si="1"/>
        <v>75362</v>
      </c>
      <c r="Z16" s="55"/>
      <c r="AA16" s="109"/>
    </row>
    <row r="17" spans="1:27" s="16" customFormat="1" ht="18.95" customHeight="1">
      <c r="A17" s="36"/>
      <c r="B17" s="16">
        <v>11</v>
      </c>
      <c r="C17" s="128">
        <v>44866</v>
      </c>
      <c r="D17" s="29">
        <f t="shared" si="22"/>
        <v>64100</v>
      </c>
      <c r="E17" s="29">
        <f t="shared" si="11"/>
        <v>0</v>
      </c>
      <c r="F17" s="29">
        <f>IF(F$9=0,0,F16)</f>
        <v>0</v>
      </c>
      <c r="G17" s="29">
        <f t="shared" si="23"/>
        <v>0</v>
      </c>
      <c r="H17" s="29">
        <f t="shared" si="19"/>
        <v>21794</v>
      </c>
      <c r="I17" s="60">
        <f t="shared" si="12"/>
        <v>5436</v>
      </c>
      <c r="J17" s="29">
        <f t="shared" si="5"/>
        <v>0</v>
      </c>
      <c r="K17" s="29">
        <f t="shared" si="6"/>
        <v>0</v>
      </c>
      <c r="L17" s="29">
        <f t="shared" si="6"/>
        <v>0</v>
      </c>
      <c r="M17" s="29">
        <f t="shared" si="7"/>
        <v>0</v>
      </c>
      <c r="N17" s="129">
        <f t="shared" si="8"/>
        <v>91330</v>
      </c>
      <c r="O17" s="62">
        <f t="shared" si="9"/>
        <v>8589</v>
      </c>
      <c r="P17" s="29">
        <f t="shared" si="14"/>
        <v>87</v>
      </c>
      <c r="Q17" s="29">
        <f t="shared" si="15"/>
        <v>0</v>
      </c>
      <c r="R17" s="29">
        <f t="shared" si="16"/>
        <v>0</v>
      </c>
      <c r="S17" s="29">
        <v>0</v>
      </c>
      <c r="T17" s="29">
        <f t="shared" si="10"/>
        <v>0</v>
      </c>
      <c r="U17" s="29">
        <f t="shared" si="10"/>
        <v>0</v>
      </c>
      <c r="V17" s="29">
        <f t="shared" si="21"/>
        <v>5000</v>
      </c>
      <c r="W17" s="29">
        <f t="shared" si="21"/>
        <v>0</v>
      </c>
      <c r="X17" s="30">
        <f t="shared" si="0"/>
        <v>13676</v>
      </c>
      <c r="Y17" s="130">
        <f t="shared" si="1"/>
        <v>77654</v>
      </c>
      <c r="Z17" s="55"/>
      <c r="AA17" s="109"/>
    </row>
    <row r="18" spans="1:27" s="16" customFormat="1" ht="18.95" customHeight="1">
      <c r="A18" s="36"/>
      <c r="B18" s="16">
        <v>12</v>
      </c>
      <c r="C18" s="128">
        <v>44896</v>
      </c>
      <c r="D18" s="29">
        <f t="shared" si="22"/>
        <v>64100</v>
      </c>
      <c r="E18" s="29">
        <f t="shared" si="11"/>
        <v>0</v>
      </c>
      <c r="F18" s="29">
        <f>IF(F$9=0,0,F17)</f>
        <v>0</v>
      </c>
      <c r="G18" s="29">
        <f t="shared" si="23"/>
        <v>0</v>
      </c>
      <c r="H18" s="29">
        <f t="shared" si="19"/>
        <v>21794</v>
      </c>
      <c r="I18" s="60">
        <f t="shared" si="12"/>
        <v>5436</v>
      </c>
      <c r="J18" s="29">
        <f t="shared" si="5"/>
        <v>0</v>
      </c>
      <c r="K18" s="29">
        <f t="shared" si="6"/>
        <v>0</v>
      </c>
      <c r="L18" s="29">
        <f t="shared" si="6"/>
        <v>0</v>
      </c>
      <c r="M18" s="29">
        <f t="shared" si="7"/>
        <v>0</v>
      </c>
      <c r="N18" s="129">
        <f t="shared" si="8"/>
        <v>91330</v>
      </c>
      <c r="O18" s="62">
        <f t="shared" si="9"/>
        <v>8589</v>
      </c>
      <c r="P18" s="29">
        <f t="shared" si="14"/>
        <v>87</v>
      </c>
      <c r="Q18" s="29">
        <f t="shared" si="15"/>
        <v>0</v>
      </c>
      <c r="R18" s="29">
        <f t="shared" si="16"/>
        <v>0</v>
      </c>
      <c r="S18" s="29">
        <v>0</v>
      </c>
      <c r="T18" s="29">
        <f t="shared" si="10"/>
        <v>0</v>
      </c>
      <c r="U18" s="29">
        <f t="shared" si="10"/>
        <v>0</v>
      </c>
      <c r="V18" s="29">
        <f t="shared" si="21"/>
        <v>5000</v>
      </c>
      <c r="W18" s="29"/>
      <c r="X18" s="30">
        <f t="shared" si="0"/>
        <v>13676</v>
      </c>
      <c r="Y18" s="130">
        <f t="shared" si="1"/>
        <v>77654</v>
      </c>
      <c r="Z18" s="55"/>
      <c r="AA18" s="109"/>
    </row>
    <row r="19" spans="1:27" s="16" customFormat="1" ht="18.95" customHeight="1">
      <c r="A19" s="36"/>
      <c r="B19" s="16">
        <v>1</v>
      </c>
      <c r="C19" s="128">
        <v>44927</v>
      </c>
      <c r="D19" s="29">
        <f t="shared" si="22"/>
        <v>64100</v>
      </c>
      <c r="E19" s="29">
        <f t="shared" si="11"/>
        <v>0</v>
      </c>
      <c r="F19" s="29">
        <f>IF(F$9=0,0,F18)</f>
        <v>0</v>
      </c>
      <c r="G19" s="29">
        <f t="shared" si="23"/>
        <v>0</v>
      </c>
      <c r="H19" s="29">
        <f t="shared" si="19"/>
        <v>21794</v>
      </c>
      <c r="I19" s="60">
        <f t="shared" si="12"/>
        <v>5436</v>
      </c>
      <c r="J19" s="29">
        <f t="shared" si="5"/>
        <v>0</v>
      </c>
      <c r="K19" s="29">
        <f t="shared" si="6"/>
        <v>0</v>
      </c>
      <c r="L19" s="29">
        <f t="shared" si="6"/>
        <v>0</v>
      </c>
      <c r="M19" s="29">
        <f t="shared" si="7"/>
        <v>0</v>
      </c>
      <c r="N19" s="129">
        <f t="shared" si="8"/>
        <v>91330</v>
      </c>
      <c r="O19" s="62">
        <f t="shared" si="9"/>
        <v>8589</v>
      </c>
      <c r="P19" s="29">
        <f t="shared" si="14"/>
        <v>87</v>
      </c>
      <c r="Q19" s="29">
        <f t="shared" si="15"/>
        <v>0</v>
      </c>
      <c r="R19" s="29">
        <f t="shared" si="16"/>
        <v>0</v>
      </c>
      <c r="S19" s="29">
        <v>0</v>
      </c>
      <c r="T19" s="29">
        <f t="shared" si="10"/>
        <v>0</v>
      </c>
      <c r="U19" s="29">
        <f t="shared" si="10"/>
        <v>0</v>
      </c>
      <c r="V19" s="29">
        <f t="shared" si="21"/>
        <v>5000</v>
      </c>
      <c r="W19" s="29"/>
      <c r="X19" s="30">
        <f t="shared" si="0"/>
        <v>13676</v>
      </c>
      <c r="Y19" s="130">
        <f t="shared" si="1"/>
        <v>77654</v>
      </c>
      <c r="Z19" s="55"/>
      <c r="AA19" s="109"/>
    </row>
    <row r="20" spans="1:27" s="16" customFormat="1" ht="18.95" customHeight="1">
      <c r="A20" s="36"/>
      <c r="B20" s="16">
        <v>2</v>
      </c>
      <c r="C20" s="128">
        <v>44958</v>
      </c>
      <c r="D20" s="29">
        <f t="shared" si="22"/>
        <v>64100</v>
      </c>
      <c r="E20" s="29">
        <f t="shared" si="11"/>
        <v>0</v>
      </c>
      <c r="F20" s="29">
        <f>IF(F$9=0,0,F19)</f>
        <v>0</v>
      </c>
      <c r="G20" s="29">
        <f t="shared" si="23"/>
        <v>0</v>
      </c>
      <c r="H20" s="29">
        <f t="shared" si="19"/>
        <v>21794</v>
      </c>
      <c r="I20" s="60">
        <f t="shared" si="12"/>
        <v>5436</v>
      </c>
      <c r="J20" s="29">
        <f t="shared" si="5"/>
        <v>0</v>
      </c>
      <c r="K20" s="29">
        <f t="shared" si="6"/>
        <v>0</v>
      </c>
      <c r="L20" s="29">
        <f t="shared" si="6"/>
        <v>0</v>
      </c>
      <c r="M20" s="29">
        <f t="shared" si="7"/>
        <v>0</v>
      </c>
      <c r="N20" s="129">
        <f t="shared" si="8"/>
        <v>91330</v>
      </c>
      <c r="O20" s="62">
        <f t="shared" si="9"/>
        <v>8589</v>
      </c>
      <c r="P20" s="29">
        <f t="shared" si="14"/>
        <v>87</v>
      </c>
      <c r="Q20" s="29">
        <f t="shared" si="15"/>
        <v>0</v>
      </c>
      <c r="R20" s="29">
        <f t="shared" si="16"/>
        <v>0</v>
      </c>
      <c r="S20" s="29">
        <v>0</v>
      </c>
      <c r="T20" s="29">
        <f t="shared" si="10"/>
        <v>0</v>
      </c>
      <c r="U20" s="29">
        <f t="shared" si="10"/>
        <v>0</v>
      </c>
      <c r="V20" s="29">
        <f t="shared" si="21"/>
        <v>5000</v>
      </c>
      <c r="W20" s="29"/>
      <c r="X20" s="30">
        <f t="shared" si="0"/>
        <v>13676</v>
      </c>
      <c r="Y20" s="130">
        <f t="shared" si="1"/>
        <v>77654</v>
      </c>
      <c r="Z20" s="55"/>
      <c r="AA20" s="109"/>
    </row>
    <row r="21" spans="1:27" s="16" customFormat="1" ht="18.95" customHeight="1">
      <c r="A21" s="36"/>
      <c r="C21" s="131" t="s">
        <v>182</v>
      </c>
      <c r="D21" s="29"/>
      <c r="E21" s="29"/>
      <c r="F21" s="29"/>
      <c r="G21" s="29"/>
      <c r="H21" s="29">
        <f>(ROUND(34%*D9,0)-ROUND(31%*D9,0))*3</f>
        <v>5436</v>
      </c>
      <c r="I21" s="29"/>
      <c r="J21" s="29"/>
      <c r="K21" s="29"/>
      <c r="L21" s="29"/>
      <c r="M21" s="29"/>
      <c r="N21" s="129">
        <f>H21</f>
        <v>5436</v>
      </c>
      <c r="O21" s="62">
        <f t="shared" si="9"/>
        <v>544</v>
      </c>
      <c r="P21" s="29"/>
      <c r="Q21" s="29"/>
      <c r="R21" s="29">
        <v>0</v>
      </c>
      <c r="S21" s="29"/>
      <c r="T21" s="29"/>
      <c r="U21" s="29"/>
      <c r="V21" s="29"/>
      <c r="W21" s="29"/>
      <c r="X21" s="30">
        <f t="shared" si="0"/>
        <v>544</v>
      </c>
      <c r="Y21" s="130">
        <f t="shared" si="1"/>
        <v>4892</v>
      </c>
      <c r="Z21" s="55"/>
      <c r="AA21" s="105"/>
    </row>
    <row r="22" spans="1:27" s="16" customFormat="1" ht="18.95" customHeight="1">
      <c r="A22" s="36"/>
      <c r="C22" s="131" t="s">
        <v>183</v>
      </c>
      <c r="D22" s="29"/>
      <c r="E22" s="29"/>
      <c r="F22" s="29"/>
      <c r="G22" s="29"/>
      <c r="H22" s="29">
        <f>(ROUND(38%*D13,0)-ROUND(34%*D13,0))*3</f>
        <v>7464</v>
      </c>
      <c r="I22" s="29"/>
      <c r="J22" s="29"/>
      <c r="K22" s="29"/>
      <c r="L22" s="29"/>
      <c r="M22" s="29"/>
      <c r="N22" s="129">
        <f>H22</f>
        <v>7464</v>
      </c>
      <c r="O22" s="62">
        <f t="shared" ref="O22" si="24">IF($Q$2="Yes",ROUND((D22+H22)*0.1,0),IF($Q$2="No",ROUND((D22)*0.1,0)))</f>
        <v>746</v>
      </c>
      <c r="P22" s="29"/>
      <c r="Q22" s="29"/>
      <c r="R22" s="29">
        <v>0</v>
      </c>
      <c r="S22" s="29"/>
      <c r="T22" s="29"/>
      <c r="U22" s="29"/>
      <c r="V22" s="29"/>
      <c r="W22" s="29"/>
      <c r="X22" s="30">
        <f t="shared" ref="X22" si="25">SUM(O22:W22)</f>
        <v>746</v>
      </c>
      <c r="Y22" s="130">
        <f t="shared" si="1"/>
        <v>6718</v>
      </c>
      <c r="Z22" s="55"/>
      <c r="AA22" s="105"/>
    </row>
    <row r="23" spans="1:27" s="16" customFormat="1" ht="18.95" customHeight="1">
      <c r="A23" s="36"/>
      <c r="C23" s="132" t="s">
        <v>26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29">
        <f>SUM(D23:M23)</f>
        <v>0</v>
      </c>
      <c r="O23" s="29"/>
      <c r="P23" s="29"/>
      <c r="Q23" s="29"/>
      <c r="R23" s="29"/>
      <c r="S23" s="29"/>
      <c r="T23" s="29"/>
      <c r="U23" s="29"/>
      <c r="V23" s="29"/>
      <c r="W23" s="29"/>
      <c r="X23" s="30">
        <f t="shared" si="0"/>
        <v>0</v>
      </c>
      <c r="Y23" s="130">
        <f t="shared" si="1"/>
        <v>0</v>
      </c>
      <c r="Z23" s="55"/>
      <c r="AA23" s="105"/>
    </row>
    <row r="24" spans="1:27" s="16" customFormat="1" ht="18.95" customHeight="1">
      <c r="A24" s="36"/>
      <c r="C24" s="132" t="s">
        <v>27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29">
        <f t="shared" si="8"/>
        <v>0</v>
      </c>
      <c r="O24" s="29"/>
      <c r="P24" s="29"/>
      <c r="Q24" s="29"/>
      <c r="R24" s="29"/>
      <c r="S24" s="29"/>
      <c r="T24" s="29"/>
      <c r="U24" s="29"/>
      <c r="V24" s="29"/>
      <c r="W24" s="29"/>
      <c r="X24" s="30">
        <f t="shared" si="0"/>
        <v>0</v>
      </c>
      <c r="Y24" s="130">
        <f t="shared" si="1"/>
        <v>0</v>
      </c>
      <c r="Z24" s="55"/>
      <c r="AA24" s="105"/>
    </row>
    <row r="25" spans="1:27" s="16" customFormat="1" ht="18.95" customHeight="1">
      <c r="A25" s="36"/>
      <c r="C25" s="132" t="s">
        <v>42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29">
        <f t="shared" si="8"/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30">
        <f t="shared" si="0"/>
        <v>0</v>
      </c>
      <c r="Y25" s="130">
        <f t="shared" si="1"/>
        <v>0</v>
      </c>
      <c r="Z25" s="55"/>
      <c r="AA25" s="105"/>
    </row>
    <row r="26" spans="1:27" s="16" customFormat="1" ht="18.95" customHeight="1">
      <c r="A26" s="36"/>
      <c r="C26" s="132" t="s">
        <v>43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29">
        <f t="shared" si="8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30">
        <f t="shared" si="0"/>
        <v>0</v>
      </c>
      <c r="Y26" s="130">
        <f t="shared" si="1"/>
        <v>0</v>
      </c>
      <c r="Z26" s="55"/>
      <c r="AA26" s="105"/>
    </row>
    <row r="27" spans="1:27" s="16" customFormat="1" ht="18.95" customHeight="1">
      <c r="A27" s="36"/>
      <c r="C27" s="132" t="s">
        <v>44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29">
        <f t="shared" si="8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30">
        <f t="shared" si="0"/>
        <v>0</v>
      </c>
      <c r="Y27" s="130">
        <f t="shared" si="1"/>
        <v>0</v>
      </c>
      <c r="Z27" s="55"/>
      <c r="AA27" s="105"/>
    </row>
    <row r="28" spans="1:27" s="16" customFormat="1" ht="18.95" customHeight="1">
      <c r="A28" s="36"/>
      <c r="C28" s="132" t="s">
        <v>30</v>
      </c>
      <c r="D28" s="29"/>
      <c r="E28" s="29">
        <v>0</v>
      </c>
      <c r="F28" s="29">
        <v>0</v>
      </c>
      <c r="G28" s="29"/>
      <c r="H28" s="29"/>
      <c r="I28" s="29"/>
      <c r="J28" s="29"/>
      <c r="K28" s="29"/>
      <c r="L28" s="29"/>
      <c r="M28" s="29"/>
      <c r="N28" s="129">
        <f t="shared" si="8"/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30">
        <f t="shared" si="0"/>
        <v>0</v>
      </c>
      <c r="Y28" s="130">
        <f t="shared" si="1"/>
        <v>0</v>
      </c>
      <c r="Z28" s="55"/>
      <c r="AA28" s="105"/>
    </row>
    <row r="29" spans="1:27" s="17" customFormat="1" ht="70.5" customHeight="1" thickBot="1">
      <c r="A29" s="37"/>
      <c r="C29" s="56" t="s">
        <v>22</v>
      </c>
      <c r="D29" s="57">
        <f>SUM(D9:D28)</f>
        <v>746800</v>
      </c>
      <c r="E29" s="57">
        <f t="shared" ref="E29:Y29" si="26">SUM(E9:E28)</f>
        <v>0</v>
      </c>
      <c r="F29" s="57">
        <f t="shared" si="26"/>
        <v>0</v>
      </c>
      <c r="G29" s="57">
        <f t="shared" si="26"/>
        <v>0</v>
      </c>
      <c r="H29" s="57">
        <f t="shared" si="26"/>
        <v>259564</v>
      </c>
      <c r="I29" s="57">
        <f t="shared" si="26"/>
        <v>65232</v>
      </c>
      <c r="J29" s="57">
        <f t="shared" si="26"/>
        <v>0</v>
      </c>
      <c r="K29" s="57">
        <f t="shared" si="26"/>
        <v>0</v>
      </c>
      <c r="L29" s="57">
        <f t="shared" si="26"/>
        <v>0</v>
      </c>
      <c r="M29" s="57">
        <f t="shared" si="26"/>
        <v>0</v>
      </c>
      <c r="N29" s="57">
        <f t="shared" si="26"/>
        <v>1071596</v>
      </c>
      <c r="O29" s="57">
        <f t="shared" si="26"/>
        <v>100634</v>
      </c>
      <c r="P29" s="57">
        <f t="shared" si="26"/>
        <v>1044</v>
      </c>
      <c r="Q29" s="57">
        <f t="shared" si="26"/>
        <v>0</v>
      </c>
      <c r="R29" s="57">
        <f t="shared" si="26"/>
        <v>0</v>
      </c>
      <c r="S29" s="58">
        <f t="shared" si="26"/>
        <v>0</v>
      </c>
      <c r="T29" s="57">
        <f t="shared" si="26"/>
        <v>0</v>
      </c>
      <c r="U29" s="57">
        <f t="shared" si="26"/>
        <v>0</v>
      </c>
      <c r="V29" s="57">
        <f t="shared" si="26"/>
        <v>60000</v>
      </c>
      <c r="W29" s="57">
        <f t="shared" si="26"/>
        <v>0</v>
      </c>
      <c r="X29" s="58">
        <f t="shared" si="26"/>
        <v>161678</v>
      </c>
      <c r="Y29" s="58">
        <f t="shared" si="26"/>
        <v>909918</v>
      </c>
      <c r="Z29" s="59"/>
      <c r="AA29" s="106"/>
    </row>
    <row r="30" spans="1:27" s="7" customFormat="1">
      <c r="A30" s="3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07"/>
    </row>
    <row r="31" spans="1:27" s="7" customFormat="1">
      <c r="A31" s="3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07"/>
    </row>
    <row r="32" spans="1:27" s="7" customFormat="1">
      <c r="A32" s="3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07"/>
    </row>
    <row r="33" spans="3:26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3:26">
      <c r="C34" s="3"/>
      <c r="D34" s="3"/>
      <c r="E34" s="20" t="s">
        <v>23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0" t="s">
        <v>24</v>
      </c>
      <c r="Z34" s="3"/>
    </row>
    <row r="35" spans="3:26"/>
    <row r="36" spans="3:26"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3:26"/>
    <row r="38" spans="3:26"/>
    <row r="39" spans="3:26"/>
    <row r="40" spans="3:26"/>
    <row r="41" spans="3:26" hidden="1"/>
    <row r="42" spans="3:26" hidden="1"/>
    <row r="43" spans="3:26" hidden="1"/>
    <row r="44" spans="3:26" hidden="1"/>
    <row r="45" spans="3:26" hidden="1"/>
    <row r="46" spans="3:26" hidden="1"/>
    <row r="47" spans="3:26" hidden="1"/>
    <row r="48" spans="3:2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</sheetData>
  <sheetProtection password="FC12" sheet="1" objects="1" scenario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25">
    <mergeCell ref="I5:L5"/>
    <mergeCell ref="C5:C6"/>
    <mergeCell ref="C36:Z36"/>
    <mergeCell ref="C4:Z4"/>
    <mergeCell ref="Y6:Z6"/>
    <mergeCell ref="Y5:Z5"/>
    <mergeCell ref="C7:N7"/>
    <mergeCell ref="O7:X7"/>
    <mergeCell ref="Y7:Y8"/>
    <mergeCell ref="Z7:Z8"/>
    <mergeCell ref="V5:X5"/>
    <mergeCell ref="V6:X6"/>
    <mergeCell ref="D5:H6"/>
    <mergeCell ref="M5:P5"/>
    <mergeCell ref="Q5:R5"/>
    <mergeCell ref="Q6:R6"/>
    <mergeCell ref="S5:U5"/>
    <mergeCell ref="S6:U6"/>
    <mergeCell ref="I6:P6"/>
    <mergeCell ref="C1:Z1"/>
    <mergeCell ref="Q2:R2"/>
    <mergeCell ref="Q3:R3"/>
    <mergeCell ref="C2:P2"/>
    <mergeCell ref="C3:P3"/>
    <mergeCell ref="T2:Z3"/>
  </mergeCells>
  <phoneticPr fontId="0" type="noConversion"/>
  <conditionalFormatting sqref="W10:W28 D9:V28 D22:W22">
    <cfRule type="cellIs" dxfId="3" priority="8" stopIfTrue="1" operator="equal">
      <formula>0</formula>
    </cfRule>
  </conditionalFormatting>
  <dataValidations count="2">
    <dataValidation type="list" allowBlank="1" showInputMessage="1" showErrorMessage="1" sqref="Q2:R2">
      <formula1>$AB$2:$AB$3</formula1>
    </dataValidation>
    <dataValidation type="list" allowBlank="1" showInputMessage="1" showErrorMessage="1" sqref="Q3:R3">
      <formula1>$AC$2:$AC$3</formula1>
    </dataValidation>
  </dataValidations>
  <printOptions horizontalCentered="1"/>
  <pageMargins left="0.15748031496063" right="0.15748031496063" top="0.28000000000000003" bottom="0.27559055118110198" header="0.22" footer="0.23622047244094499"/>
  <pageSetup paperSize="9" scale="70" orientation="landscape" r:id="rId3"/>
  <headerFooter alignWithMargins="0">
    <oddFooter>&amp;C&amp;"Arial Black,Regular"WWW.RAJTEACHERS.NET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zoomScale="130" zoomScaleNormal="130" workbookViewId="0">
      <selection activeCell="B6" sqref="B6"/>
    </sheetView>
  </sheetViews>
  <sheetFormatPr defaultColWidth="0" defaultRowHeight="15.75" zeroHeight="1"/>
  <cols>
    <col min="1" max="1" width="52.7109375" style="1" customWidth="1" collapsed="1"/>
    <col min="2" max="2" width="14.42578125" style="1" customWidth="1" collapsed="1"/>
    <col min="3" max="3" width="0.5703125" style="1" customWidth="1" collapsed="1"/>
    <col min="4" max="4" width="68.28515625" style="1" customWidth="1" collapsed="1"/>
    <col min="5" max="5" width="14.42578125" style="1" customWidth="1" collapsed="1"/>
    <col min="6" max="6" width="17.5703125" style="32" customWidth="1" collapsed="1"/>
    <col min="7" max="7" width="15.140625" style="1" hidden="1" customWidth="1" collapsed="1"/>
    <col min="8" max="8" width="7.28515625" style="1" hidden="1" customWidth="1" collapsed="1"/>
    <col min="9" max="9" width="5.7109375" style="1" hidden="1" customWidth="1" collapsed="1"/>
    <col min="10" max="11" width="7.140625" style="1" hidden="1" customWidth="1" collapsed="1"/>
    <col min="12" max="12" width="7.7109375" style="1" hidden="1" customWidth="1" collapsed="1"/>
    <col min="13" max="13" width="8.28515625" style="1" hidden="1" customWidth="1" collapsed="1"/>
    <col min="14" max="14" width="7.85546875" style="1" hidden="1" customWidth="1" collapsed="1"/>
    <col min="15" max="16" width="5.140625" style="1" hidden="1" customWidth="1" collapsed="1"/>
    <col min="17" max="17" width="7.5703125" style="1" hidden="1" customWidth="1" collapsed="1"/>
    <col min="18" max="18" width="7.140625" style="1" hidden="1" customWidth="1" collapsed="1"/>
    <col min="19" max="19" width="5.140625" style="1" hidden="1" customWidth="1" collapsed="1"/>
    <col min="20" max="20" width="8.85546875" style="1" hidden="1" customWidth="1" collapsed="1"/>
    <col min="21" max="21" width="0" style="1" hidden="1" customWidth="1" collapsed="1"/>
    <col min="22" max="22" width="5.140625" style="1" hidden="1" customWidth="1" collapsed="1"/>
    <col min="23" max="23" width="5.710937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40625" style="1" hidden="1" customWidth="1" collapsed="1"/>
    <col min="28" max="29" width="11.140625" style="1" hidden="1" customWidth="1" collapsed="1"/>
    <col min="30" max="30" width="5.28515625" style="1" hidden="1" customWidth="1" collapsed="1"/>
    <col min="31" max="31" width="8.28515625" style="1" hidden="1" customWidth="1" collapsed="1"/>
    <col min="32" max="33" width="5.28515625" style="1" hidden="1" customWidth="1" collapsed="1"/>
    <col min="34" max="34" width="8.28515625" style="1" hidden="1" customWidth="1" collapsed="1"/>
    <col min="35" max="35" width="5.140625" style="1" hidden="1" customWidth="1" collapsed="1"/>
    <col min="36" max="37" width="9.5703125" style="1" hidden="1" customWidth="1" collapsed="1"/>
    <col min="38" max="38" width="10.5703125" style="1" hidden="1" customWidth="1" collapsed="1"/>
    <col min="39" max="39" width="5.140625" style="1" hidden="1" customWidth="1" collapsed="1"/>
    <col min="40" max="40" width="7.28515625" style="1" hidden="1" customWidth="1" collapsed="1"/>
    <col min="41" max="41" width="7.7109375" style="1" hidden="1" customWidth="1" collapsed="1"/>
    <col min="42" max="42" width="5.140625" style="1" hidden="1" customWidth="1" collapsed="1"/>
    <col min="43" max="43" width="8" style="1" hidden="1" customWidth="1" collapsed="1"/>
    <col min="44" max="44" width="11.42578125" style="1" hidden="1" customWidth="1" collapsed="1"/>
    <col min="45" max="45" width="14.28515625" style="1" hidden="1" customWidth="1" collapsed="1"/>
    <col min="46" max="46" width="9" style="1" hidden="1" customWidth="1" collapsed="1"/>
    <col min="47" max="47" width="5.85546875" style="1" hidden="1" customWidth="1" collapsed="1"/>
    <col min="48" max="48" width="7.5703125" style="1" hidden="1" customWidth="1" collapsed="1"/>
    <col min="49" max="49" width="13.140625" style="1" hidden="1" customWidth="1" collapsed="1"/>
    <col min="50" max="50" width="7.5703125" style="1" hidden="1" customWidth="1" collapsed="1"/>
    <col min="51" max="51" width="13.140625" style="1" hidden="1" customWidth="1" collapsed="1"/>
    <col min="52" max="52" width="7.5703125" style="1" hidden="1" customWidth="1" collapsed="1"/>
    <col min="53" max="53" width="13.140625" style="1" hidden="1" customWidth="1" collapsed="1"/>
    <col min="54" max="54" width="7.5703125" style="1" hidden="1" customWidth="1" collapsed="1"/>
    <col min="55" max="55" width="13.140625" style="1" hidden="1" customWidth="1" collapsed="1"/>
    <col min="56" max="56" width="7.5703125" style="1" hidden="1" customWidth="1" collapsed="1"/>
    <col min="57" max="57" width="13.140625" style="1" hidden="1" customWidth="1" collapsed="1"/>
    <col min="58" max="58" width="7.5703125" style="1" hidden="1" customWidth="1" collapsed="1"/>
    <col min="59" max="59" width="13.140625" style="1" hidden="1" customWidth="1" collapsed="1"/>
    <col min="60" max="60" width="7.5703125" style="1" hidden="1" customWidth="1" collapsed="1"/>
    <col min="61" max="61" width="13.140625" style="1" hidden="1" customWidth="1" collapsed="1"/>
    <col min="62" max="62" width="7.5703125" style="1" hidden="1" customWidth="1" collapsed="1"/>
    <col min="63" max="63" width="13.140625" style="1" hidden="1" customWidth="1" collapsed="1"/>
    <col min="64" max="64" width="5.140625" style="1" hidden="1" customWidth="1" collapsed="1"/>
    <col min="65" max="65" width="7.140625" style="1" hidden="1" customWidth="1" collapsed="1"/>
    <col min="66" max="66" width="6.7109375" style="1" hidden="1" customWidth="1" collapsed="1"/>
    <col min="67" max="67" width="5.140625" style="1" hidden="1" customWidth="1" collapsed="1"/>
    <col min="68" max="69" width="7.7109375" style="1" hidden="1" customWidth="1" collapsed="1"/>
    <col min="70" max="71" width="7.28515625" style="1" hidden="1" customWidth="1" collapsed="1"/>
    <col min="72" max="72" width="9.7109375" style="1" hidden="1" customWidth="1" collapsed="1"/>
    <col min="73" max="73" width="9.28515625" style="1" hidden="1" customWidth="1" collapsed="1"/>
    <col min="74" max="74" width="7.7109375" style="1" hidden="1" customWidth="1" collapsed="1"/>
    <col min="75" max="75" width="7.85546875" style="1" hidden="1" customWidth="1" collapsed="1"/>
    <col min="76" max="76" width="9.28515625" style="1" hidden="1" customWidth="1" collapsed="1"/>
    <col min="77" max="77" width="10" style="1" hidden="1" customWidth="1" collapsed="1"/>
    <col min="78" max="78" width="7" style="1" hidden="1" customWidth="1" collapsed="1"/>
    <col min="79" max="79" width="7.5703125" style="1" hidden="1" customWidth="1" collapsed="1"/>
    <col min="80" max="80" width="9.28515625" style="1" hidden="1" customWidth="1" collapsed="1"/>
    <col min="81" max="81" width="9" style="1" hidden="1" customWidth="1" collapsed="1"/>
    <col min="82" max="82" width="7.7109375" style="1" hidden="1" customWidth="1" collapsed="1"/>
    <col min="83" max="83" width="5.140625" style="1" hidden="1" customWidth="1" collapsed="1"/>
    <col min="84" max="84" width="7.28515625" style="1" hidden="1" customWidth="1" collapsed="1"/>
    <col min="85" max="85" width="6.5703125" style="1" hidden="1" customWidth="1" collapsed="1"/>
    <col min="86" max="86" width="6.28515625" style="1" hidden="1" customWidth="1" collapsed="1"/>
    <col min="87" max="87" width="6.42578125" style="1" hidden="1" customWidth="1" collapsed="1"/>
    <col min="88" max="88" width="5.140625" style="1" hidden="1" customWidth="1" collapsed="1"/>
    <col min="89" max="89" width="6.28515625" style="1" hidden="1" customWidth="1" collapsed="1"/>
    <col min="90" max="94" width="5.28515625" style="1" hidden="1" customWidth="1" collapsed="1"/>
    <col min="95" max="95" width="5.140625" style="1" hidden="1" customWidth="1" collapsed="1"/>
    <col min="96" max="96" width="7.5703125" style="1" hidden="1" customWidth="1" collapsed="1"/>
    <col min="97" max="97" width="7.28515625" style="1" hidden="1" customWidth="1" collapsed="1"/>
    <col min="98" max="98" width="12.85546875" style="1" hidden="1" customWidth="1" collapsed="1"/>
    <col min="99" max="99" width="7.28515625" style="1" hidden="1" customWidth="1" collapsed="1"/>
    <col min="100" max="100" width="12.85546875" style="1" hidden="1" customWidth="1" collapsed="1"/>
    <col min="101" max="101" width="9.85546875" style="1" hidden="1" customWidth="1" collapsed="1"/>
    <col min="102" max="102" width="10" style="1" hidden="1" customWidth="1" collapsed="1"/>
    <col min="103" max="103" width="13.42578125" style="1" hidden="1" customWidth="1" collapsed="1"/>
    <col min="104" max="104" width="10.140625" style="1" hidden="1" customWidth="1" collapsed="1"/>
    <col min="105" max="105" width="8.42578125" style="1" hidden="1" customWidth="1" collapsed="1"/>
    <col min="106" max="106" width="13.5703125" style="1" hidden="1" customWidth="1" collapsed="1"/>
    <col min="107" max="107" width="5.140625" style="1" hidden="1" customWidth="1" collapsed="1"/>
    <col min="108" max="108" width="8" style="1" hidden="1" customWidth="1" collapsed="1"/>
    <col min="109" max="109" width="11.42578125" style="1" hidden="1" customWidth="1" collapsed="1"/>
    <col min="110" max="110" width="7.7109375" style="1" hidden="1" customWidth="1" collapsed="1"/>
    <col min="111" max="111" width="7.5703125" style="1" hidden="1" customWidth="1" collapsed="1"/>
    <col min="112" max="113" width="5.140625" style="1" hidden="1" customWidth="1" collapsed="1"/>
    <col min="114" max="114" width="14.140625" style="1" hidden="1" customWidth="1" collapsed="1"/>
    <col min="115" max="115" width="15.5703125" style="1" hidden="1" customWidth="1" collapsed="1"/>
    <col min="116" max="116" width="6.85546875" style="1" hidden="1" customWidth="1" collapsed="1"/>
    <col min="117" max="16384" width="0" style="1" hidden="1" collapsed="1"/>
  </cols>
  <sheetData>
    <row r="1" spans="1:122" ht="30.75" customHeight="1">
      <c r="A1" s="168" t="s">
        <v>158</v>
      </c>
      <c r="B1" s="168"/>
      <c r="C1" s="168"/>
      <c r="D1" s="168"/>
      <c r="E1" s="168"/>
      <c r="F1" s="168"/>
    </row>
    <row r="2" spans="1:122" ht="27.75" customHeight="1">
      <c r="A2" s="169" t="e">
        <f>Salary!M5&amp; " ,   " &amp;Salary!K5&amp;" PAN - "&amp;Salary!#REF!</f>
        <v>#REF!</v>
      </c>
      <c r="B2" s="169"/>
      <c r="C2" s="169"/>
      <c r="D2" s="169"/>
      <c r="E2" s="169"/>
      <c r="F2" s="169"/>
    </row>
    <row r="3" spans="1:122" ht="15" customHeight="1">
      <c r="A3" s="95" t="s">
        <v>125</v>
      </c>
      <c r="B3" s="49">
        <v>45000</v>
      </c>
      <c r="C3" s="50"/>
      <c r="D3" s="95" t="s">
        <v>138</v>
      </c>
      <c r="E3" s="49">
        <v>0</v>
      </c>
      <c r="F3" s="45" t="s">
        <v>45</v>
      </c>
      <c r="DR3" s="5" t="s">
        <v>8</v>
      </c>
    </row>
    <row r="4" spans="1:122">
      <c r="A4" s="96" t="s">
        <v>159</v>
      </c>
      <c r="B4" s="51">
        <v>0</v>
      </c>
      <c r="C4" s="52"/>
      <c r="D4" s="97" t="s">
        <v>140</v>
      </c>
      <c r="E4" s="51">
        <v>0</v>
      </c>
      <c r="F4" s="45">
        <f>Salary!D29+Salary!H29</f>
        <v>1006364</v>
      </c>
      <c r="DR4" s="5"/>
    </row>
    <row r="5" spans="1:122" ht="15" customHeight="1">
      <c r="A5" s="95" t="s">
        <v>170</v>
      </c>
      <c r="B5" s="49">
        <v>0</v>
      </c>
      <c r="C5" s="50"/>
      <c r="D5" s="95" t="s">
        <v>169</v>
      </c>
      <c r="E5" s="49">
        <v>0</v>
      </c>
      <c r="F5" s="46" t="s">
        <v>16</v>
      </c>
      <c r="DR5" s="5"/>
    </row>
    <row r="6" spans="1:122" ht="17.25" customHeight="1">
      <c r="A6" s="97" t="s">
        <v>128</v>
      </c>
      <c r="B6" s="51">
        <v>0</v>
      </c>
      <c r="C6" s="52"/>
      <c r="D6" s="97" t="s">
        <v>168</v>
      </c>
      <c r="E6" s="51">
        <v>0</v>
      </c>
      <c r="F6" s="46">
        <f>'Tax Old Regime'!P46</f>
        <v>975550</v>
      </c>
      <c r="DR6" s="5"/>
    </row>
    <row r="7" spans="1:122" ht="15" customHeight="1">
      <c r="A7" s="95" t="s">
        <v>127</v>
      </c>
      <c r="B7" s="49">
        <v>0</v>
      </c>
      <c r="C7" s="50"/>
      <c r="D7" s="99" t="s">
        <v>142</v>
      </c>
      <c r="E7" s="49">
        <v>0</v>
      </c>
      <c r="F7" s="47" t="s">
        <v>25</v>
      </c>
      <c r="DR7" s="5"/>
    </row>
    <row r="8" spans="1:122" ht="15" customHeight="1">
      <c r="A8" s="98" t="s">
        <v>174</v>
      </c>
      <c r="B8" s="53">
        <v>0</v>
      </c>
      <c r="C8" s="52"/>
      <c r="D8" s="97" t="s">
        <v>147</v>
      </c>
      <c r="E8" s="53">
        <v>0</v>
      </c>
      <c r="F8" s="48">
        <f>Salary!V29</f>
        <v>60000</v>
      </c>
      <c r="DR8" s="5"/>
    </row>
    <row r="9" spans="1:122" ht="15" customHeight="1">
      <c r="A9" s="95" t="s">
        <v>126</v>
      </c>
      <c r="B9" s="49">
        <v>0</v>
      </c>
      <c r="C9" s="50"/>
      <c r="D9" s="95" t="s">
        <v>148</v>
      </c>
      <c r="E9" s="49">
        <v>0</v>
      </c>
      <c r="F9" s="170" t="s">
        <v>37</v>
      </c>
      <c r="DR9" s="5"/>
    </row>
    <row r="10" spans="1:122" ht="15" customHeight="1">
      <c r="A10" s="98" t="s">
        <v>129</v>
      </c>
      <c r="B10" s="53">
        <v>0</v>
      </c>
      <c r="C10" s="52"/>
      <c r="D10" s="98" t="s">
        <v>149</v>
      </c>
      <c r="E10" s="53">
        <v>0</v>
      </c>
      <c r="F10" s="170"/>
      <c r="DR10" s="5" t="s">
        <v>9</v>
      </c>
    </row>
    <row r="11" spans="1:122" ht="15" customHeight="1">
      <c r="A11" s="95" t="s">
        <v>130</v>
      </c>
      <c r="B11" s="49">
        <v>0</v>
      </c>
      <c r="C11" s="50"/>
      <c r="D11" s="95" t="s">
        <v>150</v>
      </c>
      <c r="E11" s="49">
        <v>0</v>
      </c>
      <c r="F11" s="170"/>
      <c r="DR11" s="5" t="s">
        <v>11</v>
      </c>
    </row>
    <row r="12" spans="1:122" ht="15" customHeight="1">
      <c r="A12" s="98" t="s">
        <v>139</v>
      </c>
      <c r="B12" s="53">
        <v>0</v>
      </c>
      <c r="C12" s="52"/>
      <c r="D12" s="98" t="s">
        <v>151</v>
      </c>
      <c r="E12" s="53">
        <v>0</v>
      </c>
      <c r="F12" s="46">
        <f>'Tax Old Regime'!P30</f>
        <v>1044</v>
      </c>
      <c r="DR12" s="5" t="s">
        <v>3</v>
      </c>
    </row>
    <row r="13" spans="1:122" ht="15" customHeight="1">
      <c r="A13" s="95" t="s">
        <v>131</v>
      </c>
      <c r="B13" s="49">
        <v>0</v>
      </c>
      <c r="C13" s="50"/>
      <c r="D13" s="95" t="s">
        <v>152</v>
      </c>
      <c r="E13" s="49">
        <v>0</v>
      </c>
      <c r="F13" s="46"/>
      <c r="DR13" s="5"/>
    </row>
    <row r="14" spans="1:122" ht="15" customHeight="1">
      <c r="A14" s="98" t="s">
        <v>133</v>
      </c>
      <c r="B14" s="53">
        <v>0</v>
      </c>
      <c r="C14" s="52"/>
      <c r="D14" s="101" t="s">
        <v>153</v>
      </c>
      <c r="E14" s="53">
        <v>0</v>
      </c>
      <c r="F14" s="171" t="s">
        <v>160</v>
      </c>
      <c r="DR14" s="5" t="s">
        <v>0</v>
      </c>
    </row>
    <row r="15" spans="1:122" ht="15" customHeight="1">
      <c r="A15" s="95" t="s">
        <v>134</v>
      </c>
      <c r="B15" s="49">
        <v>0</v>
      </c>
      <c r="C15" s="50"/>
      <c r="D15" s="95" t="s">
        <v>154</v>
      </c>
      <c r="E15" s="49">
        <v>0</v>
      </c>
      <c r="F15" s="171"/>
      <c r="DR15" s="5" t="s">
        <v>11</v>
      </c>
    </row>
    <row r="16" spans="1:122" ht="15" customHeight="1">
      <c r="A16" s="98" t="s">
        <v>135</v>
      </c>
      <c r="B16" s="53">
        <v>0</v>
      </c>
      <c r="C16" s="52"/>
      <c r="D16" s="98" t="s">
        <v>155</v>
      </c>
      <c r="E16" s="53">
        <v>0</v>
      </c>
      <c r="F16" s="171"/>
      <c r="DR16" s="5" t="s">
        <v>12</v>
      </c>
    </row>
    <row r="17" spans="1:122" ht="15" customHeight="1">
      <c r="A17" s="95" t="s">
        <v>136</v>
      </c>
      <c r="B17" s="49">
        <v>0</v>
      </c>
      <c r="C17" s="50"/>
      <c r="D17" s="95" t="s">
        <v>156</v>
      </c>
      <c r="E17" s="49">
        <v>0</v>
      </c>
      <c r="F17" s="174">
        <f>IF(B3&gt;=1,(F4*10%+B3),0)</f>
        <v>145636.40000000002</v>
      </c>
      <c r="DR17" s="5" t="s">
        <v>4</v>
      </c>
    </row>
    <row r="18" spans="1:122" ht="15" customHeight="1">
      <c r="A18" s="98" t="s">
        <v>137</v>
      </c>
      <c r="B18" s="53">
        <v>0</v>
      </c>
      <c r="C18" s="52"/>
      <c r="D18" s="98" t="s">
        <v>157</v>
      </c>
      <c r="E18" s="53">
        <v>0</v>
      </c>
      <c r="F18" s="174"/>
      <c r="DR18" s="5" t="s">
        <v>13</v>
      </c>
    </row>
    <row r="19" spans="1:122" ht="15" customHeight="1">
      <c r="A19" s="173" t="str">
        <f>'Tax Old Regime'!A62</f>
        <v>Income Tax Payable</v>
      </c>
      <c r="B19" s="173"/>
      <c r="C19" s="42"/>
      <c r="D19" s="43">
        <f>'Tax Old Regime'!P62</f>
        <v>49314</v>
      </c>
      <c r="E19" s="54" t="s">
        <v>41</v>
      </c>
      <c r="F19" s="44">
        <f>Salary!I29</f>
        <v>65232</v>
      </c>
      <c r="DR19" s="5" t="s">
        <v>6</v>
      </c>
    </row>
    <row r="20" spans="1:122" ht="15" customHeight="1">
      <c r="A20" s="172" t="str">
        <f>"Total Rebate of (US 80C, 80CCC,80CCD(1)) =  "&amp;'Tax Old Regime'!P30</f>
        <v>Total Rebate of (US 80C, 80CCC,80CCD(1)) =  1044</v>
      </c>
      <c r="B20" s="172"/>
      <c r="C20" s="2"/>
      <c r="D20" s="33" t="str">
        <f>"Investable Amount = "&amp;(150000-'Tax Old Regime'!P30)</f>
        <v>Investable Amount = 148956</v>
      </c>
      <c r="E20" s="2"/>
      <c r="F20" s="2"/>
      <c r="DR20" s="5" t="s">
        <v>10</v>
      </c>
    </row>
    <row r="21" spans="1:122" ht="48" customHeight="1">
      <c r="A21" s="166" t="s">
        <v>172</v>
      </c>
      <c r="B21" s="167"/>
      <c r="C21" s="167"/>
      <c r="D21" s="167"/>
      <c r="E21" s="167"/>
      <c r="F21" s="167"/>
    </row>
    <row r="22" spans="1:122" ht="24.75" customHeight="1">
      <c r="A22" s="165" t="s">
        <v>171</v>
      </c>
      <c r="B22" s="165"/>
      <c r="C22" s="165"/>
      <c r="D22" s="165"/>
      <c r="E22" s="165"/>
      <c r="F22" s="165"/>
    </row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</sheetData>
  <sheetProtection password="FC12" sheet="1" objects="1" scenario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9">
    <mergeCell ref="A22:F22"/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pageMargins left="0.5" right="0.5" top="0.2" bottom="0.2" header="0" footer="0"/>
  <pageSetup paperSize="9" scale="56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00FF"/>
  </sheetPr>
  <dimension ref="A1:R82"/>
  <sheetViews>
    <sheetView showGridLines="0" workbookViewId="0">
      <selection activeCell="P31" sqref="P31"/>
    </sheetView>
  </sheetViews>
  <sheetFormatPr defaultColWidth="0" defaultRowHeight="15.75" zeroHeight="1"/>
  <cols>
    <col min="1" max="1" width="4.5703125" style="10" customWidth="1" collapsed="1"/>
    <col min="2" max="2" width="4.5703125" style="9" customWidth="1" collapsed="1"/>
    <col min="3" max="4" width="9.140625" style="9" customWidth="1" collapsed="1"/>
    <col min="5" max="5" width="3.85546875" style="9" customWidth="1" collapsed="1"/>
    <col min="6" max="6" width="5.42578125" style="9" customWidth="1" collapsed="1"/>
    <col min="7" max="7" width="4.5703125" style="9" customWidth="1" collapsed="1"/>
    <col min="8" max="8" width="11.85546875" style="9" customWidth="1" collapsed="1"/>
    <col min="9" max="9" width="5.140625" style="9" customWidth="1" collapsed="1"/>
    <col min="10" max="10" width="11.7109375" style="9" customWidth="1" collapsed="1"/>
    <col min="11" max="11" width="11.42578125" style="9" customWidth="1" collapsed="1"/>
    <col min="12" max="12" width="9.42578125" style="9" customWidth="1" collapsed="1"/>
    <col min="13" max="13" width="4.5703125" style="9" customWidth="1" collapsed="1"/>
    <col min="14" max="14" width="12.7109375" style="9" customWidth="1" collapsed="1"/>
    <col min="15" max="15" width="3.85546875" style="11" customWidth="1" collapsed="1"/>
    <col min="16" max="16" width="19.28515625" style="12" customWidth="1" collapsed="1"/>
    <col min="17" max="17" width="2.42578125" customWidth="1" collapsed="1"/>
    <col min="18" max="18" width="0" hidden="1" customWidth="1"/>
    <col min="19" max="16384" width="9.140625" hidden="1" collapsed="1"/>
  </cols>
  <sheetData>
    <row r="1" spans="1:16" s="13" customFormat="1" ht="18.75">
      <c r="A1" s="234" t="str">
        <f>Salary!C4</f>
        <v>GOVT. SENIOR SECONDARY SCHOOL, GORDHANPURA BARAN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13" customFormat="1" ht="21.75" thickBot="1">
      <c r="A2" s="235" t="s">
        <v>123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13" customFormat="1" ht="15" customHeight="1">
      <c r="A3" s="76">
        <v>1</v>
      </c>
      <c r="B3" s="236" t="s">
        <v>76</v>
      </c>
      <c r="C3" s="237"/>
      <c r="D3" s="246" t="str">
        <f>Salary!D5</f>
        <v>Parmanand Meghwal</v>
      </c>
      <c r="E3" s="246"/>
      <c r="F3" s="246"/>
      <c r="G3" s="246"/>
      <c r="H3" s="246"/>
      <c r="I3" s="246"/>
      <c r="J3" s="71" t="s">
        <v>49</v>
      </c>
      <c r="K3" s="247" t="str">
        <f>Salary!M5</f>
        <v>Principal</v>
      </c>
      <c r="L3" s="247"/>
      <c r="M3" s="247"/>
      <c r="N3" s="27" t="s">
        <v>17</v>
      </c>
      <c r="O3" s="238">
        <f>Salary!S5</f>
        <v>0</v>
      </c>
      <c r="P3" s="239"/>
    </row>
    <row r="4" spans="1:16" s="13" customFormat="1" ht="15" customHeight="1">
      <c r="A4" s="77">
        <v>2</v>
      </c>
      <c r="B4" s="240" t="s">
        <v>185</v>
      </c>
      <c r="C4" s="240"/>
      <c r="D4" s="189"/>
      <c r="E4" s="189"/>
      <c r="F4" s="189"/>
      <c r="G4" s="189"/>
      <c r="H4" s="189"/>
      <c r="I4" s="189"/>
      <c r="J4" s="240"/>
      <c r="K4" s="189"/>
      <c r="L4" s="189"/>
      <c r="M4" s="189"/>
      <c r="N4" s="240"/>
      <c r="O4" s="65" t="s">
        <v>64</v>
      </c>
      <c r="P4" s="21">
        <f>IF(Salary!W2="No",Salary!N29,(Salary!N29+Salary!O29))</f>
        <v>1172230</v>
      </c>
    </row>
    <row r="5" spans="1:16" s="13" customFormat="1" ht="15" customHeight="1">
      <c r="A5" s="77">
        <v>3</v>
      </c>
      <c r="B5" s="241" t="s">
        <v>78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65" t="s">
        <v>64</v>
      </c>
      <c r="P5" s="22">
        <f>'Other Deduction'!B3</f>
        <v>45000</v>
      </c>
    </row>
    <row r="6" spans="1:16" s="13" customFormat="1" ht="15" customHeight="1">
      <c r="A6" s="77">
        <v>4</v>
      </c>
      <c r="B6" s="242" t="s">
        <v>18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65" t="s">
        <v>64</v>
      </c>
      <c r="P6" s="22">
        <f>P4-P5</f>
        <v>1127230</v>
      </c>
    </row>
    <row r="7" spans="1:16" s="13" customFormat="1" ht="15" customHeight="1">
      <c r="A7" s="201">
        <v>5</v>
      </c>
      <c r="B7" s="243" t="s">
        <v>85</v>
      </c>
      <c r="C7" s="244"/>
      <c r="D7" s="244"/>
      <c r="E7" s="244"/>
      <c r="F7" s="244"/>
      <c r="G7" s="244"/>
      <c r="H7" s="244"/>
      <c r="I7" s="244"/>
      <c r="J7" s="244"/>
      <c r="K7" s="244"/>
      <c r="L7" s="219">
        <f>'Other Deduction'!B4</f>
        <v>0</v>
      </c>
      <c r="M7" s="219"/>
      <c r="N7" s="219"/>
      <c r="O7" s="251"/>
      <c r="P7" s="252"/>
    </row>
    <row r="8" spans="1:16" s="13" customFormat="1" ht="15" customHeight="1">
      <c r="A8" s="202"/>
      <c r="B8" s="249" t="s">
        <v>86</v>
      </c>
      <c r="C8" s="250"/>
      <c r="D8" s="250"/>
      <c r="E8" s="250"/>
      <c r="F8" s="250"/>
      <c r="G8" s="250"/>
      <c r="H8" s="250"/>
      <c r="I8" s="250"/>
      <c r="J8" s="250"/>
      <c r="K8" s="250"/>
      <c r="L8" s="219">
        <f>'Other Deduction'!B5</f>
        <v>0</v>
      </c>
      <c r="M8" s="219"/>
      <c r="N8" s="219"/>
      <c r="O8" s="253"/>
      <c r="P8" s="254"/>
    </row>
    <row r="9" spans="1:16" s="13" customFormat="1" ht="15" customHeight="1">
      <c r="A9" s="248"/>
      <c r="B9" s="245" t="s">
        <v>87</v>
      </c>
      <c r="C9" s="244"/>
      <c r="D9" s="244"/>
      <c r="E9" s="244"/>
      <c r="F9" s="244"/>
      <c r="G9" s="244"/>
      <c r="H9" s="244"/>
      <c r="I9" s="244"/>
      <c r="J9" s="244"/>
      <c r="K9" s="244"/>
      <c r="L9" s="219">
        <f>IF(P6&lt;50000,P6,50000)</f>
        <v>50000</v>
      </c>
      <c r="M9" s="219"/>
      <c r="N9" s="219"/>
      <c r="O9" s="65" t="s">
        <v>64</v>
      </c>
      <c r="P9" s="22">
        <f>SUM(L7:N9)</f>
        <v>50000</v>
      </c>
    </row>
    <row r="10" spans="1:16" s="13" customFormat="1" ht="15" customHeight="1">
      <c r="A10" s="77">
        <v>6</v>
      </c>
      <c r="B10" s="225" t="s">
        <v>79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65" t="s">
        <v>64</v>
      </c>
      <c r="P10" s="22">
        <f>P6-P9</f>
        <v>1077230</v>
      </c>
    </row>
    <row r="11" spans="1:16" s="13" customFormat="1" ht="15" customHeight="1">
      <c r="A11" s="188">
        <v>7</v>
      </c>
      <c r="B11" s="189" t="s">
        <v>80</v>
      </c>
      <c r="C11" s="189"/>
      <c r="D11" s="189"/>
      <c r="E11" s="189"/>
      <c r="F11" s="189"/>
      <c r="G11" s="189"/>
      <c r="H11" s="189"/>
      <c r="I11" s="189"/>
      <c r="J11" s="190" t="s">
        <v>81</v>
      </c>
      <c r="K11" s="190"/>
      <c r="L11" s="219">
        <f>'Other Deduction'!B6</f>
        <v>0</v>
      </c>
      <c r="M11" s="219"/>
      <c r="N11" s="219"/>
      <c r="O11" s="220"/>
      <c r="P11" s="221"/>
    </row>
    <row r="12" spans="1:16" s="13" customFormat="1" ht="27.75" customHeight="1">
      <c r="A12" s="188"/>
      <c r="B12" s="197" t="s">
        <v>83</v>
      </c>
      <c r="C12" s="198"/>
      <c r="D12" s="194" t="s">
        <v>82</v>
      </c>
      <c r="E12" s="195"/>
      <c r="F12" s="196"/>
      <c r="G12" s="222" t="s">
        <v>84</v>
      </c>
      <c r="H12" s="223"/>
      <c r="I12" s="224"/>
      <c r="J12" s="190" t="s">
        <v>88</v>
      </c>
      <c r="K12" s="190"/>
      <c r="L12" s="190" t="s">
        <v>48</v>
      </c>
      <c r="M12" s="190"/>
      <c r="N12" s="190"/>
      <c r="O12" s="220"/>
      <c r="P12" s="221"/>
    </row>
    <row r="13" spans="1:16" s="13" customFormat="1" ht="15" customHeight="1">
      <c r="A13" s="188"/>
      <c r="B13" s="199"/>
      <c r="C13" s="200"/>
      <c r="D13" s="191">
        <f>ROUND(L11*0.3,0)</f>
        <v>0</v>
      </c>
      <c r="E13" s="192"/>
      <c r="F13" s="193"/>
      <c r="G13" s="191">
        <f>IF((Salary!U29+'Other Deduction'!B9)&gt;200000,200000,(Salary!U29+'Other Deduction'!B9))</f>
        <v>0</v>
      </c>
      <c r="H13" s="192"/>
      <c r="I13" s="193"/>
      <c r="J13" s="219">
        <f>'Other Deduction'!B7</f>
        <v>0</v>
      </c>
      <c r="K13" s="219"/>
      <c r="L13" s="219">
        <f>D13+G13+J13</f>
        <v>0</v>
      </c>
      <c r="M13" s="219"/>
      <c r="N13" s="219"/>
      <c r="O13" s="220"/>
      <c r="P13" s="221"/>
    </row>
    <row r="14" spans="1:16" s="13" customFormat="1" ht="15" customHeight="1">
      <c r="A14" s="77"/>
      <c r="B14" s="225" t="s">
        <v>89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65" t="s">
        <v>64</v>
      </c>
      <c r="P14" s="22">
        <f>L11-L13</f>
        <v>0</v>
      </c>
    </row>
    <row r="15" spans="1:16" s="13" customFormat="1" ht="15" customHeight="1">
      <c r="A15" s="77">
        <v>8</v>
      </c>
      <c r="B15" s="225" t="s">
        <v>90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65" t="s">
        <v>64</v>
      </c>
      <c r="P15" s="22">
        <f>P10+P14</f>
        <v>1077230</v>
      </c>
    </row>
    <row r="16" spans="1:16" s="13" customFormat="1" ht="15" customHeight="1">
      <c r="A16" s="77">
        <v>9</v>
      </c>
      <c r="B16" s="189" t="s">
        <v>91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65" t="s">
        <v>64</v>
      </c>
      <c r="P16" s="22">
        <f>'Other Deduction'!E3+'Other Deduction'!E4</f>
        <v>0</v>
      </c>
    </row>
    <row r="17" spans="1:16" s="13" customFormat="1" ht="15" customHeight="1">
      <c r="A17" s="77">
        <v>10</v>
      </c>
      <c r="B17" s="18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65" t="s">
        <v>64</v>
      </c>
      <c r="P17" s="21">
        <f>P15+P16</f>
        <v>1077230</v>
      </c>
    </row>
    <row r="18" spans="1:16" s="13" customFormat="1" ht="15" customHeight="1">
      <c r="A18" s="201">
        <v>11</v>
      </c>
      <c r="B18" s="213" t="s">
        <v>93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29"/>
    </row>
    <row r="19" spans="1:16" s="13" customFormat="1" ht="18" customHeight="1">
      <c r="A19" s="202"/>
      <c r="B19" s="213" t="s">
        <v>143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29"/>
    </row>
    <row r="20" spans="1:16" s="13" customFormat="1" ht="14.25" customHeight="1">
      <c r="A20" s="202"/>
      <c r="B20" s="64">
        <v>1</v>
      </c>
      <c r="C20" s="203" t="s">
        <v>141</v>
      </c>
      <c r="D20" s="204"/>
      <c r="E20" s="204"/>
      <c r="F20" s="204"/>
      <c r="G20" s="65" t="s">
        <v>64</v>
      </c>
      <c r="H20" s="66">
        <f>IF(Salary!W2="Yes",Salary!O29,0)</f>
        <v>0</v>
      </c>
      <c r="I20" s="64">
        <v>10</v>
      </c>
      <c r="J20" s="185" t="s">
        <v>63</v>
      </c>
      <c r="K20" s="186"/>
      <c r="L20" s="187"/>
      <c r="M20" s="65" t="s">
        <v>64</v>
      </c>
      <c r="N20" s="66">
        <f>'Other Deduction'!E6</f>
        <v>0</v>
      </c>
      <c r="O20" s="251"/>
      <c r="P20" s="252"/>
    </row>
    <row r="21" spans="1:16" s="13" customFormat="1" ht="26.25" customHeight="1">
      <c r="A21" s="202"/>
      <c r="B21" s="64">
        <v>2</v>
      </c>
      <c r="C21" s="203" t="s">
        <v>59</v>
      </c>
      <c r="D21" s="204"/>
      <c r="E21" s="204"/>
      <c r="F21" s="204"/>
      <c r="G21" s="65" t="s">
        <v>64</v>
      </c>
      <c r="H21" s="66">
        <f>Salary!R29+'Other Deduction'!B10</f>
        <v>0</v>
      </c>
      <c r="I21" s="64">
        <v>11</v>
      </c>
      <c r="J21" s="210" t="s">
        <v>65</v>
      </c>
      <c r="K21" s="211"/>
      <c r="L21" s="212"/>
      <c r="M21" s="65" t="s">
        <v>64</v>
      </c>
      <c r="N21" s="67">
        <f>'Other Deduction'!B15</f>
        <v>0</v>
      </c>
      <c r="O21" s="265"/>
      <c r="P21" s="266"/>
    </row>
    <row r="22" spans="1:16" s="13" customFormat="1" ht="14.25" customHeight="1">
      <c r="A22" s="202"/>
      <c r="B22" s="64">
        <v>3</v>
      </c>
      <c r="C22" s="203" t="s">
        <v>60</v>
      </c>
      <c r="D22" s="204"/>
      <c r="E22" s="204"/>
      <c r="F22" s="204"/>
      <c r="G22" s="65" t="s">
        <v>64</v>
      </c>
      <c r="H22" s="66">
        <f>'Other Deduction'!B14</f>
        <v>0</v>
      </c>
      <c r="I22" s="64">
        <v>12</v>
      </c>
      <c r="J22" s="210" t="s">
        <v>66</v>
      </c>
      <c r="K22" s="211"/>
      <c r="L22" s="212"/>
      <c r="M22" s="65" t="s">
        <v>64</v>
      </c>
      <c r="N22" s="67">
        <f>'Other Deduction'!B12</f>
        <v>0</v>
      </c>
      <c r="O22" s="265"/>
      <c r="P22" s="266"/>
    </row>
    <row r="23" spans="1:16" s="13" customFormat="1" ht="15" customHeight="1">
      <c r="A23" s="202"/>
      <c r="B23" s="64">
        <v>4</v>
      </c>
      <c r="C23" s="203" t="s">
        <v>72</v>
      </c>
      <c r="D23" s="204"/>
      <c r="E23" s="204"/>
      <c r="F23" s="204"/>
      <c r="G23" s="65" t="s">
        <v>64</v>
      </c>
      <c r="H23" s="66">
        <f>'Other Deduction'!B16</f>
        <v>0</v>
      </c>
      <c r="I23" s="64">
        <v>13</v>
      </c>
      <c r="J23" s="210" t="s">
        <v>67</v>
      </c>
      <c r="K23" s="211"/>
      <c r="L23" s="212"/>
      <c r="M23" s="65" t="s">
        <v>64</v>
      </c>
      <c r="N23" s="66">
        <f>'Other Deduction'!E15</f>
        <v>0</v>
      </c>
      <c r="O23" s="265"/>
      <c r="P23" s="266"/>
    </row>
    <row r="24" spans="1:16" s="13" customFormat="1" ht="15.75" customHeight="1">
      <c r="A24" s="202"/>
      <c r="B24" s="64">
        <v>5</v>
      </c>
      <c r="C24" s="203" t="s">
        <v>73</v>
      </c>
      <c r="D24" s="204"/>
      <c r="E24" s="204"/>
      <c r="F24" s="204"/>
      <c r="G24" s="65" t="s">
        <v>64</v>
      </c>
      <c r="H24" s="66">
        <f>'Other Deduction'!B17</f>
        <v>0</v>
      </c>
      <c r="I24" s="64">
        <v>14</v>
      </c>
      <c r="J24" s="185" t="s">
        <v>68</v>
      </c>
      <c r="K24" s="208"/>
      <c r="L24" s="209"/>
      <c r="M24" s="65" t="s">
        <v>64</v>
      </c>
      <c r="N24" s="66">
        <f>'Other Deduction'!E16</f>
        <v>0</v>
      </c>
      <c r="O24" s="265"/>
      <c r="P24" s="266"/>
    </row>
    <row r="25" spans="1:16" s="13" customFormat="1" ht="15.75" customHeight="1">
      <c r="A25" s="202"/>
      <c r="B25" s="64">
        <v>6</v>
      </c>
      <c r="C25" s="205" t="s">
        <v>132</v>
      </c>
      <c r="D25" s="206"/>
      <c r="E25" s="206"/>
      <c r="F25" s="207"/>
      <c r="G25" s="65" t="s">
        <v>64</v>
      </c>
      <c r="H25" s="66">
        <f>IF(Salary!W2="No",Salary!O29,0)</f>
        <v>0</v>
      </c>
      <c r="I25" s="64">
        <v>15</v>
      </c>
      <c r="J25" s="185" t="s">
        <v>69</v>
      </c>
      <c r="K25" s="208"/>
      <c r="L25" s="209"/>
      <c r="M25" s="65" t="s">
        <v>64</v>
      </c>
      <c r="N25" s="66">
        <f>'Other Deduction'!B11</f>
        <v>0</v>
      </c>
      <c r="O25" s="265"/>
      <c r="P25" s="266"/>
    </row>
    <row r="26" spans="1:16" s="13" customFormat="1" ht="15" customHeight="1">
      <c r="A26" s="202"/>
      <c r="B26" s="64">
        <v>7</v>
      </c>
      <c r="C26" s="205" t="s">
        <v>61</v>
      </c>
      <c r="D26" s="206"/>
      <c r="E26" s="206"/>
      <c r="F26" s="207"/>
      <c r="G26" s="65" t="s">
        <v>64</v>
      </c>
      <c r="H26" s="67">
        <f>Salary!P29</f>
        <v>1044</v>
      </c>
      <c r="I26" s="64">
        <v>16</v>
      </c>
      <c r="J26" s="185" t="s">
        <v>70</v>
      </c>
      <c r="K26" s="186"/>
      <c r="L26" s="187"/>
      <c r="M26" s="65" t="s">
        <v>64</v>
      </c>
      <c r="N26" s="66">
        <f>'Other Deduction'!E5</f>
        <v>0</v>
      </c>
      <c r="O26" s="265"/>
      <c r="P26" s="266"/>
    </row>
    <row r="27" spans="1:16" s="13" customFormat="1" ht="15.75" customHeight="1">
      <c r="A27" s="202"/>
      <c r="B27" s="64">
        <v>8</v>
      </c>
      <c r="C27" s="203" t="s">
        <v>62</v>
      </c>
      <c r="D27" s="203"/>
      <c r="E27" s="203"/>
      <c r="F27" s="203"/>
      <c r="G27" s="65" t="s">
        <v>64</v>
      </c>
      <c r="H27" s="67">
        <f>'Other Deduction'!B13</f>
        <v>0</v>
      </c>
      <c r="I27" s="64">
        <v>17</v>
      </c>
      <c r="J27" s="210" t="s">
        <v>71</v>
      </c>
      <c r="K27" s="211"/>
      <c r="L27" s="212"/>
      <c r="M27" s="65" t="s">
        <v>64</v>
      </c>
      <c r="N27" s="66">
        <f>'Other Deduction'!B18</f>
        <v>0</v>
      </c>
      <c r="O27" s="265"/>
      <c r="P27" s="266"/>
    </row>
    <row r="28" spans="1:16" s="13" customFormat="1" ht="27" customHeight="1">
      <c r="A28" s="202"/>
      <c r="B28" s="68">
        <v>9</v>
      </c>
      <c r="C28" s="255" t="s">
        <v>175</v>
      </c>
      <c r="D28" s="255"/>
      <c r="E28" s="255"/>
      <c r="F28" s="255"/>
      <c r="G28" s="69" t="s">
        <v>64</v>
      </c>
      <c r="H28" s="70">
        <f>Salary!T29+'Other Deduction'!B8</f>
        <v>0</v>
      </c>
      <c r="I28" s="68">
        <v>18</v>
      </c>
      <c r="J28" s="233"/>
      <c r="K28" s="233"/>
      <c r="L28" s="233"/>
      <c r="M28" s="69" t="s">
        <v>64</v>
      </c>
      <c r="N28" s="66"/>
      <c r="O28" s="265"/>
      <c r="P28" s="266"/>
    </row>
    <row r="29" spans="1:16" s="13" customFormat="1" ht="15" customHeight="1">
      <c r="A29" s="202"/>
      <c r="B29" s="230" t="s">
        <v>75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69" t="s">
        <v>64</v>
      </c>
      <c r="N29" s="14">
        <f>SUM(H20:H28)+SUM(N20:N28)</f>
        <v>1044</v>
      </c>
      <c r="O29" s="253"/>
      <c r="P29" s="254"/>
    </row>
    <row r="30" spans="1:16" s="13" customFormat="1" ht="16.5" customHeight="1">
      <c r="A30" s="202"/>
      <c r="B30" s="256" t="s">
        <v>74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74" t="s">
        <v>64</v>
      </c>
      <c r="P30" s="21">
        <f>IF(N29&lt;150001,ROUND(N29,0),150000)</f>
        <v>1044</v>
      </c>
    </row>
    <row r="31" spans="1:16" s="13" customFormat="1" ht="17.25" customHeight="1">
      <c r="A31" s="100"/>
      <c r="B31" s="179" t="s">
        <v>144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74" t="s">
        <v>64</v>
      </c>
      <c r="P31" s="21">
        <f>IF(Salary!Q2="yes",Salary!O29,0)</f>
        <v>100634</v>
      </c>
    </row>
    <row r="32" spans="1:16" s="13" customFormat="1" ht="15" customHeight="1">
      <c r="A32" s="100"/>
      <c r="B32" s="176" t="s">
        <v>145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74" t="s">
        <v>64</v>
      </c>
      <c r="P32" s="21">
        <f>'Other Deduction'!E7</f>
        <v>0</v>
      </c>
    </row>
    <row r="33" spans="1:16" s="13" customFormat="1" ht="15" customHeight="1">
      <c r="A33" s="100"/>
      <c r="B33" s="182" t="s">
        <v>146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74"/>
      <c r="P33" s="21">
        <f>P30+P31+P32</f>
        <v>101678</v>
      </c>
    </row>
    <row r="34" spans="1:16" s="13" customFormat="1" ht="15" customHeight="1">
      <c r="A34" s="201">
        <v>12</v>
      </c>
      <c r="B34" s="257" t="s">
        <v>94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8"/>
    </row>
    <row r="35" spans="1:16" s="13" customFormat="1" ht="27.75" customHeight="1">
      <c r="A35" s="202"/>
      <c r="B35" s="205" t="s">
        <v>95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60"/>
      <c r="O35" s="74" t="s">
        <v>64</v>
      </c>
      <c r="P35" s="22">
        <f>'Other Deduction'!E8</f>
        <v>0</v>
      </c>
    </row>
    <row r="36" spans="1:16" s="13" customFormat="1" ht="17.25" customHeight="1">
      <c r="A36" s="202"/>
      <c r="B36" s="261" t="s">
        <v>167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74" t="s">
        <v>64</v>
      </c>
      <c r="P36" s="22">
        <f>'Other Deduction'!E9</f>
        <v>0</v>
      </c>
    </row>
    <row r="37" spans="1:16" s="13" customFormat="1" ht="18" customHeight="1">
      <c r="A37" s="202"/>
      <c r="B37" s="261" t="s">
        <v>166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74" t="s">
        <v>64</v>
      </c>
      <c r="P37" s="22">
        <f>'Other Deduction'!E10</f>
        <v>0</v>
      </c>
    </row>
    <row r="38" spans="1:16" s="13" customFormat="1" ht="16.5" customHeight="1">
      <c r="A38" s="202"/>
      <c r="B38" s="261" t="s">
        <v>165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74" t="s">
        <v>64</v>
      </c>
      <c r="P38" s="22">
        <f>'Other Deduction'!E11</f>
        <v>0</v>
      </c>
    </row>
    <row r="39" spans="1:16" s="13" customFormat="1" ht="16.5" customHeight="1">
      <c r="A39" s="202"/>
      <c r="B39" s="261" t="s">
        <v>164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74" t="s">
        <v>64</v>
      </c>
      <c r="P39" s="22">
        <f>'Other Deduction'!E12</f>
        <v>0</v>
      </c>
    </row>
    <row r="40" spans="1:16" s="13" customFormat="1" ht="15" customHeight="1">
      <c r="A40" s="202"/>
      <c r="B40" s="205" t="s">
        <v>163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60"/>
      <c r="O40" s="74" t="s">
        <v>64</v>
      </c>
      <c r="P40" s="22">
        <f>'Other Deduction'!E13</f>
        <v>0</v>
      </c>
    </row>
    <row r="41" spans="1:16" s="13" customFormat="1" ht="17.25" customHeight="1">
      <c r="A41" s="202"/>
      <c r="B41" s="262" t="s">
        <v>162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4"/>
      <c r="O41" s="74" t="s">
        <v>64</v>
      </c>
      <c r="P41" s="22">
        <f>IF(Salary!P3="Yes",IF('Other Deduction'!E3&lt;50001,'Other Deduction'!E3,50000),IF('Other Deduction'!E3&lt;10001,'Other Deduction'!E3,10000))</f>
        <v>0</v>
      </c>
    </row>
    <row r="42" spans="1:16" s="13" customFormat="1" ht="15.75" customHeight="1">
      <c r="A42" s="202"/>
      <c r="B42" s="262" t="s">
        <v>161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4"/>
      <c r="O42" s="74" t="s">
        <v>64</v>
      </c>
      <c r="P42" s="22">
        <f>'Other Deduction'!E14</f>
        <v>0</v>
      </c>
    </row>
    <row r="43" spans="1:16" s="13" customFormat="1" ht="15" customHeight="1">
      <c r="A43" s="248"/>
      <c r="B43" s="256" t="s">
        <v>96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74" t="s">
        <v>64</v>
      </c>
      <c r="P43" s="23">
        <f>SUM(P35:P42)</f>
        <v>0</v>
      </c>
    </row>
    <row r="44" spans="1:16" s="13" customFormat="1" ht="15" customHeight="1">
      <c r="A44" s="77">
        <v>13</v>
      </c>
      <c r="B44" s="213" t="s">
        <v>97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74" t="s">
        <v>64</v>
      </c>
      <c r="P44" s="22">
        <f>P33+P43</f>
        <v>101678</v>
      </c>
    </row>
    <row r="45" spans="1:16" s="13" customFormat="1" ht="15" customHeight="1">
      <c r="A45" s="77">
        <v>14</v>
      </c>
      <c r="B45" s="189" t="s">
        <v>98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74" t="s">
        <v>64</v>
      </c>
      <c r="P45" s="22">
        <f>(P17-P44)</f>
        <v>975552</v>
      </c>
    </row>
    <row r="46" spans="1:16" s="13" customFormat="1">
      <c r="A46" s="77">
        <v>15</v>
      </c>
      <c r="B46" s="213" t="s">
        <v>99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74" t="s">
        <v>64</v>
      </c>
      <c r="P46" s="21">
        <f>ROUND(P45,-1)</f>
        <v>975550</v>
      </c>
    </row>
    <row r="47" spans="1:16" s="13" customFormat="1" ht="15" customHeight="1">
      <c r="A47" s="201">
        <v>16</v>
      </c>
      <c r="B47" s="189" t="s">
        <v>100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290"/>
    </row>
    <row r="48" spans="1:16" s="13" customFormat="1" ht="15" customHeight="1">
      <c r="A48" s="202"/>
      <c r="B48" s="291" t="s">
        <v>102</v>
      </c>
      <c r="C48" s="291"/>
      <c r="D48" s="291"/>
      <c r="E48" s="291"/>
      <c r="F48" s="291"/>
      <c r="G48" s="291" t="s">
        <v>101</v>
      </c>
      <c r="H48" s="291"/>
      <c r="I48" s="291"/>
      <c r="J48" s="291"/>
      <c r="K48" s="292" t="s">
        <v>103</v>
      </c>
      <c r="L48" s="293"/>
      <c r="M48" s="293"/>
      <c r="N48" s="294"/>
      <c r="O48" s="8"/>
      <c r="P48" s="24"/>
    </row>
    <row r="49" spans="1:16" s="13" customFormat="1" ht="15" customHeight="1">
      <c r="A49" s="202"/>
      <c r="B49" s="215" t="s">
        <v>104</v>
      </c>
      <c r="C49" s="216"/>
      <c r="D49" s="217"/>
      <c r="E49" s="214" t="s">
        <v>19</v>
      </c>
      <c r="F49" s="214"/>
      <c r="G49" s="215" t="s">
        <v>106</v>
      </c>
      <c r="H49" s="216"/>
      <c r="I49" s="217"/>
      <c r="J49" s="73" t="s">
        <v>19</v>
      </c>
      <c r="K49" s="215"/>
      <c r="L49" s="216"/>
      <c r="M49" s="217"/>
      <c r="N49" s="73"/>
      <c r="O49" s="74" t="s">
        <v>64</v>
      </c>
      <c r="P49" s="25">
        <v>0</v>
      </c>
    </row>
    <row r="50" spans="1:16" s="13" customFormat="1" ht="15" customHeight="1">
      <c r="A50" s="202"/>
      <c r="B50" s="215" t="s">
        <v>20</v>
      </c>
      <c r="C50" s="216"/>
      <c r="D50" s="217"/>
      <c r="E50" s="228">
        <v>0.05</v>
      </c>
      <c r="F50" s="214"/>
      <c r="G50" s="214" t="s">
        <v>36</v>
      </c>
      <c r="H50" s="214"/>
      <c r="I50" s="214"/>
      <c r="J50" s="72">
        <v>0.05</v>
      </c>
      <c r="K50" s="215" t="s">
        <v>105</v>
      </c>
      <c r="L50" s="216"/>
      <c r="M50" s="217"/>
      <c r="N50" s="73" t="s">
        <v>19</v>
      </c>
      <c r="O50" s="74" t="s">
        <v>64</v>
      </c>
      <c r="P50" s="25">
        <f>ROUND(IF(Salary!Q3="No",IF(P46&lt;250001,0,IF(P46&gt;500000,12500,((P46-250000)*0.05))),IF(P46&lt;300001,0,IF(P46&gt;500000,10000,((P46-300000)*0.05)))),0)</f>
        <v>10000</v>
      </c>
    </row>
    <row r="51" spans="1:16" s="13" customFormat="1" ht="15" customHeight="1">
      <c r="A51" s="202"/>
      <c r="B51" s="215" t="s">
        <v>21</v>
      </c>
      <c r="C51" s="216"/>
      <c r="D51" s="217"/>
      <c r="E51" s="228">
        <v>0.2</v>
      </c>
      <c r="F51" s="214"/>
      <c r="G51" s="214" t="s">
        <v>21</v>
      </c>
      <c r="H51" s="214"/>
      <c r="I51" s="214"/>
      <c r="J51" s="72">
        <v>0.2</v>
      </c>
      <c r="K51" s="215" t="s">
        <v>21</v>
      </c>
      <c r="L51" s="216"/>
      <c r="M51" s="217"/>
      <c r="N51" s="72">
        <v>0.2</v>
      </c>
      <c r="O51" s="74" t="s">
        <v>64</v>
      </c>
      <c r="P51" s="25">
        <f>IF(P46&lt;500001,0,IF(P46&gt;1000000,100000,((P46-500000)*0.2)))</f>
        <v>95110</v>
      </c>
    </row>
    <row r="52" spans="1:16" s="13" customFormat="1" ht="15" customHeight="1">
      <c r="A52" s="202"/>
      <c r="B52" s="215" t="s">
        <v>107</v>
      </c>
      <c r="C52" s="216"/>
      <c r="D52" s="217"/>
      <c r="E52" s="228">
        <v>0.3</v>
      </c>
      <c r="F52" s="214"/>
      <c r="G52" s="214" t="s">
        <v>108</v>
      </c>
      <c r="H52" s="214"/>
      <c r="I52" s="214"/>
      <c r="J52" s="72">
        <v>0.3</v>
      </c>
      <c r="K52" s="215" t="s">
        <v>108</v>
      </c>
      <c r="L52" s="216"/>
      <c r="M52" s="217"/>
      <c r="N52" s="72">
        <v>0.3</v>
      </c>
      <c r="O52" s="74" t="s">
        <v>64</v>
      </c>
      <c r="P52" s="25">
        <f>IF(P46&lt;1000001,0,((P46-1000000)*0.3))</f>
        <v>0</v>
      </c>
    </row>
    <row r="53" spans="1:16" s="13" customFormat="1" ht="15" customHeight="1">
      <c r="A53" s="202"/>
      <c r="B53" s="283" t="s">
        <v>109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5"/>
      <c r="O53" s="74" t="s">
        <v>64</v>
      </c>
      <c r="P53" s="21">
        <f>SUM(P49:P52)</f>
        <v>105110</v>
      </c>
    </row>
    <row r="54" spans="1:16" s="13" customFormat="1" ht="15" customHeight="1">
      <c r="A54" s="202"/>
      <c r="B54" s="283" t="s">
        <v>110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5"/>
      <c r="O54" s="74" t="s">
        <v>64</v>
      </c>
      <c r="P54" s="22">
        <f>IF(P46&gt;500000,0,IF(P53&lt;12501,P53,12500))</f>
        <v>0</v>
      </c>
    </row>
    <row r="55" spans="1:16" s="13" customFormat="1" ht="15" customHeight="1">
      <c r="A55" s="202"/>
      <c r="B55" s="283" t="s">
        <v>111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5"/>
      <c r="O55" s="74" t="s">
        <v>64</v>
      </c>
      <c r="P55" s="21">
        <f>P53-P54</f>
        <v>105110</v>
      </c>
    </row>
    <row r="56" spans="1:16" s="13" customFormat="1" ht="15" customHeight="1">
      <c r="A56" s="202"/>
      <c r="B56" s="286" t="s">
        <v>112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74" t="s">
        <v>64</v>
      </c>
      <c r="P56" s="22">
        <f>ROUND(P55*0.04,0)</f>
        <v>4204</v>
      </c>
    </row>
    <row r="57" spans="1:16" s="13" customFormat="1" ht="15" customHeight="1">
      <c r="A57" s="248"/>
      <c r="B57" s="287" t="s">
        <v>113</v>
      </c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9"/>
      <c r="O57" s="74" t="s">
        <v>64</v>
      </c>
      <c r="P57" s="21">
        <f>SUM(P55:P56)</f>
        <v>109314</v>
      </c>
    </row>
    <row r="58" spans="1:16" s="13" customFormat="1" ht="15" customHeight="1">
      <c r="A58" s="77">
        <v>17</v>
      </c>
      <c r="B58" s="249" t="s">
        <v>114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72"/>
      <c r="O58" s="74" t="s">
        <v>64</v>
      </c>
      <c r="P58" s="22">
        <f>'Other Deduction'!E17</f>
        <v>0</v>
      </c>
    </row>
    <row r="59" spans="1:16" s="13" customFormat="1" ht="15" customHeight="1">
      <c r="A59" s="77">
        <v>18</v>
      </c>
      <c r="B59" s="213" t="s">
        <v>115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74" t="s">
        <v>64</v>
      </c>
      <c r="P59" s="21">
        <f>P57-P58</f>
        <v>109314</v>
      </c>
    </row>
    <row r="60" spans="1:16" ht="33.75" customHeight="1">
      <c r="A60" s="201">
        <v>19</v>
      </c>
      <c r="B60" s="276" t="s">
        <v>116</v>
      </c>
      <c r="C60" s="277"/>
      <c r="D60" s="278"/>
      <c r="E60" s="273" t="s">
        <v>117</v>
      </c>
      <c r="F60" s="273"/>
      <c r="G60" s="273"/>
      <c r="H60" s="273"/>
      <c r="I60" s="274" t="s">
        <v>118</v>
      </c>
      <c r="J60" s="275"/>
      <c r="K60" s="75" t="s">
        <v>119</v>
      </c>
      <c r="L60" s="274" t="s">
        <v>120</v>
      </c>
      <c r="M60" s="275"/>
      <c r="N60" s="75" t="s">
        <v>121</v>
      </c>
      <c r="O60" s="274" t="s">
        <v>122</v>
      </c>
      <c r="P60" s="296"/>
    </row>
    <row r="61" spans="1:16">
      <c r="A61" s="248"/>
      <c r="B61" s="279"/>
      <c r="C61" s="280"/>
      <c r="D61" s="281"/>
      <c r="E61" s="267">
        <f>SUM(Salary!V9:V15)</f>
        <v>35000</v>
      </c>
      <c r="F61" s="267"/>
      <c r="G61" s="267"/>
      <c r="H61" s="267"/>
      <c r="I61" s="267">
        <f>SUM(Salary!V16:V18)</f>
        <v>15000</v>
      </c>
      <c r="J61" s="267"/>
      <c r="K61" s="18">
        <f>Salary!V19</f>
        <v>5000</v>
      </c>
      <c r="L61" s="267">
        <f>Salary!V20</f>
        <v>5000</v>
      </c>
      <c r="M61" s="267"/>
      <c r="N61" s="40">
        <f>SUM(Salary!V21:V28)+'Other Deduction'!E18</f>
        <v>0</v>
      </c>
      <c r="O61" s="268">
        <f>E61+I61+K61+L61+N61</f>
        <v>60000</v>
      </c>
      <c r="P61" s="269"/>
    </row>
    <row r="62" spans="1:16" ht="16.5" thickBot="1">
      <c r="A62" s="270" t="str">
        <f>IF(P59&gt;O61,"Income Tax Payable",IF(P59&lt;O61,"Income Tax Refundable","Income Tax Payble/Refundable"))</f>
        <v>Income Tax Payable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74" t="s">
        <v>64</v>
      </c>
      <c r="P62" s="26">
        <f>IF(P59&gt;O61,P59-O61,O61-P59)</f>
        <v>49314</v>
      </c>
    </row>
    <row r="63" spans="1:16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28"/>
    </row>
    <row r="64" spans="1:16">
      <c r="A64" s="80"/>
      <c r="B64" s="175" t="s">
        <v>124</v>
      </c>
      <c r="C64" s="175"/>
      <c r="D64" s="175"/>
      <c r="E64" s="175"/>
      <c r="F64" s="81"/>
      <c r="G64" s="81"/>
      <c r="H64" s="81"/>
      <c r="I64" s="81"/>
      <c r="J64" s="81"/>
      <c r="K64" s="81"/>
      <c r="L64" s="175" t="s">
        <v>24</v>
      </c>
      <c r="M64" s="175"/>
      <c r="N64" s="175"/>
      <c r="O64" s="175"/>
      <c r="P64" s="82"/>
    </row>
    <row r="65" spans="1:17">
      <c r="A65" s="175"/>
      <c r="B65" s="175"/>
      <c r="C65" s="175"/>
      <c r="D65" s="175"/>
      <c r="E65" s="81"/>
      <c r="F65" s="81"/>
      <c r="G65" s="81"/>
      <c r="H65" s="81"/>
      <c r="I65" s="81"/>
      <c r="J65" s="81"/>
      <c r="K65" s="81"/>
      <c r="L65" s="81"/>
      <c r="M65" s="175"/>
      <c r="N65" s="175"/>
      <c r="O65" s="175"/>
      <c r="P65" s="175"/>
    </row>
    <row r="66" spans="1:17" s="41" customFormat="1" ht="15.75" hidden="1" customHeight="1">
      <c r="A66" s="83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</row>
    <row r="67" spans="1:17" s="41" customFormat="1" ht="15.75" hidden="1" customHeight="1">
      <c r="A67" s="8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</row>
    <row r="68" spans="1:17" s="41" customFormat="1" ht="24" hidden="1" customHeight="1">
      <c r="A68" s="83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</row>
    <row r="69" spans="1:17" s="41" customFormat="1" ht="15.75" hidden="1" customHeight="1">
      <c r="A69" s="83"/>
      <c r="B69" s="85"/>
      <c r="C69" s="85"/>
      <c r="D69" s="85"/>
      <c r="E69" s="85"/>
      <c r="F69" s="85"/>
      <c r="G69" s="85"/>
      <c r="H69" s="85"/>
      <c r="I69" s="85"/>
      <c r="J69" s="85"/>
      <c r="K69" s="282"/>
      <c r="L69" s="282"/>
      <c r="M69" s="282"/>
      <c r="N69" s="282"/>
      <c r="O69" s="282"/>
      <c r="P69" s="282"/>
    </row>
    <row r="70" spans="1:17" s="41" customFormat="1" ht="15.75" hidden="1" customHeight="1">
      <c r="A70" s="83"/>
      <c r="B70" s="85"/>
      <c r="C70" s="85"/>
      <c r="D70" s="85"/>
      <c r="E70" s="85"/>
      <c r="F70" s="85"/>
      <c r="G70" s="85"/>
      <c r="H70" s="85"/>
      <c r="I70" s="85"/>
      <c r="J70" s="85"/>
      <c r="K70" s="282"/>
      <c r="L70" s="282"/>
      <c r="M70" s="282"/>
      <c r="N70" s="282"/>
      <c r="O70" s="282"/>
      <c r="P70" s="282"/>
    </row>
    <row r="71" spans="1:17" s="41" customFormat="1" ht="15.75" hidden="1" customHeight="1">
      <c r="A71" s="83"/>
      <c r="B71" s="85"/>
      <c r="C71" s="85"/>
      <c r="D71" s="85"/>
      <c r="E71" s="85"/>
      <c r="F71" s="85"/>
      <c r="G71" s="85"/>
      <c r="H71" s="85"/>
      <c r="I71" s="85"/>
      <c r="J71" s="85"/>
      <c r="K71" s="282"/>
      <c r="L71" s="282"/>
      <c r="M71" s="282"/>
      <c r="N71" s="282"/>
      <c r="O71" s="282"/>
      <c r="P71" s="282"/>
    </row>
    <row r="72" spans="1:17" s="41" customFormat="1" ht="15.75" hidden="1" customHeight="1">
      <c r="A72" s="83"/>
      <c r="B72" s="85"/>
      <c r="C72" s="85"/>
      <c r="D72" s="85"/>
      <c r="E72" s="85"/>
      <c r="F72" s="85"/>
      <c r="G72" s="85"/>
      <c r="H72" s="85"/>
      <c r="I72" s="85"/>
      <c r="J72" s="85"/>
      <c r="K72" s="282"/>
      <c r="L72" s="282"/>
      <c r="M72" s="282"/>
      <c r="N72" s="282"/>
      <c r="O72" s="282"/>
      <c r="P72" s="282"/>
    </row>
    <row r="73" spans="1:17" s="41" customFormat="1" ht="15.75" hidden="1" customHeight="1">
      <c r="A73" s="83"/>
      <c r="B73" s="85"/>
      <c r="C73" s="85"/>
      <c r="D73" s="85"/>
      <c r="E73" s="85"/>
      <c r="F73" s="85"/>
      <c r="G73" s="85"/>
      <c r="H73" s="85"/>
      <c r="I73" s="85"/>
      <c r="J73" s="85"/>
      <c r="K73" s="282"/>
      <c r="L73" s="282"/>
      <c r="M73" s="282"/>
      <c r="N73" s="282"/>
      <c r="O73" s="282"/>
      <c r="P73" s="282"/>
    </row>
    <row r="74" spans="1:17" s="41" customFormat="1" hidden="1">
      <c r="A74" s="84"/>
      <c r="B74" s="86"/>
      <c r="C74" s="218"/>
      <c r="D74" s="218"/>
      <c r="E74" s="218"/>
      <c r="F74" s="218"/>
      <c r="G74" s="218"/>
      <c r="H74" s="218"/>
      <c r="I74" s="218"/>
      <c r="J74" s="86"/>
      <c r="K74" s="282"/>
      <c r="L74" s="282"/>
      <c r="M74" s="282"/>
      <c r="N74" s="282"/>
      <c r="O74" s="282"/>
      <c r="P74" s="282"/>
    </row>
    <row r="75" spans="1:17" s="41" customFormat="1" hidden="1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282"/>
      <c r="L75" s="282"/>
      <c r="M75" s="282"/>
      <c r="N75" s="282"/>
      <c r="O75" s="282"/>
      <c r="P75" s="282"/>
    </row>
    <row r="76" spans="1:17" hidden="1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90"/>
      <c r="Q76" s="39"/>
    </row>
    <row r="77" spans="1:17" hidden="1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90"/>
      <c r="Q77" s="39"/>
    </row>
    <row r="78" spans="1:17" hidden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90"/>
      <c r="Q78" s="39"/>
    </row>
    <row r="79" spans="1:17" hidden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  <c r="P79" s="94"/>
    </row>
    <row r="80" spans="1:17" hidden="1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/>
      <c r="P80" s="94"/>
    </row>
    <row r="81" spans="1:16" hidden="1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/>
      <c r="P81" s="94"/>
    </row>
    <row r="82" spans="1:16" hidden="1"/>
  </sheetData>
  <sheetProtection password="FC12" sheet="1" objects="1" scenario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3">
    <mergeCell ref="K69:P75"/>
    <mergeCell ref="B53:N53"/>
    <mergeCell ref="B56:N56"/>
    <mergeCell ref="B57:N57"/>
    <mergeCell ref="A47:A57"/>
    <mergeCell ref="B47:P47"/>
    <mergeCell ref="B48:F48"/>
    <mergeCell ref="G48:J48"/>
    <mergeCell ref="K48:N48"/>
    <mergeCell ref="B51:D51"/>
    <mergeCell ref="B52:D52"/>
    <mergeCell ref="B49:D49"/>
    <mergeCell ref="B50:D50"/>
    <mergeCell ref="E51:F51"/>
    <mergeCell ref="G51:I51"/>
    <mergeCell ref="K51:M51"/>
    <mergeCell ref="G50:I50"/>
    <mergeCell ref="K50:M50"/>
    <mergeCell ref="B54:N54"/>
    <mergeCell ref="B55:N55"/>
    <mergeCell ref="B66:P68"/>
    <mergeCell ref="O60:P60"/>
    <mergeCell ref="E61:H61"/>
    <mergeCell ref="I61:J61"/>
    <mergeCell ref="E52:F52"/>
    <mergeCell ref="G52:I52"/>
    <mergeCell ref="K52:M52"/>
    <mergeCell ref="L61:M61"/>
    <mergeCell ref="O61:P61"/>
    <mergeCell ref="A62:N62"/>
    <mergeCell ref="B58:N58"/>
    <mergeCell ref="B59:N59"/>
    <mergeCell ref="E60:H60"/>
    <mergeCell ref="I60:J60"/>
    <mergeCell ref="L60:M60"/>
    <mergeCell ref="B60:D61"/>
    <mergeCell ref="A60:A61"/>
    <mergeCell ref="K49:M49"/>
    <mergeCell ref="C28:F28"/>
    <mergeCell ref="B30:N30"/>
    <mergeCell ref="J20:L20"/>
    <mergeCell ref="A34:A43"/>
    <mergeCell ref="B34:P34"/>
    <mergeCell ref="B35:N35"/>
    <mergeCell ref="B36:N36"/>
    <mergeCell ref="B37:N37"/>
    <mergeCell ref="B38:N38"/>
    <mergeCell ref="B39:N39"/>
    <mergeCell ref="B40:N40"/>
    <mergeCell ref="B43:N43"/>
    <mergeCell ref="B41:N41"/>
    <mergeCell ref="B42:N42"/>
    <mergeCell ref="O20:P29"/>
    <mergeCell ref="C22:F22"/>
    <mergeCell ref="J22:L22"/>
    <mergeCell ref="C23:F23"/>
    <mergeCell ref="J23:L23"/>
    <mergeCell ref="A1:P1"/>
    <mergeCell ref="A2:P2"/>
    <mergeCell ref="B3:C3"/>
    <mergeCell ref="O3:P3"/>
    <mergeCell ref="B4:N4"/>
    <mergeCell ref="B5:N5"/>
    <mergeCell ref="B6:N6"/>
    <mergeCell ref="B10:N10"/>
    <mergeCell ref="B7:K7"/>
    <mergeCell ref="L7:N7"/>
    <mergeCell ref="B9:K9"/>
    <mergeCell ref="L9:N9"/>
    <mergeCell ref="D3:I3"/>
    <mergeCell ref="K3:M3"/>
    <mergeCell ref="A7:A9"/>
    <mergeCell ref="L8:N8"/>
    <mergeCell ref="B8:K8"/>
    <mergeCell ref="O7:P8"/>
    <mergeCell ref="C74:I74"/>
    <mergeCell ref="L11:N11"/>
    <mergeCell ref="O11:P13"/>
    <mergeCell ref="G12:I12"/>
    <mergeCell ref="J12:K12"/>
    <mergeCell ref="B14:N14"/>
    <mergeCell ref="B15:N15"/>
    <mergeCell ref="B16:N16"/>
    <mergeCell ref="B17:N17"/>
    <mergeCell ref="C26:F26"/>
    <mergeCell ref="L12:N12"/>
    <mergeCell ref="G13:I13"/>
    <mergeCell ref="J13:K13"/>
    <mergeCell ref="L13:N13"/>
    <mergeCell ref="C27:F27"/>
    <mergeCell ref="J27:L27"/>
    <mergeCell ref="B44:N44"/>
    <mergeCell ref="E50:F50"/>
    <mergeCell ref="B18:P18"/>
    <mergeCell ref="B19:P19"/>
    <mergeCell ref="C20:F20"/>
    <mergeCell ref="C21:F21"/>
    <mergeCell ref="B29:L29"/>
    <mergeCell ref="J28:L28"/>
    <mergeCell ref="M65:P65"/>
    <mergeCell ref="B32:N32"/>
    <mergeCell ref="B31:N31"/>
    <mergeCell ref="B33:N33"/>
    <mergeCell ref="B64:E64"/>
    <mergeCell ref="L64:O64"/>
    <mergeCell ref="J26:L26"/>
    <mergeCell ref="A11:A13"/>
    <mergeCell ref="B11:I11"/>
    <mergeCell ref="J11:K11"/>
    <mergeCell ref="D13:F13"/>
    <mergeCell ref="D12:F12"/>
    <mergeCell ref="B12:C13"/>
    <mergeCell ref="A18:A30"/>
    <mergeCell ref="A65:D65"/>
    <mergeCell ref="C24:F24"/>
    <mergeCell ref="C25:F25"/>
    <mergeCell ref="J25:L25"/>
    <mergeCell ref="B45:N45"/>
    <mergeCell ref="J21:L21"/>
    <mergeCell ref="J24:L24"/>
    <mergeCell ref="B46:N46"/>
    <mergeCell ref="E49:F49"/>
    <mergeCell ref="G49:I49"/>
  </mergeCells>
  <printOptions horizontalCentered="1"/>
  <pageMargins left="0.39370078740157499" right="0.23622047244094499" top="0.23622047244094499" bottom="0.27559055118110198" header="0.196850393700787" footer="0.23622047244094499"/>
  <pageSetup paperSize="9" scale="75" orientation="portrait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R82"/>
  <sheetViews>
    <sheetView showGridLines="0" workbookViewId="0">
      <selection activeCell="B4" sqref="B4:N4"/>
    </sheetView>
  </sheetViews>
  <sheetFormatPr defaultColWidth="0" defaultRowHeight="15.75" customHeight="1" zeroHeight="1"/>
  <cols>
    <col min="1" max="1" width="4.5703125" style="10" customWidth="1" collapsed="1"/>
    <col min="2" max="2" width="4.5703125" style="9" customWidth="1" collapsed="1"/>
    <col min="3" max="4" width="9.140625" style="9" customWidth="1" collapsed="1"/>
    <col min="5" max="5" width="3.85546875" style="9" customWidth="1" collapsed="1"/>
    <col min="6" max="6" width="5.42578125" style="9" customWidth="1" collapsed="1"/>
    <col min="7" max="7" width="4.5703125" style="9" customWidth="1" collapsed="1"/>
    <col min="8" max="8" width="11.85546875" style="9" customWidth="1" collapsed="1"/>
    <col min="9" max="9" width="5.140625" style="9" customWidth="1" collapsed="1"/>
    <col min="10" max="10" width="11.7109375" style="9" customWidth="1" collapsed="1"/>
    <col min="11" max="11" width="11.42578125" style="9" customWidth="1" collapsed="1"/>
    <col min="12" max="12" width="9.42578125" style="9" customWidth="1" collapsed="1"/>
    <col min="13" max="13" width="4.5703125" style="9" customWidth="1" collapsed="1"/>
    <col min="14" max="14" width="12.7109375" style="9" customWidth="1" collapsed="1"/>
    <col min="15" max="15" width="3.85546875" style="11" customWidth="1" collapsed="1"/>
    <col min="16" max="16" width="19.28515625" style="12" customWidth="1" collapsed="1"/>
    <col min="17" max="17" width="2.42578125" customWidth="1" collapsed="1"/>
    <col min="18" max="18" width="0" hidden="1" customWidth="1"/>
    <col min="19" max="16384" width="9.140625" hidden="1" collapsed="1"/>
  </cols>
  <sheetData>
    <row r="1" spans="1:16" s="13" customFormat="1" ht="18.75">
      <c r="A1" s="234" t="str">
        <f>Salary!C4</f>
        <v>GOVT. SENIOR SECONDARY SCHOOL, GORDHANPURA BARAN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13" customFormat="1" ht="21.75" thickBot="1">
      <c r="A2" s="235" t="s">
        <v>123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13" customFormat="1" ht="15" customHeight="1">
      <c r="A3" s="76">
        <v>1</v>
      </c>
      <c r="B3" s="236" t="s">
        <v>76</v>
      </c>
      <c r="C3" s="237"/>
      <c r="D3" s="246" t="str">
        <f>Salary!D5</f>
        <v>Parmanand Meghwal</v>
      </c>
      <c r="E3" s="246"/>
      <c r="F3" s="246"/>
      <c r="G3" s="246"/>
      <c r="H3" s="246"/>
      <c r="I3" s="246"/>
      <c r="J3" s="71" t="s">
        <v>49</v>
      </c>
      <c r="K3" s="247" t="str">
        <f>Salary!M5</f>
        <v>Principal</v>
      </c>
      <c r="L3" s="247"/>
      <c r="M3" s="247"/>
      <c r="N3" s="27" t="s">
        <v>17</v>
      </c>
      <c r="O3" s="238">
        <f>Salary!S5</f>
        <v>0</v>
      </c>
      <c r="P3" s="239"/>
    </row>
    <row r="4" spans="1:16" s="13" customFormat="1" ht="15" customHeight="1">
      <c r="A4" s="77">
        <v>2</v>
      </c>
      <c r="B4" s="240" t="s">
        <v>185</v>
      </c>
      <c r="C4" s="240"/>
      <c r="D4" s="189"/>
      <c r="E4" s="189"/>
      <c r="F4" s="189"/>
      <c r="G4" s="189"/>
      <c r="H4" s="189"/>
      <c r="I4" s="189"/>
      <c r="J4" s="240"/>
      <c r="K4" s="189"/>
      <c r="L4" s="189"/>
      <c r="M4" s="189"/>
      <c r="N4" s="240"/>
      <c r="O4" s="113" t="s">
        <v>64</v>
      </c>
      <c r="P4" s="21">
        <f>IF(Salary!W2="No",Salary!N29,(Salary!N29+Salary!O29))</f>
        <v>1172230</v>
      </c>
    </row>
    <row r="5" spans="1:16" s="13" customFormat="1" ht="15" customHeight="1">
      <c r="A5" s="77">
        <v>3</v>
      </c>
      <c r="B5" s="241" t="s">
        <v>78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113" t="s">
        <v>64</v>
      </c>
      <c r="P5" s="22">
        <v>0</v>
      </c>
    </row>
    <row r="6" spans="1:16" s="13" customFormat="1" ht="15" customHeight="1">
      <c r="A6" s="77">
        <v>4</v>
      </c>
      <c r="B6" s="242" t="s">
        <v>18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13" t="s">
        <v>64</v>
      </c>
      <c r="P6" s="22">
        <f>P4-P5</f>
        <v>1172230</v>
      </c>
    </row>
    <row r="7" spans="1:16" s="13" customFormat="1" ht="15" customHeight="1">
      <c r="A7" s="201">
        <v>5</v>
      </c>
      <c r="B7" s="243" t="s">
        <v>85</v>
      </c>
      <c r="C7" s="244"/>
      <c r="D7" s="244"/>
      <c r="E7" s="244"/>
      <c r="F7" s="244"/>
      <c r="G7" s="244"/>
      <c r="H7" s="244"/>
      <c r="I7" s="244"/>
      <c r="J7" s="244"/>
      <c r="K7" s="244"/>
      <c r="L7" s="219">
        <f>'Other Deduction'!B4</f>
        <v>0</v>
      </c>
      <c r="M7" s="219"/>
      <c r="N7" s="219"/>
      <c r="O7" s="251"/>
      <c r="P7" s="252"/>
    </row>
    <row r="8" spans="1:16" s="13" customFormat="1" ht="15" customHeight="1">
      <c r="A8" s="202"/>
      <c r="B8" s="249" t="s">
        <v>86</v>
      </c>
      <c r="C8" s="250"/>
      <c r="D8" s="250"/>
      <c r="E8" s="250"/>
      <c r="F8" s="250"/>
      <c r="G8" s="250"/>
      <c r="H8" s="250"/>
      <c r="I8" s="250"/>
      <c r="J8" s="250"/>
      <c r="K8" s="250"/>
      <c r="L8" s="219">
        <f>'Other Deduction'!B5</f>
        <v>0</v>
      </c>
      <c r="M8" s="219"/>
      <c r="N8" s="219"/>
      <c r="O8" s="253"/>
      <c r="P8" s="254"/>
    </row>
    <row r="9" spans="1:16" s="13" customFormat="1" ht="15" customHeight="1">
      <c r="A9" s="248"/>
      <c r="B9" s="245" t="s">
        <v>87</v>
      </c>
      <c r="C9" s="244"/>
      <c r="D9" s="244"/>
      <c r="E9" s="244"/>
      <c r="F9" s="244"/>
      <c r="G9" s="244"/>
      <c r="H9" s="244"/>
      <c r="I9" s="244"/>
      <c r="J9" s="244"/>
      <c r="K9" s="244"/>
      <c r="L9" s="219">
        <v>0</v>
      </c>
      <c r="M9" s="219"/>
      <c r="N9" s="219"/>
      <c r="O9" s="113" t="s">
        <v>64</v>
      </c>
      <c r="P9" s="22">
        <f>SUM(L7:N9)</f>
        <v>0</v>
      </c>
    </row>
    <row r="10" spans="1:16" s="13" customFormat="1" ht="15" customHeight="1">
      <c r="A10" s="77">
        <v>6</v>
      </c>
      <c r="B10" s="225" t="s">
        <v>79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113" t="s">
        <v>64</v>
      </c>
      <c r="P10" s="22">
        <f>P6-P9</f>
        <v>1172230</v>
      </c>
    </row>
    <row r="11" spans="1:16" s="13" customFormat="1" ht="15" customHeight="1">
      <c r="A11" s="188">
        <v>7</v>
      </c>
      <c r="B11" s="189" t="s">
        <v>80</v>
      </c>
      <c r="C11" s="189"/>
      <c r="D11" s="189"/>
      <c r="E11" s="189"/>
      <c r="F11" s="189"/>
      <c r="G11" s="189"/>
      <c r="H11" s="189"/>
      <c r="I11" s="189"/>
      <c r="J11" s="190" t="s">
        <v>81</v>
      </c>
      <c r="K11" s="190"/>
      <c r="L11" s="219">
        <f>'Other Deduction'!B6</f>
        <v>0</v>
      </c>
      <c r="M11" s="219"/>
      <c r="N11" s="219"/>
      <c r="O11" s="220"/>
      <c r="P11" s="221"/>
    </row>
    <row r="12" spans="1:16" s="13" customFormat="1" ht="27.75" customHeight="1">
      <c r="A12" s="188"/>
      <c r="B12" s="197" t="s">
        <v>83</v>
      </c>
      <c r="C12" s="198"/>
      <c r="D12" s="194" t="s">
        <v>82</v>
      </c>
      <c r="E12" s="195"/>
      <c r="F12" s="196"/>
      <c r="G12" s="222" t="s">
        <v>84</v>
      </c>
      <c r="H12" s="223"/>
      <c r="I12" s="224"/>
      <c r="J12" s="190" t="s">
        <v>88</v>
      </c>
      <c r="K12" s="190"/>
      <c r="L12" s="190" t="s">
        <v>48</v>
      </c>
      <c r="M12" s="190"/>
      <c r="N12" s="190"/>
      <c r="O12" s="220"/>
      <c r="P12" s="221"/>
    </row>
    <row r="13" spans="1:16" s="13" customFormat="1" ht="15" customHeight="1">
      <c r="A13" s="188"/>
      <c r="B13" s="199"/>
      <c r="C13" s="200"/>
      <c r="D13" s="191">
        <f>ROUND(L11*0.3,0)</f>
        <v>0</v>
      </c>
      <c r="E13" s="192"/>
      <c r="F13" s="193"/>
      <c r="G13" s="191">
        <f>IF((Salary!U29+'Other Deduction'!B9)&gt;200000,200000,(Salary!U29+'Other Deduction'!B9))</f>
        <v>0</v>
      </c>
      <c r="H13" s="192"/>
      <c r="I13" s="193"/>
      <c r="J13" s="219">
        <f>'Other Deduction'!B7</f>
        <v>0</v>
      </c>
      <c r="K13" s="219"/>
      <c r="L13" s="219">
        <f>D13+G13+J13</f>
        <v>0</v>
      </c>
      <c r="M13" s="219"/>
      <c r="N13" s="219"/>
      <c r="O13" s="220"/>
      <c r="P13" s="221"/>
    </row>
    <row r="14" spans="1:16" s="13" customFormat="1" ht="15" customHeight="1">
      <c r="A14" s="77"/>
      <c r="B14" s="225" t="s">
        <v>89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113" t="s">
        <v>64</v>
      </c>
      <c r="P14" s="22">
        <f>L11-L13</f>
        <v>0</v>
      </c>
    </row>
    <row r="15" spans="1:16" s="13" customFormat="1" ht="15" customHeight="1">
      <c r="A15" s="77">
        <v>8</v>
      </c>
      <c r="B15" s="225" t="s">
        <v>90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113" t="s">
        <v>64</v>
      </c>
      <c r="P15" s="22">
        <f>P10+P14</f>
        <v>1172230</v>
      </c>
    </row>
    <row r="16" spans="1:16" s="13" customFormat="1" ht="15" customHeight="1">
      <c r="A16" s="77">
        <v>9</v>
      </c>
      <c r="B16" s="189" t="s">
        <v>91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13" t="s">
        <v>64</v>
      </c>
      <c r="P16" s="22">
        <f>'Other Deduction'!E3+'Other Deduction'!E4</f>
        <v>0</v>
      </c>
    </row>
    <row r="17" spans="1:16" s="13" customFormat="1" ht="15" customHeight="1">
      <c r="A17" s="77">
        <v>10</v>
      </c>
      <c r="B17" s="18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13" t="s">
        <v>64</v>
      </c>
      <c r="P17" s="21">
        <f>P15+P16</f>
        <v>1172230</v>
      </c>
    </row>
    <row r="18" spans="1:16" s="13" customFormat="1" ht="15" customHeight="1">
      <c r="A18" s="201">
        <v>11</v>
      </c>
      <c r="B18" s="213" t="s">
        <v>93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29"/>
    </row>
    <row r="19" spans="1:16" s="13" customFormat="1" ht="18" customHeight="1">
      <c r="A19" s="202"/>
      <c r="B19" s="213" t="s">
        <v>143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29"/>
    </row>
    <row r="20" spans="1:16" s="13" customFormat="1" ht="14.25" customHeight="1">
      <c r="A20" s="202"/>
      <c r="B20" s="64">
        <v>1</v>
      </c>
      <c r="C20" s="203" t="s">
        <v>141</v>
      </c>
      <c r="D20" s="204"/>
      <c r="E20" s="204"/>
      <c r="F20" s="204"/>
      <c r="G20" s="113" t="s">
        <v>64</v>
      </c>
      <c r="H20" s="66">
        <f>IF(Salary!W2="Yes",Salary!O29,0)</f>
        <v>0</v>
      </c>
      <c r="I20" s="64">
        <v>10</v>
      </c>
      <c r="J20" s="185" t="s">
        <v>63</v>
      </c>
      <c r="K20" s="186"/>
      <c r="L20" s="187"/>
      <c r="M20" s="113" t="s">
        <v>64</v>
      </c>
      <c r="N20" s="66">
        <f>'Other Deduction'!E6</f>
        <v>0</v>
      </c>
      <c r="O20" s="251"/>
      <c r="P20" s="252"/>
    </row>
    <row r="21" spans="1:16" s="13" customFormat="1" ht="26.25" customHeight="1">
      <c r="A21" s="202"/>
      <c r="B21" s="64">
        <v>2</v>
      </c>
      <c r="C21" s="203" t="s">
        <v>59</v>
      </c>
      <c r="D21" s="204"/>
      <c r="E21" s="204"/>
      <c r="F21" s="204"/>
      <c r="G21" s="113" t="s">
        <v>64</v>
      </c>
      <c r="H21" s="66">
        <f>Salary!R29+'Other Deduction'!B10</f>
        <v>0</v>
      </c>
      <c r="I21" s="64">
        <v>11</v>
      </c>
      <c r="J21" s="210" t="s">
        <v>65</v>
      </c>
      <c r="K21" s="211"/>
      <c r="L21" s="212"/>
      <c r="M21" s="113" t="s">
        <v>64</v>
      </c>
      <c r="N21" s="67">
        <f>'Other Deduction'!B15</f>
        <v>0</v>
      </c>
      <c r="O21" s="265"/>
      <c r="P21" s="266"/>
    </row>
    <row r="22" spans="1:16" s="13" customFormat="1" ht="14.25" customHeight="1">
      <c r="A22" s="202"/>
      <c r="B22" s="64">
        <v>3</v>
      </c>
      <c r="C22" s="203" t="s">
        <v>60</v>
      </c>
      <c r="D22" s="204"/>
      <c r="E22" s="204"/>
      <c r="F22" s="204"/>
      <c r="G22" s="113" t="s">
        <v>64</v>
      </c>
      <c r="H22" s="66">
        <f>'Other Deduction'!B14</f>
        <v>0</v>
      </c>
      <c r="I22" s="64">
        <v>12</v>
      </c>
      <c r="J22" s="210" t="s">
        <v>66</v>
      </c>
      <c r="K22" s="211"/>
      <c r="L22" s="212"/>
      <c r="M22" s="113" t="s">
        <v>64</v>
      </c>
      <c r="N22" s="67">
        <f>'Other Deduction'!B12</f>
        <v>0</v>
      </c>
      <c r="O22" s="265"/>
      <c r="P22" s="266"/>
    </row>
    <row r="23" spans="1:16" s="13" customFormat="1" ht="15" customHeight="1">
      <c r="A23" s="202"/>
      <c r="B23" s="64">
        <v>4</v>
      </c>
      <c r="C23" s="203" t="s">
        <v>72</v>
      </c>
      <c r="D23" s="204"/>
      <c r="E23" s="204"/>
      <c r="F23" s="204"/>
      <c r="G23" s="113" t="s">
        <v>64</v>
      </c>
      <c r="H23" s="66">
        <f>'Other Deduction'!B16</f>
        <v>0</v>
      </c>
      <c r="I23" s="64">
        <v>13</v>
      </c>
      <c r="J23" s="210" t="s">
        <v>67</v>
      </c>
      <c r="K23" s="211"/>
      <c r="L23" s="212"/>
      <c r="M23" s="113" t="s">
        <v>64</v>
      </c>
      <c r="N23" s="66">
        <f>'Other Deduction'!E15</f>
        <v>0</v>
      </c>
      <c r="O23" s="265"/>
      <c r="P23" s="266"/>
    </row>
    <row r="24" spans="1:16" s="13" customFormat="1" ht="15.75" customHeight="1">
      <c r="A24" s="202"/>
      <c r="B24" s="64">
        <v>5</v>
      </c>
      <c r="C24" s="203" t="s">
        <v>73</v>
      </c>
      <c r="D24" s="204"/>
      <c r="E24" s="204"/>
      <c r="F24" s="204"/>
      <c r="G24" s="113" t="s">
        <v>64</v>
      </c>
      <c r="H24" s="66">
        <f>'Other Deduction'!B17</f>
        <v>0</v>
      </c>
      <c r="I24" s="64">
        <v>14</v>
      </c>
      <c r="J24" s="185" t="s">
        <v>68</v>
      </c>
      <c r="K24" s="208"/>
      <c r="L24" s="209"/>
      <c r="M24" s="113" t="s">
        <v>64</v>
      </c>
      <c r="N24" s="66">
        <f>'Other Deduction'!E16</f>
        <v>0</v>
      </c>
      <c r="O24" s="265"/>
      <c r="P24" s="266"/>
    </row>
    <row r="25" spans="1:16" s="13" customFormat="1" ht="15.75" customHeight="1">
      <c r="A25" s="202"/>
      <c r="B25" s="64">
        <v>6</v>
      </c>
      <c r="C25" s="205" t="s">
        <v>132</v>
      </c>
      <c r="D25" s="206"/>
      <c r="E25" s="206"/>
      <c r="F25" s="207"/>
      <c r="G25" s="113" t="s">
        <v>64</v>
      </c>
      <c r="H25" s="66">
        <f>IF(Salary!W2="No",Salary!O29,0)</f>
        <v>0</v>
      </c>
      <c r="I25" s="64">
        <v>15</v>
      </c>
      <c r="J25" s="185" t="s">
        <v>69</v>
      </c>
      <c r="K25" s="208"/>
      <c r="L25" s="209"/>
      <c r="M25" s="113" t="s">
        <v>64</v>
      </c>
      <c r="N25" s="66">
        <f>'Other Deduction'!B11</f>
        <v>0</v>
      </c>
      <c r="O25" s="265"/>
      <c r="P25" s="266"/>
    </row>
    <row r="26" spans="1:16" s="13" customFormat="1" ht="15" customHeight="1">
      <c r="A26" s="202"/>
      <c r="B26" s="64">
        <v>7</v>
      </c>
      <c r="C26" s="205" t="s">
        <v>61</v>
      </c>
      <c r="D26" s="206"/>
      <c r="E26" s="206"/>
      <c r="F26" s="207"/>
      <c r="G26" s="113" t="s">
        <v>64</v>
      </c>
      <c r="H26" s="67">
        <f>Salary!P29</f>
        <v>1044</v>
      </c>
      <c r="I26" s="64">
        <v>16</v>
      </c>
      <c r="J26" s="185" t="s">
        <v>70</v>
      </c>
      <c r="K26" s="186"/>
      <c r="L26" s="187"/>
      <c r="M26" s="113" t="s">
        <v>64</v>
      </c>
      <c r="N26" s="66">
        <f>'Other Deduction'!E5</f>
        <v>0</v>
      </c>
      <c r="O26" s="265"/>
      <c r="P26" s="266"/>
    </row>
    <row r="27" spans="1:16" s="13" customFormat="1" ht="15.75" customHeight="1">
      <c r="A27" s="202"/>
      <c r="B27" s="64">
        <v>8</v>
      </c>
      <c r="C27" s="203" t="s">
        <v>62</v>
      </c>
      <c r="D27" s="203"/>
      <c r="E27" s="203"/>
      <c r="F27" s="203"/>
      <c r="G27" s="113" t="s">
        <v>64</v>
      </c>
      <c r="H27" s="67">
        <f>'Other Deduction'!B13</f>
        <v>0</v>
      </c>
      <c r="I27" s="64">
        <v>17</v>
      </c>
      <c r="J27" s="210" t="s">
        <v>71</v>
      </c>
      <c r="K27" s="211"/>
      <c r="L27" s="212"/>
      <c r="M27" s="113" t="s">
        <v>64</v>
      </c>
      <c r="N27" s="66">
        <f>'Other Deduction'!B18</f>
        <v>0</v>
      </c>
      <c r="O27" s="265"/>
      <c r="P27" s="266"/>
    </row>
    <row r="28" spans="1:16" s="13" customFormat="1" ht="27" customHeight="1">
      <c r="A28" s="202"/>
      <c r="B28" s="68">
        <v>9</v>
      </c>
      <c r="C28" s="255" t="s">
        <v>175</v>
      </c>
      <c r="D28" s="255"/>
      <c r="E28" s="255"/>
      <c r="F28" s="255"/>
      <c r="G28" s="116" t="s">
        <v>64</v>
      </c>
      <c r="H28" s="70">
        <f>Salary!T29+'Other Deduction'!B8</f>
        <v>0</v>
      </c>
      <c r="I28" s="68">
        <v>18</v>
      </c>
      <c r="J28" s="233"/>
      <c r="K28" s="233"/>
      <c r="L28" s="233"/>
      <c r="M28" s="116" t="s">
        <v>64</v>
      </c>
      <c r="N28" s="66"/>
      <c r="O28" s="265"/>
      <c r="P28" s="266"/>
    </row>
    <row r="29" spans="1:16" s="13" customFormat="1" ht="15" customHeight="1">
      <c r="A29" s="202"/>
      <c r="B29" s="230" t="s">
        <v>75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16" t="s">
        <v>64</v>
      </c>
      <c r="N29" s="14">
        <f>SUM(H20:H28)+SUM(N20:N28)</f>
        <v>1044</v>
      </c>
      <c r="O29" s="253"/>
      <c r="P29" s="254"/>
    </row>
    <row r="30" spans="1:16" s="13" customFormat="1" ht="16.5" customHeight="1">
      <c r="A30" s="202"/>
      <c r="B30" s="256" t="s">
        <v>74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116" t="s">
        <v>64</v>
      </c>
      <c r="P30" s="21">
        <v>0</v>
      </c>
    </row>
    <row r="31" spans="1:16" s="13" customFormat="1" ht="17.25" customHeight="1">
      <c r="A31" s="112"/>
      <c r="B31" s="179" t="s">
        <v>144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16" t="s">
        <v>64</v>
      </c>
      <c r="P31" s="21">
        <f>IF(Salary!Q2="yes",Salary!O29,0)</f>
        <v>100634</v>
      </c>
    </row>
    <row r="32" spans="1:16" s="13" customFormat="1" ht="15" customHeight="1">
      <c r="A32" s="112"/>
      <c r="B32" s="176" t="s">
        <v>145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16" t="s">
        <v>64</v>
      </c>
      <c r="P32" s="21">
        <v>0</v>
      </c>
    </row>
    <row r="33" spans="1:16" s="13" customFormat="1" ht="15" customHeight="1">
      <c r="A33" s="112"/>
      <c r="B33" s="182" t="s">
        <v>146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16"/>
      <c r="P33" s="21">
        <f>P30+P31+P32</f>
        <v>100634</v>
      </c>
    </row>
    <row r="34" spans="1:16" s="13" customFormat="1" ht="15" customHeight="1">
      <c r="A34" s="201">
        <v>12</v>
      </c>
      <c r="B34" s="257" t="s">
        <v>94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8"/>
    </row>
    <row r="35" spans="1:16" s="13" customFormat="1" ht="27.75" customHeight="1">
      <c r="A35" s="202"/>
      <c r="B35" s="205" t="s">
        <v>95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60"/>
      <c r="O35" s="116" t="s">
        <v>64</v>
      </c>
      <c r="P35" s="22">
        <f>'Other Deduction'!E8</f>
        <v>0</v>
      </c>
    </row>
    <row r="36" spans="1:16" s="13" customFormat="1" ht="17.25" customHeight="1">
      <c r="A36" s="202"/>
      <c r="B36" s="261" t="s">
        <v>167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116" t="s">
        <v>64</v>
      </c>
      <c r="P36" s="22">
        <f>'Other Deduction'!E9</f>
        <v>0</v>
      </c>
    </row>
    <row r="37" spans="1:16" s="13" customFormat="1" ht="18" customHeight="1">
      <c r="A37" s="202"/>
      <c r="B37" s="261" t="s">
        <v>166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116" t="s">
        <v>64</v>
      </c>
      <c r="P37" s="22">
        <f>'Other Deduction'!E10</f>
        <v>0</v>
      </c>
    </row>
    <row r="38" spans="1:16" s="13" customFormat="1" ht="16.5" customHeight="1">
      <c r="A38" s="202"/>
      <c r="B38" s="261" t="s">
        <v>165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116" t="s">
        <v>64</v>
      </c>
      <c r="P38" s="22">
        <f>'Other Deduction'!E11</f>
        <v>0</v>
      </c>
    </row>
    <row r="39" spans="1:16" s="13" customFormat="1" ht="16.5" customHeight="1">
      <c r="A39" s="202"/>
      <c r="B39" s="261" t="s">
        <v>164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116" t="s">
        <v>64</v>
      </c>
      <c r="P39" s="22">
        <f>'Other Deduction'!E12</f>
        <v>0</v>
      </c>
    </row>
    <row r="40" spans="1:16" s="13" customFormat="1" ht="15" customHeight="1">
      <c r="A40" s="202"/>
      <c r="B40" s="205" t="s">
        <v>163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60"/>
      <c r="O40" s="116" t="s">
        <v>64</v>
      </c>
      <c r="P40" s="22">
        <f>'Other Deduction'!E13</f>
        <v>0</v>
      </c>
    </row>
    <row r="41" spans="1:16" s="13" customFormat="1" ht="17.25" customHeight="1">
      <c r="A41" s="202"/>
      <c r="B41" s="262" t="s">
        <v>162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4"/>
      <c r="O41" s="116" t="s">
        <v>64</v>
      </c>
      <c r="P41" s="22">
        <f>IF(Salary!P3="Yes",IF('Other Deduction'!E3&lt;50001,'Other Deduction'!E3,50000),IF('Other Deduction'!E3&lt;10001,'Other Deduction'!E3,10000))</f>
        <v>0</v>
      </c>
    </row>
    <row r="42" spans="1:16" s="13" customFormat="1" ht="15.75" customHeight="1">
      <c r="A42" s="202"/>
      <c r="B42" s="262" t="s">
        <v>161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4"/>
      <c r="O42" s="116" t="s">
        <v>64</v>
      </c>
      <c r="P42" s="22">
        <f>'Other Deduction'!E14</f>
        <v>0</v>
      </c>
    </row>
    <row r="43" spans="1:16" s="13" customFormat="1" ht="15" customHeight="1">
      <c r="A43" s="248"/>
      <c r="B43" s="256" t="s">
        <v>96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16" t="s">
        <v>64</v>
      </c>
      <c r="P43" s="23">
        <v>0</v>
      </c>
    </row>
    <row r="44" spans="1:16" s="13" customFormat="1" ht="15" customHeight="1">
      <c r="A44" s="77">
        <v>13</v>
      </c>
      <c r="B44" s="213" t="s">
        <v>97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16" t="s">
        <v>64</v>
      </c>
      <c r="P44" s="22">
        <f>P33+P43</f>
        <v>100634</v>
      </c>
    </row>
    <row r="45" spans="1:16" s="13" customFormat="1" ht="15" customHeight="1">
      <c r="A45" s="77">
        <v>14</v>
      </c>
      <c r="B45" s="189" t="s">
        <v>98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16" t="s">
        <v>64</v>
      </c>
      <c r="P45" s="22">
        <f>(P17-P44)</f>
        <v>1071596</v>
      </c>
    </row>
    <row r="46" spans="1:16" s="13" customFormat="1">
      <c r="A46" s="77">
        <v>15</v>
      </c>
      <c r="B46" s="213" t="s">
        <v>99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16" t="s">
        <v>64</v>
      </c>
      <c r="P46" s="21">
        <f>ROUND(P45,-1)</f>
        <v>1071600</v>
      </c>
    </row>
    <row r="47" spans="1:16" s="13" customFormat="1" ht="15" customHeight="1">
      <c r="A47" s="201">
        <v>16</v>
      </c>
      <c r="B47" s="189" t="s">
        <v>100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290"/>
    </row>
    <row r="48" spans="1:16" s="13" customFormat="1" ht="15" customHeight="1">
      <c r="A48" s="202"/>
      <c r="B48" s="291" t="s">
        <v>102</v>
      </c>
      <c r="C48" s="291"/>
      <c r="D48" s="291"/>
      <c r="E48" s="291"/>
      <c r="F48" s="291"/>
      <c r="G48" s="291" t="s">
        <v>101</v>
      </c>
      <c r="H48" s="291"/>
      <c r="I48" s="291"/>
      <c r="J48" s="291"/>
      <c r="K48" s="292" t="s">
        <v>103</v>
      </c>
      <c r="L48" s="293"/>
      <c r="M48" s="293"/>
      <c r="N48" s="294"/>
      <c r="O48" s="8"/>
      <c r="P48" s="24"/>
    </row>
    <row r="49" spans="1:16" s="13" customFormat="1" ht="15" customHeight="1">
      <c r="A49" s="202"/>
      <c r="B49" s="215" t="s">
        <v>104</v>
      </c>
      <c r="C49" s="216"/>
      <c r="D49" s="217"/>
      <c r="E49" s="214" t="s">
        <v>19</v>
      </c>
      <c r="F49" s="214"/>
      <c r="G49" s="215" t="s">
        <v>106</v>
      </c>
      <c r="H49" s="216"/>
      <c r="I49" s="217"/>
      <c r="J49" s="114" t="s">
        <v>19</v>
      </c>
      <c r="K49" s="215"/>
      <c r="L49" s="216"/>
      <c r="M49" s="217"/>
      <c r="N49" s="114"/>
      <c r="O49" s="116" t="s">
        <v>64</v>
      </c>
      <c r="P49" s="25">
        <v>0</v>
      </c>
    </row>
    <row r="50" spans="1:16" s="13" customFormat="1" ht="15" customHeight="1">
      <c r="A50" s="202"/>
      <c r="B50" s="215" t="s">
        <v>20</v>
      </c>
      <c r="C50" s="216"/>
      <c r="D50" s="217"/>
      <c r="E50" s="228">
        <v>0.05</v>
      </c>
      <c r="F50" s="214"/>
      <c r="G50" s="214" t="s">
        <v>36</v>
      </c>
      <c r="H50" s="214"/>
      <c r="I50" s="214"/>
      <c r="J50" s="115">
        <v>0.05</v>
      </c>
      <c r="K50" s="215" t="s">
        <v>105</v>
      </c>
      <c r="L50" s="216"/>
      <c r="M50" s="217"/>
      <c r="N50" s="114" t="s">
        <v>19</v>
      </c>
      <c r="O50" s="116" t="s">
        <v>64</v>
      </c>
      <c r="P50" s="25">
        <f>ROUND(IF(Salary!Q3="No",IF(P46&lt;250001,0,IF(P46&gt;500000,12500,((P46-250000)*0.05))),IF(P46&lt;300001,0,IF(P46&gt;500000,10000,((P46-300000)*0.05)))),0)</f>
        <v>10000</v>
      </c>
    </row>
    <row r="51" spans="1:16" s="13" customFormat="1" ht="15" customHeight="1">
      <c r="A51" s="202"/>
      <c r="B51" s="215" t="s">
        <v>21</v>
      </c>
      <c r="C51" s="216"/>
      <c r="D51" s="217"/>
      <c r="E51" s="228">
        <v>0.2</v>
      </c>
      <c r="F51" s="214"/>
      <c r="G51" s="214" t="s">
        <v>21</v>
      </c>
      <c r="H51" s="214"/>
      <c r="I51" s="214"/>
      <c r="J51" s="115">
        <v>0.2</v>
      </c>
      <c r="K51" s="215" t="s">
        <v>21</v>
      </c>
      <c r="L51" s="216"/>
      <c r="M51" s="217"/>
      <c r="N51" s="115">
        <v>0.2</v>
      </c>
      <c r="O51" s="116" t="s">
        <v>64</v>
      </c>
      <c r="P51" s="25">
        <f>IF(P46&lt;500001,0,IF(P46&gt;1000000,100000,((P46-500000)*0.2)))</f>
        <v>100000</v>
      </c>
    </row>
    <row r="52" spans="1:16" s="13" customFormat="1" ht="15" customHeight="1">
      <c r="A52" s="202"/>
      <c r="B52" s="215" t="s">
        <v>107</v>
      </c>
      <c r="C52" s="216"/>
      <c r="D52" s="217"/>
      <c r="E52" s="228">
        <v>0.3</v>
      </c>
      <c r="F52" s="214"/>
      <c r="G52" s="214" t="s">
        <v>108</v>
      </c>
      <c r="H52" s="214"/>
      <c r="I52" s="214"/>
      <c r="J52" s="115">
        <v>0.3</v>
      </c>
      <c r="K52" s="215" t="s">
        <v>108</v>
      </c>
      <c r="L52" s="216"/>
      <c r="M52" s="217"/>
      <c r="N52" s="115">
        <v>0.3</v>
      </c>
      <c r="O52" s="116" t="s">
        <v>64</v>
      </c>
      <c r="P52" s="25">
        <f>IF(P46&lt;1000001,0,((P46-1000000)*0.3))</f>
        <v>21480</v>
      </c>
    </row>
    <row r="53" spans="1:16" s="13" customFormat="1" ht="15" customHeight="1">
      <c r="A53" s="202"/>
      <c r="B53" s="283" t="s">
        <v>109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5"/>
      <c r="O53" s="116" t="s">
        <v>64</v>
      </c>
      <c r="P53" s="21">
        <f>SUM(P49:P52)</f>
        <v>131480</v>
      </c>
    </row>
    <row r="54" spans="1:16" s="13" customFormat="1" ht="15" customHeight="1">
      <c r="A54" s="202"/>
      <c r="B54" s="283" t="s">
        <v>110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5"/>
      <c r="O54" s="116" t="s">
        <v>64</v>
      </c>
      <c r="P54" s="22">
        <f>IF(P46&gt;500000,0,IF(P53&lt;12501,P53,12500))</f>
        <v>0</v>
      </c>
    </row>
    <row r="55" spans="1:16" s="13" customFormat="1" ht="15" customHeight="1">
      <c r="A55" s="202"/>
      <c r="B55" s="283" t="s">
        <v>111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5"/>
      <c r="O55" s="116" t="s">
        <v>64</v>
      </c>
      <c r="P55" s="21">
        <f>P53-P54</f>
        <v>131480</v>
      </c>
    </row>
    <row r="56" spans="1:16" s="13" customFormat="1" ht="15" customHeight="1">
      <c r="A56" s="202"/>
      <c r="B56" s="286" t="s">
        <v>112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116" t="s">
        <v>64</v>
      </c>
      <c r="P56" s="22">
        <f>ROUND(P55*0.04,0)</f>
        <v>5259</v>
      </c>
    </row>
    <row r="57" spans="1:16" s="13" customFormat="1" ht="15" customHeight="1">
      <c r="A57" s="248"/>
      <c r="B57" s="287" t="s">
        <v>113</v>
      </c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9"/>
      <c r="O57" s="116" t="s">
        <v>64</v>
      </c>
      <c r="P57" s="21">
        <f>SUM(P55:P56)</f>
        <v>136739</v>
      </c>
    </row>
    <row r="58" spans="1:16" s="13" customFormat="1" ht="15" customHeight="1">
      <c r="A58" s="77">
        <v>17</v>
      </c>
      <c r="B58" s="249" t="s">
        <v>114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72"/>
      <c r="O58" s="116" t="s">
        <v>64</v>
      </c>
      <c r="P58" s="22">
        <f>'Other Deduction'!E17</f>
        <v>0</v>
      </c>
    </row>
    <row r="59" spans="1:16" s="13" customFormat="1" ht="15" customHeight="1">
      <c r="A59" s="77">
        <v>18</v>
      </c>
      <c r="B59" s="213" t="s">
        <v>115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116" t="s">
        <v>64</v>
      </c>
      <c r="P59" s="21">
        <f>P57-P58</f>
        <v>136739</v>
      </c>
    </row>
    <row r="60" spans="1:16" ht="33.75" customHeight="1">
      <c r="A60" s="201">
        <v>19</v>
      </c>
      <c r="B60" s="276" t="s">
        <v>116</v>
      </c>
      <c r="C60" s="277"/>
      <c r="D60" s="278"/>
      <c r="E60" s="273" t="s">
        <v>117</v>
      </c>
      <c r="F60" s="273"/>
      <c r="G60" s="273"/>
      <c r="H60" s="273"/>
      <c r="I60" s="274" t="s">
        <v>118</v>
      </c>
      <c r="J60" s="275"/>
      <c r="K60" s="75" t="s">
        <v>119</v>
      </c>
      <c r="L60" s="274" t="s">
        <v>120</v>
      </c>
      <c r="M60" s="275"/>
      <c r="N60" s="75" t="s">
        <v>121</v>
      </c>
      <c r="O60" s="274" t="s">
        <v>122</v>
      </c>
      <c r="P60" s="296"/>
    </row>
    <row r="61" spans="1:16">
      <c r="A61" s="248"/>
      <c r="B61" s="279"/>
      <c r="C61" s="280"/>
      <c r="D61" s="281"/>
      <c r="E61" s="267">
        <f>SUM(Salary!V9:V15)</f>
        <v>35000</v>
      </c>
      <c r="F61" s="267"/>
      <c r="G61" s="267"/>
      <c r="H61" s="267"/>
      <c r="I61" s="267">
        <f>SUM(Salary!V16:V18)</f>
        <v>15000</v>
      </c>
      <c r="J61" s="267"/>
      <c r="K61" s="111">
        <f>Salary!V19</f>
        <v>5000</v>
      </c>
      <c r="L61" s="267">
        <f>Salary!V20</f>
        <v>5000</v>
      </c>
      <c r="M61" s="267"/>
      <c r="N61" s="40">
        <f>SUM(Salary!V21:V28)+'Other Deduction'!E18</f>
        <v>0</v>
      </c>
      <c r="O61" s="268">
        <f>E61+I61+K61+L61+N61</f>
        <v>60000</v>
      </c>
      <c r="P61" s="269"/>
    </row>
    <row r="62" spans="1:16" ht="16.5" thickBot="1">
      <c r="A62" s="270" t="str">
        <f>IF(P59&gt;O61,"Income Tax Payable",IF(P59&lt;O61,"Income Tax Refundable","Income Tax Payble/Refundable"))</f>
        <v>Income Tax Payable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116" t="s">
        <v>64</v>
      </c>
      <c r="P62" s="26">
        <f>IF(P59&gt;O61,P59-O61,O61-P59)</f>
        <v>76739</v>
      </c>
    </row>
    <row r="63" spans="1:16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28"/>
    </row>
    <row r="64" spans="1:16">
      <c r="A64" s="80"/>
      <c r="B64" s="175" t="s">
        <v>124</v>
      </c>
      <c r="C64" s="175"/>
      <c r="D64" s="175"/>
      <c r="E64" s="175"/>
      <c r="F64" s="81"/>
      <c r="G64" s="81"/>
      <c r="H64" s="81"/>
      <c r="I64" s="81"/>
      <c r="J64" s="81"/>
      <c r="K64" s="81"/>
      <c r="L64" s="175" t="s">
        <v>24</v>
      </c>
      <c r="M64" s="175"/>
      <c r="N64" s="175"/>
      <c r="O64" s="175"/>
      <c r="P64" s="82"/>
    </row>
    <row r="65" spans="1:17">
      <c r="A65" s="175"/>
      <c r="B65" s="175"/>
      <c r="C65" s="175"/>
      <c r="D65" s="175"/>
      <c r="E65" s="81"/>
      <c r="F65" s="81"/>
      <c r="G65" s="81"/>
      <c r="H65" s="81"/>
      <c r="I65" s="81"/>
      <c r="J65" s="81"/>
      <c r="K65" s="81"/>
      <c r="L65" s="81"/>
      <c r="M65" s="175"/>
      <c r="N65" s="175"/>
      <c r="O65" s="175"/>
      <c r="P65" s="175"/>
    </row>
    <row r="66" spans="1:17" s="41" customFormat="1" ht="15.75" hidden="1" customHeight="1">
      <c r="A66" s="83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</row>
    <row r="67" spans="1:17" s="41" customFormat="1" ht="15.75" hidden="1" customHeight="1">
      <c r="A67" s="8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</row>
    <row r="68" spans="1:17" s="41" customFormat="1" ht="24" hidden="1" customHeight="1">
      <c r="A68" s="83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</row>
    <row r="69" spans="1:17" s="41" customFormat="1" ht="15.75" hidden="1" customHeight="1">
      <c r="A69" s="83"/>
      <c r="B69" s="85"/>
      <c r="C69" s="85"/>
      <c r="D69" s="85"/>
      <c r="E69" s="85"/>
      <c r="F69" s="85"/>
      <c r="G69" s="85"/>
      <c r="H69" s="85"/>
      <c r="I69" s="85"/>
      <c r="J69" s="85"/>
      <c r="K69" s="282"/>
      <c r="L69" s="282"/>
      <c r="M69" s="282"/>
      <c r="N69" s="282"/>
      <c r="O69" s="282"/>
      <c r="P69" s="282"/>
    </row>
    <row r="70" spans="1:17" s="41" customFormat="1" ht="15.75" hidden="1" customHeight="1">
      <c r="A70" s="83"/>
      <c r="B70" s="85"/>
      <c r="C70" s="85"/>
      <c r="D70" s="85"/>
      <c r="E70" s="85"/>
      <c r="F70" s="85"/>
      <c r="G70" s="85"/>
      <c r="H70" s="85"/>
      <c r="I70" s="85"/>
      <c r="J70" s="85"/>
      <c r="K70" s="282"/>
      <c r="L70" s="282"/>
      <c r="M70" s="282"/>
      <c r="N70" s="282"/>
      <c r="O70" s="282"/>
      <c r="P70" s="282"/>
    </row>
    <row r="71" spans="1:17" s="41" customFormat="1" ht="15.75" hidden="1" customHeight="1">
      <c r="A71" s="83"/>
      <c r="B71" s="85"/>
      <c r="C71" s="85"/>
      <c r="D71" s="85"/>
      <c r="E71" s="85"/>
      <c r="F71" s="85"/>
      <c r="G71" s="85"/>
      <c r="H71" s="85"/>
      <c r="I71" s="85"/>
      <c r="J71" s="85"/>
      <c r="K71" s="282"/>
      <c r="L71" s="282"/>
      <c r="M71" s="282"/>
      <c r="N71" s="282"/>
      <c r="O71" s="282"/>
      <c r="P71" s="282"/>
    </row>
    <row r="72" spans="1:17" s="41" customFormat="1" ht="15.75" hidden="1" customHeight="1">
      <c r="A72" s="83"/>
      <c r="B72" s="85"/>
      <c r="C72" s="85"/>
      <c r="D72" s="85"/>
      <c r="E72" s="85"/>
      <c r="F72" s="85"/>
      <c r="G72" s="85"/>
      <c r="H72" s="85"/>
      <c r="I72" s="85"/>
      <c r="J72" s="85"/>
      <c r="K72" s="282"/>
      <c r="L72" s="282"/>
      <c r="M72" s="282"/>
      <c r="N72" s="282"/>
      <c r="O72" s="282"/>
      <c r="P72" s="282"/>
    </row>
    <row r="73" spans="1:17" s="41" customFormat="1" ht="15.75" hidden="1" customHeight="1">
      <c r="A73" s="83"/>
      <c r="B73" s="85"/>
      <c r="C73" s="85"/>
      <c r="D73" s="85"/>
      <c r="E73" s="85"/>
      <c r="F73" s="85"/>
      <c r="G73" s="85"/>
      <c r="H73" s="85"/>
      <c r="I73" s="85"/>
      <c r="J73" s="85"/>
      <c r="K73" s="282"/>
      <c r="L73" s="282"/>
      <c r="M73" s="282"/>
      <c r="N73" s="282"/>
      <c r="O73" s="282"/>
      <c r="P73" s="282"/>
    </row>
    <row r="74" spans="1:17" s="41" customFormat="1" hidden="1">
      <c r="A74" s="84"/>
      <c r="B74" s="86"/>
      <c r="C74" s="218"/>
      <c r="D74" s="218"/>
      <c r="E74" s="218"/>
      <c r="F74" s="218"/>
      <c r="G74" s="218"/>
      <c r="H74" s="218"/>
      <c r="I74" s="218"/>
      <c r="J74" s="86"/>
      <c r="K74" s="282"/>
      <c r="L74" s="282"/>
      <c r="M74" s="282"/>
      <c r="N74" s="282"/>
      <c r="O74" s="282"/>
      <c r="P74" s="282"/>
    </row>
    <row r="75" spans="1:17" s="41" customFormat="1" hidden="1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282"/>
      <c r="L75" s="282"/>
      <c r="M75" s="282"/>
      <c r="N75" s="282"/>
      <c r="O75" s="282"/>
      <c r="P75" s="282"/>
    </row>
    <row r="76" spans="1:17" hidden="1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90"/>
      <c r="Q76" s="39"/>
    </row>
    <row r="77" spans="1:17" hidden="1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90"/>
      <c r="Q77" s="39"/>
    </row>
    <row r="78" spans="1:17" hidden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90"/>
      <c r="Q78" s="39"/>
    </row>
    <row r="79" spans="1:17" hidden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  <c r="P79" s="94"/>
    </row>
    <row r="80" spans="1:17" hidden="1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/>
      <c r="P80" s="94"/>
    </row>
    <row r="81" spans="1:16" hidden="1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/>
      <c r="P81" s="94"/>
    </row>
    <row r="82" spans="1:16" hidden="1"/>
  </sheetData>
  <sheetProtection password="FC12" sheet="1" objects="1" scenarios="1"/>
  <mergeCells count="123">
    <mergeCell ref="B4:N4"/>
    <mergeCell ref="B5:N5"/>
    <mergeCell ref="B6:N6"/>
    <mergeCell ref="A7:A9"/>
    <mergeCell ref="B7:K7"/>
    <mergeCell ref="L7:N7"/>
    <mergeCell ref="A1:P1"/>
    <mergeCell ref="A2:P2"/>
    <mergeCell ref="B3:C3"/>
    <mergeCell ref="D3:I3"/>
    <mergeCell ref="K3:M3"/>
    <mergeCell ref="O3:P3"/>
    <mergeCell ref="O11:P13"/>
    <mergeCell ref="B12:C13"/>
    <mergeCell ref="D12:F12"/>
    <mergeCell ref="G12:I12"/>
    <mergeCell ref="J12:K12"/>
    <mergeCell ref="L12:N12"/>
    <mergeCell ref="O7:P8"/>
    <mergeCell ref="B8:K8"/>
    <mergeCell ref="L8:N8"/>
    <mergeCell ref="B9:K9"/>
    <mergeCell ref="L9:N9"/>
    <mergeCell ref="B10:N10"/>
    <mergeCell ref="D13:F13"/>
    <mergeCell ref="G13:I13"/>
    <mergeCell ref="J13:K13"/>
    <mergeCell ref="L13:N13"/>
    <mergeCell ref="B14:N14"/>
    <mergeCell ref="B15:N15"/>
    <mergeCell ref="A11:A13"/>
    <mergeCell ref="B11:I11"/>
    <mergeCell ref="J11:K11"/>
    <mergeCell ref="L11:N11"/>
    <mergeCell ref="C22:F22"/>
    <mergeCell ref="J22:L22"/>
    <mergeCell ref="C23:F23"/>
    <mergeCell ref="J23:L23"/>
    <mergeCell ref="C24:F24"/>
    <mergeCell ref="J24:L24"/>
    <mergeCell ref="B16:N16"/>
    <mergeCell ref="B17:N17"/>
    <mergeCell ref="A18:A30"/>
    <mergeCell ref="B18:P18"/>
    <mergeCell ref="B19:P19"/>
    <mergeCell ref="C20:F20"/>
    <mergeCell ref="J20:L20"/>
    <mergeCell ref="O20:P29"/>
    <mergeCell ref="C21:F21"/>
    <mergeCell ref="J21:L21"/>
    <mergeCell ref="C28:F28"/>
    <mergeCell ref="J28:L28"/>
    <mergeCell ref="B29:L29"/>
    <mergeCell ref="B30:N30"/>
    <mergeCell ref="B31:N31"/>
    <mergeCell ref="B32:N32"/>
    <mergeCell ref="C25:F25"/>
    <mergeCell ref="J25:L25"/>
    <mergeCell ref="C26:F26"/>
    <mergeCell ref="J26:L26"/>
    <mergeCell ref="C27:F27"/>
    <mergeCell ref="J27:L27"/>
    <mergeCell ref="B33:N33"/>
    <mergeCell ref="A34:A43"/>
    <mergeCell ref="B34:P34"/>
    <mergeCell ref="B35:N35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  <mergeCell ref="A47:A57"/>
    <mergeCell ref="B47:P47"/>
    <mergeCell ref="B48:F48"/>
    <mergeCell ref="G48:J48"/>
    <mergeCell ref="K48:N48"/>
    <mergeCell ref="B51:D51"/>
    <mergeCell ref="E51:F51"/>
    <mergeCell ref="G51:I51"/>
    <mergeCell ref="K51:M51"/>
    <mergeCell ref="B52:D52"/>
    <mergeCell ref="E52:F52"/>
    <mergeCell ref="G52:I52"/>
    <mergeCell ref="K52:M52"/>
    <mergeCell ref="B49:D49"/>
    <mergeCell ref="E49:F49"/>
    <mergeCell ref="G49:I49"/>
    <mergeCell ref="K49:M49"/>
    <mergeCell ref="B50:D50"/>
    <mergeCell ref="E50:F50"/>
    <mergeCell ref="G50:I50"/>
    <mergeCell ref="K50:M50"/>
    <mergeCell ref="B59:N59"/>
    <mergeCell ref="A60:A61"/>
    <mergeCell ref="B60:D61"/>
    <mergeCell ref="E60:H60"/>
    <mergeCell ref="I60:J60"/>
    <mergeCell ref="L60:M60"/>
    <mergeCell ref="B53:N53"/>
    <mergeCell ref="B54:N54"/>
    <mergeCell ref="B55:N55"/>
    <mergeCell ref="B56:N56"/>
    <mergeCell ref="B57:N57"/>
    <mergeCell ref="B58:N58"/>
    <mergeCell ref="B64:E64"/>
    <mergeCell ref="L64:O64"/>
    <mergeCell ref="A65:D65"/>
    <mergeCell ref="M65:P65"/>
    <mergeCell ref="B66:P68"/>
    <mergeCell ref="K69:P75"/>
    <mergeCell ref="C74:I74"/>
    <mergeCell ref="O60:P60"/>
    <mergeCell ref="E61:H61"/>
    <mergeCell ref="I61:J61"/>
    <mergeCell ref="L61:M61"/>
    <mergeCell ref="O61:P61"/>
    <mergeCell ref="A62:N62"/>
  </mergeCells>
  <printOptions horizontalCentered="1"/>
  <pageMargins left="0.39370078740157499" right="0.23622047244094499" top="0.23622047244094499" bottom="0.27559055118110198" header="0.196850393700787" footer="0.23622047244094499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Salary</vt:lpstr>
      <vt:lpstr>Other Deduction</vt:lpstr>
      <vt:lpstr>Tax Old Regime</vt:lpstr>
      <vt:lpstr>Tax New Regime</vt:lpstr>
      <vt:lpstr>Salary!Print_Area</vt:lpstr>
      <vt:lpstr>'Tax New Regime'!Print_Area</vt:lpstr>
      <vt:lpstr>'Tax Old Regime'!Print_Area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Aryan Computers</cp:lastModifiedBy>
  <cp:lastPrinted>2022-10-07T12:52:53Z</cp:lastPrinted>
  <dcterms:created xsi:type="dcterms:W3CDTF">2013-12-06T08:14:36Z</dcterms:created>
  <dcterms:modified xsi:type="dcterms:W3CDTF">2022-12-18T06:16:13Z</dcterms:modified>
</cp:coreProperties>
</file>